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J:\Consult\00_NCHRP 20-65 (70)\5_Task 3 Database\Database\"/>
    </mc:Choice>
  </mc:AlternateContent>
  <workbookProtection workbookAlgorithmName="SHA-512" workbookHashValue="PsX33gg5CX8EJt5KMuEfLgVCTvrns9HAYGsv2dsMar4Bu4PZcpkY/Xweu6buKC3B9ayr+GovSQEHsyF5o4LcBQ==" workbookSaltValue="vwcmxZYfdrtBGrTzy6wPiQ==" workbookSpinCount="100000" lockStructure="1"/>
  <bookViews>
    <workbookView xWindow="0" yWindow="0" windowWidth="23040" windowHeight="8550"/>
  </bookViews>
  <sheets>
    <sheet name="Cross Modal Funding Options" sheetId="3" r:id="rId1"/>
    <sheet name="Input Responses" sheetId="2" state="hidden" r:id="rId2"/>
    <sheet name="Recommendation Responses" sheetId="4" state="hidden"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3" l="1"/>
  <c r="C8" i="2" l="1"/>
  <c r="C7" i="2"/>
  <c r="C10" i="2" l="1"/>
  <c r="C9" i="2"/>
  <c r="C6" i="2"/>
  <c r="C5" i="2"/>
  <c r="C4" i="2"/>
  <c r="C3" i="2"/>
  <c r="C2" i="2"/>
  <c r="E11" i="3" l="1"/>
  <c r="E12" i="4"/>
  <c r="E29" i="4"/>
  <c r="C4" i="4" l="1"/>
  <c r="E10" i="4"/>
  <c r="F21" i="4" l="1"/>
  <c r="E23" i="4"/>
  <c r="E21" i="4"/>
  <c r="E28" i="4"/>
  <c r="E27" i="4"/>
  <c r="E13" i="3" l="1"/>
  <c r="E22" i="3" l="1"/>
  <c r="D10" i="4" l="1"/>
  <c r="D21" i="4" l="1"/>
  <c r="D14" i="4"/>
  <c r="D12" i="4"/>
  <c r="D8" i="4"/>
  <c r="D6" i="4"/>
  <c r="D4" i="4"/>
  <c r="E18" i="3" l="1"/>
  <c r="E17" i="3"/>
  <c r="C21" i="4" l="1"/>
  <c r="C6" i="4" l="1"/>
  <c r="E21" i="3" l="1"/>
  <c r="E20" i="3"/>
  <c r="E19" i="3"/>
  <c r="E16" i="3"/>
  <c r="E14" i="3" l="1"/>
  <c r="E23" i="3" l="1"/>
  <c r="C23" i="3" s="1"/>
  <c r="B36" i="3" l="1"/>
  <c r="B35" i="3"/>
  <c r="B26" i="3"/>
  <c r="B27" i="3"/>
  <c r="B43" i="3"/>
  <c r="B25" i="3"/>
  <c r="B28" i="3"/>
  <c r="C44" i="3"/>
  <c r="D44" i="3" s="1"/>
  <c r="E44" i="3" s="1"/>
  <c r="C34" i="3"/>
  <c r="D34" i="3" s="1"/>
  <c r="E34" i="3" s="1"/>
  <c r="C32" i="3"/>
  <c r="D32" i="3" s="1"/>
  <c r="E32" i="3" s="1"/>
  <c r="C27" i="3"/>
  <c r="D27" i="3" s="1"/>
  <c r="H27" i="3" s="1"/>
  <c r="C39" i="3"/>
  <c r="D39" i="3" s="1"/>
  <c r="E39" i="3" s="1"/>
  <c r="B34" i="3"/>
  <c r="B46" i="3"/>
  <c r="B47" i="3"/>
  <c r="B32" i="3"/>
  <c r="B31" i="3"/>
  <c r="C45" i="3"/>
  <c r="D45" i="3" s="1"/>
  <c r="E45" i="3" s="1"/>
  <c r="C43" i="3"/>
  <c r="D43" i="3" s="1"/>
  <c r="E43" i="3" s="1"/>
  <c r="C31" i="3"/>
  <c r="D31" i="3" s="1"/>
  <c r="E31" i="3" s="1"/>
  <c r="C28" i="3"/>
  <c r="D28" i="3" s="1"/>
  <c r="E28" i="3" s="1"/>
  <c r="C40" i="3"/>
  <c r="D40" i="3" s="1"/>
  <c r="E40" i="3" s="1"/>
  <c r="C26" i="3"/>
  <c r="D26" i="3" s="1"/>
  <c r="E26" i="3" s="1"/>
  <c r="B41" i="3"/>
  <c r="B40" i="3"/>
  <c r="C47" i="3"/>
  <c r="D47" i="3" s="1"/>
  <c r="E47" i="3" s="1"/>
  <c r="B45" i="3"/>
  <c r="C42" i="3"/>
  <c r="D42" i="3" s="1"/>
  <c r="E42" i="3" s="1"/>
  <c r="C35" i="3"/>
  <c r="D35" i="3" s="1"/>
  <c r="E35" i="3" s="1"/>
  <c r="C37" i="3"/>
  <c r="D37" i="3" s="1"/>
  <c r="E37" i="3" s="1"/>
  <c r="C30" i="3"/>
  <c r="D30" i="3" s="1"/>
  <c r="G30" i="3" s="1"/>
  <c r="C41" i="3"/>
  <c r="D41" i="3" s="1"/>
  <c r="F41" i="3" s="1"/>
  <c r="B44" i="3"/>
  <c r="B42" i="3"/>
  <c r="B30" i="3"/>
  <c r="B29" i="3"/>
  <c r="B39" i="3"/>
  <c r="C46" i="3"/>
  <c r="D46" i="3" s="1"/>
  <c r="E46" i="3" s="1"/>
  <c r="C36" i="3"/>
  <c r="D36" i="3" s="1"/>
  <c r="E36" i="3" s="1"/>
  <c r="C29" i="3"/>
  <c r="D29" i="3" s="1"/>
  <c r="F29" i="3" s="1"/>
  <c r="C25" i="3"/>
  <c r="D25" i="3" s="1"/>
  <c r="G28" i="3" l="1"/>
  <c r="F28" i="3"/>
  <c r="G34" i="3"/>
  <c r="G31" i="3"/>
  <c r="G35" i="3"/>
  <c r="H32" i="3"/>
  <c r="G32" i="3"/>
  <c r="H40" i="3"/>
  <c r="F36" i="3"/>
  <c r="F32" i="3"/>
  <c r="H31" i="3"/>
  <c r="F31" i="3"/>
  <c r="H29" i="3"/>
  <c r="H34" i="3"/>
  <c r="F35" i="3"/>
  <c r="H28" i="3"/>
  <c r="H35" i="3"/>
  <c r="G42" i="3"/>
  <c r="G29" i="3"/>
  <c r="G47" i="3"/>
  <c r="E29" i="3"/>
  <c r="F39" i="3"/>
  <c r="G36" i="3"/>
  <c r="G39" i="3"/>
  <c r="G41" i="3"/>
  <c r="E41" i="3"/>
  <c r="G27" i="3"/>
  <c r="H36" i="3"/>
  <c r="F42" i="3"/>
  <c r="H41" i="3"/>
  <c r="F30" i="3"/>
  <c r="H39" i="3"/>
  <c r="H42" i="3"/>
  <c r="F27" i="3"/>
  <c r="E30" i="3"/>
  <c r="F43" i="3"/>
  <c r="E27" i="3"/>
  <c r="H30" i="3"/>
  <c r="G40" i="3"/>
  <c r="F47" i="3"/>
  <c r="G43" i="3"/>
  <c r="F40" i="3"/>
  <c r="F34" i="3"/>
  <c r="H47" i="3"/>
  <c r="H43" i="3"/>
  <c r="B37" i="3"/>
  <c r="G44" i="3"/>
  <c r="F44" i="3"/>
  <c r="H44" i="3"/>
  <c r="G46" i="3"/>
  <c r="H46" i="3"/>
  <c r="F46" i="3"/>
  <c r="F45" i="3"/>
  <c r="H45" i="3"/>
  <c r="G45" i="3"/>
  <c r="F26" i="3"/>
  <c r="H26" i="3"/>
  <c r="G26" i="3"/>
  <c r="F37" i="3"/>
  <c r="G37" i="3"/>
  <c r="H37" i="3"/>
  <c r="H25" i="3"/>
  <c r="G25" i="3"/>
  <c r="F25" i="3"/>
  <c r="E25" i="3"/>
</calcChain>
</file>

<file path=xl/sharedStrings.xml><?xml version="1.0" encoding="utf-8"?>
<sst xmlns="http://schemas.openxmlformats.org/spreadsheetml/2006/main" count="1265" uniqueCount="663">
  <si>
    <t>Database of Cross Modal Funding Packages</t>
  </si>
  <si>
    <t>NCHRP 20-65 (70) Cross Modal Investment</t>
  </si>
  <si>
    <t>Background</t>
  </si>
  <si>
    <t>State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</si>
  <si>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</si>
  <si>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</si>
  <si>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</si>
  <si>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</si>
  <si>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</si>
  <si>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</si>
  <si>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</si>
  <si>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</si>
  <si>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</si>
  <si>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</si>
  <si>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</si>
  <si>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</si>
  <si>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</si>
  <si>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</si>
  <si>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</si>
  <si>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</si>
  <si>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</si>
  <si>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</si>
  <si>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</si>
  <si>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</si>
  <si>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</si>
  <si>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</si>
  <si>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</si>
  <si>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</si>
  <si>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</si>
  <si>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</si>
  <si>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</si>
  <si>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</si>
  <si>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</si>
  <si>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</si>
  <si>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</si>
  <si>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</si>
  <si>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</si>
  <si>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</si>
  <si>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</si>
  <si>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</si>
  <si>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</si>
  <si>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</si>
  <si>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</si>
  <si>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</si>
  <si>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</si>
  <si>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</si>
  <si>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</si>
  <si>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</si>
  <si>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</si>
  <si>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</si>
  <si>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</si>
  <si>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</si>
  <si>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</si>
  <si>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</si>
  <si>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Please select your response.</t>
  </si>
  <si>
    <t>-</t>
  </si>
  <si>
    <t>Other</t>
  </si>
  <si>
    <t>Yes</t>
  </si>
  <si>
    <t>No</t>
  </si>
  <si>
    <t>Unsure</t>
  </si>
  <si>
    <t>Response</t>
  </si>
  <si>
    <t>Characteristics</t>
  </si>
  <si>
    <t>Cap and Trade</t>
  </si>
  <si>
    <t>RGGI</t>
  </si>
  <si>
    <t>N/A</t>
  </si>
  <si>
    <t>Your state is a member of the Regional Greenhouse Gas Initiative (RGGI), a regional partnership between nine states. This could be a source of potential future funding, however, only 0.04% of RGGI funds are currently used towards transportation.</t>
  </si>
  <si>
    <t>Your state does not currently have a Cap and Trade program in place. California’s comprehensive approach to cap-and-trade is largely considered a national best practice, and could be used for guidance in developing a similar program in your state. However, this is not an option for short-term funding.</t>
  </si>
  <si>
    <t>Roadways and Highways are a common source of cross modal funding. More details and examples will be provided below.</t>
  </si>
  <si>
    <t>Toll revenues are the fees collected along tolled highways, bridges, or tunnels. More details on how toll revenues could be used to provide cross modal funding will be provided below.</t>
  </si>
  <si>
    <t>Toll revenues are the fees collected along tolled highways, bridges, or tunnels. If no toll roads current exist in the nearby area, this is not a potential source of funding, but there are other potential funding streams available from non-tolled highways and roadways.</t>
  </si>
  <si>
    <t>Distributing Agency</t>
  </si>
  <si>
    <t>Rural or Urban?</t>
  </si>
  <si>
    <t>Rural or Urban</t>
  </si>
  <si>
    <t>Rural</t>
  </si>
  <si>
    <t>Urban</t>
  </si>
  <si>
    <t>Uses: This database contains recommendations for cross modal funding packages, customized based on your responses to a few background questions. These recommendations have been developed by literature and case study review findings. The results provided on this sheet can be used to inform your understanding of cross modal funding solutions that may be available to you. To confirm your eligibility for any of these programs, contact your regional MPO or visit the distributing agency's website.</t>
  </si>
  <si>
    <t>FHWA</t>
  </si>
  <si>
    <t>You will be shown some recommendations that only rural or urban areas are eligible for. Please confirm your eligibility before pursuing one of these programs.</t>
  </si>
  <si>
    <t>Urban areas are more likely to receive some sources of funding, but are not eligible for programs devoted exclusively to rural areas.</t>
  </si>
  <si>
    <t>STBG</t>
  </si>
  <si>
    <t>Gas Taxes</t>
  </si>
  <si>
    <t>Rental Car Taxes</t>
  </si>
  <si>
    <t>Taxi Fees</t>
  </si>
  <si>
    <t>Motor Vehicle Fees</t>
  </si>
  <si>
    <t>Congestion Pricing</t>
  </si>
  <si>
    <t>A case study in Colorado presents the use of CDOT Bridge Enterprise (CBE) Funds, to be used for the repairing, reconstructing, and replacing of structurally deficient of functionally obsolete bridges, to provide cross modal funding for a transit project. For more information, see the Case Study Report.</t>
  </si>
  <si>
    <t>Some states have separate bridge funding mechanisms that, while primarily intended for roadways, can also be used for bridges serving other modes. For more information, see the Case Study Report.</t>
  </si>
  <si>
    <t>This type of funding comes primarily from railway companies, from fees they charge each other and to passengers. Since intercity rail lines are not available in your area, this funding type is not a cross modal funding option.</t>
  </si>
  <si>
    <t>This type of funding comes primarily from railway companies, from fees they charge each other and to passengers.</t>
  </si>
  <si>
    <t xml:space="preserve">Ports and airports charge a variety of fees to customers, though this funding can be restricted to certain modes or types of projects. More details will be provided below. </t>
  </si>
  <si>
    <t>Ports and airports charge a variety of fees to customers, some of which may be eligible to be used for cross modal projects. However, since these modes are not available in your area, this funding type is not a cross modal funding option.</t>
  </si>
  <si>
    <t>Port Usage Fees</t>
  </si>
  <si>
    <t>PFC</t>
  </si>
  <si>
    <t>CDBG</t>
  </si>
  <si>
    <t>QECB</t>
  </si>
  <si>
    <t>TANF</t>
  </si>
  <si>
    <t>HRTG</t>
  </si>
  <si>
    <t>RBDG</t>
  </si>
  <si>
    <t>HUD</t>
  </si>
  <si>
    <t>IRS/EPA</t>
  </si>
  <si>
    <t>Health and Human Services</t>
  </si>
  <si>
    <t>Treasury Department</t>
  </si>
  <si>
    <t>VA</t>
  </si>
  <si>
    <t>USDA</t>
  </si>
  <si>
    <t>Toll Road</t>
  </si>
  <si>
    <t>Eligibility</t>
  </si>
  <si>
    <t>Example Project</t>
  </si>
  <si>
    <t>Modes</t>
  </si>
  <si>
    <t>Transit</t>
  </si>
  <si>
    <t>Bridge Funds</t>
  </si>
  <si>
    <t>Program</t>
  </si>
  <si>
    <t>Roadway / Highway</t>
  </si>
  <si>
    <t>Freight / Intercity Passenger Rail</t>
  </si>
  <si>
    <t>Collaboration between different transit agencies in a region, for example between a bus agency and a commuter rail agency, can be mutually beneficial.</t>
  </si>
  <si>
    <t>Port / Air</t>
  </si>
  <si>
    <t>Other Transit (other than the agency seeking funding)</t>
  </si>
  <si>
    <t>PFCs were the principal funding source for the $1.9 billion AirTrain system, providing $1.15 billion in revenue collected from PFCs at all three New York Airports.</t>
  </si>
  <si>
    <t xml:space="preserve">The Port Authority of New York and New Jersey collected over $200 million in fees port usage fees in FY 16, a portion of which was used to fund its passenger ferry and rail transit operations. </t>
  </si>
  <si>
    <t xml:space="preserve">CalTrain used $6.2 million in revenues from right-of-way leases to fund a portion of its Downtown Rail Extension. </t>
  </si>
  <si>
    <t>Previously only a highway revenue stream, Washington State approved a vehicle fee increase which generated approximately $1 billion for bike paths, pedestrian walkways, and transit.</t>
  </si>
  <si>
    <t>New York City’s MTA collected $94 million in taxi fees in 2015 for transit.</t>
  </si>
  <si>
    <t xml:space="preserve">In Pennsylvania, the state collects a three percent tax of total rental car receipts, which is dedicated to transit. </t>
  </si>
  <si>
    <t xml:space="preserve">In 2015, Abilene, Texas, received $52,000 for transportation services to provide access to jobs and training during non-public transit hours. </t>
  </si>
  <si>
    <t xml:space="preserve">The Roaring Fork Transportation Authority in Colorado received $6.5 million in QECBs from the state of Colorado to finance its CNG bus fleet in 2013. </t>
  </si>
  <si>
    <t xml:space="preserve">In Hampton County, South Carolina, the TANF agency provides vouchers for public transportation to TANF recipients. </t>
  </si>
  <si>
    <t>NMTC</t>
  </si>
  <si>
    <t>FY17 Funding Available</t>
  </si>
  <si>
    <t>CMAQ</t>
  </si>
  <si>
    <t>The Delmar Loop Trolley in St. Louis, Missouri used a variety of sources of funding, including STBG funds.</t>
  </si>
  <si>
    <t>A parking fee could include a tax or surcharge on paid parking, assessed as a percentage of receipts or a fixed cost per space. These taxes and fees are often used in urban areas to discourage driving and promote transit.</t>
  </si>
  <si>
    <t xml:space="preserve">San Francisco's Muni receives 80 percent of the city parking revenues for its transit operations. </t>
  </si>
  <si>
    <t>Common for a portion to be dedicated to transit</t>
  </si>
  <si>
    <t>Some cities dedicate to transit</t>
  </si>
  <si>
    <t>San Diego County’s I-15 HOV/HOT-lane system generates annual toll revenues of approximately $1–$2 million, approximately half of which are used to fund express service between northern San Diego County and downtown.</t>
  </si>
  <si>
    <t>In San Francisco,  the Golden Gate Bridge Transportation District’s toll revenues fund 48 percent and 37 percent of its bus and ferry system’s annual budgets, respectively.</t>
  </si>
  <si>
    <t xml:space="preserve">Revenues may be used on public transportation improvements. </t>
  </si>
  <si>
    <t>Toll revenues are the fees collected along tolled highways, bridges, or tunnels. 35 states have at least one tolled piece of infrastructure and $13 billion in toll revenues were collected nationwide in 2013 by tolling agencies. Some toll revenue are collected by state operated agencies, while other toll roads are run by private concessionaries who are responsible for building, operating, and maintaining the tolled asset.</t>
  </si>
  <si>
    <t>Toll credits can be used as a method of providing a “soft” match to federal funds</t>
  </si>
  <si>
    <t>Railroad operations or a larger regional transportation investment package</t>
  </si>
  <si>
    <t>Port usage fees are surcharges that apply to a ship and or/ the cargo on board the ship once it reaches the port. Port authorities, which are governmental or quasi-governmental public authorities of special-purpose districts collect these fees.</t>
  </si>
  <si>
    <t>A ROW lease is an annual lease payment from one railroad to another in order to operate on a railroad’s active ROW. If the ROW is owned by a passenger railroad, the owner can charge private freight operators an annual fee to continue using the tracks.</t>
  </si>
  <si>
    <t>ROW Leases</t>
  </si>
  <si>
    <t>Congestion pricing is a tool for tolling vehicles that use specific transportation facilities during peak travel periods, including assessing a fee for driving into or within an identified geographic boundary, typically a congested area within a city. Fees can be structured in a variety of ways to optimize traffic flow, but are often set as a flat rate with exemptions for certain vehicle categories, residential status, or other factors.</t>
  </si>
  <si>
    <t>Taxes and fees are typically collected as an additional surcharge on a per ride basis on regulated taxi or transportation network company fares.</t>
  </si>
  <si>
    <t>Northern Virginia uses funds from a regional Motor Vehicle Fuel sales tax levied at a rate of 2.1 percent to cover a portion of its funding commitment to transit operations.</t>
  </si>
  <si>
    <t>Set by port</t>
  </si>
  <si>
    <t>The PFC Program allows the collection of fees up to $4.50 for every enplaned passenger at commercial airports controlled by public agencies.</t>
  </si>
  <si>
    <t>Can only be used for road and rail transportation that exclusively serve airport traffic</t>
  </si>
  <si>
    <t>In St. Louis, the CDE is the St. Louis Development Corporation. Since 2003, the St. Louis Development Corporation has received $336 million in NMTC allocation for syndication. $3.5 million of this funding was used to support the Delmar Loop Trolley Project.</t>
  </si>
  <si>
    <t xml:space="preserve">There are currently 14 recipients of HRTG grants, primarily VFW posts and state Veteran Affairs Departments which provide transportation services in rural areas, such as the North Dakota Department of Veterans Affairs who provides services to 36 rural counties in the state. </t>
  </si>
  <si>
    <t>California’s comprehensive approach to cap-and-trade is largely considered a national best practice, having successfully reduced carbon emissions while generating approximately $2.4 billion in cap-and-trade revenues since 2012. The state invested 50 percent of revenues in transportation-related projects as part of a larger goal to support transportation projects that lower GHG emissions.</t>
  </si>
  <si>
    <t>The VA awards grants to eligible recipients to assist veterans in highly rural areas to provide innovative transportation services to travel to VA medical centers and to other VA and non-VA facilities in connection with the provision of VA medical care.</t>
  </si>
  <si>
    <t xml:space="preserve">RBDG is a competitive grant program designed to support targeted technical assistance, training, and other activities leading to the development or expansion of small and emerging private businesses in rural areas that have fewer than 50 employees and less than $1 million in gross revenues. Generally, grants range from $10,000 up to $500,000. There is no cost sharing requirement. </t>
  </si>
  <si>
    <t>If all transit in your region is organized under one single agency, there are no opportunities for cross modal funding within transit.</t>
  </si>
  <si>
    <t>Federal</t>
  </si>
  <si>
    <t>Mode</t>
  </si>
  <si>
    <t>Toll Revenues</t>
  </si>
  <si>
    <t>STATE</t>
  </si>
  <si>
    <t>FEDERAL</t>
  </si>
  <si>
    <t>Some states authorize local government to impose their own additional taxes or fees on rental vehicles. These charges are primarily paid by out-of-state visitors, making them easier to approve through local ballot measures.</t>
  </si>
  <si>
    <t>District of Columbia</t>
  </si>
  <si>
    <t>Gas Tax Rate</t>
  </si>
  <si>
    <t>Rural areas are eligible for some specific federal non-transportation funding programs that are not open to urban areas.</t>
  </si>
  <si>
    <t>Allegheny County in Pennsylvania levies a $2 per day rental car tax to support Port Authority Transit Services.</t>
  </si>
  <si>
    <t>Selection</t>
  </si>
  <si>
    <t>Max grant award of $50,000; must be in connection with VA care</t>
  </si>
  <si>
    <t>Funding Mechanism</t>
  </si>
  <si>
    <t>Distributing Agency
/ Mode</t>
  </si>
  <si>
    <t>FY17 Funding Avail
/ Funding Mechanism</t>
  </si>
  <si>
    <t>Areas qualify based on poverty rate, median family income, unemployment rate</t>
  </si>
  <si>
    <t>In recent years, Alabama has not provided any state funding for transit. A constitutional amendment restricts using state gasoline taxes for anything other than roads and bridges.</t>
  </si>
  <si>
    <t>In recent years, Nevada has not provided any state funding for transit.</t>
  </si>
  <si>
    <t>Arkansas provides state funding for transit through a rental car tax and through revenues from a corporate franchise fee.</t>
  </si>
  <si>
    <t>While Delaware does not have a dedicated transit funding scheme, it does have a State Transportation Trust Fund that can be used for transit and is funded by toll revenues, state gas tax, and vehicle registration fees.</t>
  </si>
  <si>
    <t>Florida uses a rental car surcharge, gas taxes, and vehicle registration fees to fund transit.</t>
  </si>
  <si>
    <t>State transit funding in Georgia comes from the general fund.</t>
  </si>
  <si>
    <t>Additional tax, daily fee, or both</t>
  </si>
  <si>
    <t>Over 40 states levy a charge on rental cars. These charges are primarily paid by out-of-state visitors, making them easier to approve through local ballot measures.</t>
  </si>
  <si>
    <t>Sales tax on motor vehicles and/or accessory equipment</t>
  </si>
  <si>
    <t>Auctions for use beyond free allowance</t>
  </si>
  <si>
    <t>Auctions, tradable allowances</t>
  </si>
  <si>
    <t>Would be revenue generating auctions of allowances</t>
  </si>
  <si>
    <t>Montana matches operating funds for transit systems within the state. The Montana constitution requires fuel taxes to be used for road and bridge funding, but revenue can be appropriated for other purposes with a three-fifths vote by both houses in the state legislature.</t>
  </si>
  <si>
    <t>Nebraska dedicates fuel tax revenue to highway construction and maintenance, but allows for exceptions, which in the past has included transit.</t>
  </si>
  <si>
    <t>In 2010, Massachusetts reported the highest per-capita transit investment of all 50 states, largely funded by sales tax revenues from non-transportation sources.</t>
  </si>
  <si>
    <t>California is unique in that it has a cap and trade program that has been used for transit funding in the past. California also recently raised their gas, diesel, and vehicle registration taxes, directing $7.5 billion to transit.</t>
  </si>
  <si>
    <t>State funding for transit in the state of Illinois is predominately in the form of general obligation bonds and general funds.</t>
  </si>
  <si>
    <t>Transit is funded by general funds, though the Road Fund can be used for other modes if approved in the transportation budget bill, as rail was in 2010.</t>
  </si>
  <si>
    <t>In recent years, Hawaii has not provided any state funding for transit, as this is done at the county level instead. For example, the Honolulu Rail Transit Project, Hawaii's first rail system, is funded by a county-level general excise tax.</t>
  </si>
  <si>
    <t>Funding for modes other than highway must be appropriated by the General Assembly at the program or category level. Transit, along with rail, waterways, and aviation, are funded by a portion of the proceeds from vehicle state sales taxes.</t>
  </si>
  <si>
    <t>All modes are funded by a multimodal Transportation Trust Fund, and fuel tax revenues are allowed to be spent on transit.</t>
  </si>
  <si>
    <t>N</t>
  </si>
  <si>
    <t>Y</t>
  </si>
  <si>
    <t>New York has a Dedicated Highway and Bridge Trust Fund, supported by transportation revenues such as fuel taxes and other fees, as well as general obligation bonds. This fund is a source for all modes.</t>
  </si>
  <si>
    <t>Oklahoma has a State Public Transit Revolving Fund, supplied by dedicated funding from income tax revenue and the fuel tax.</t>
  </si>
  <si>
    <t>South Carolina has a 0.25 cent gasoline user fee dedicated to transit.</t>
  </si>
  <si>
    <t>$12M</t>
  </si>
  <si>
    <t>$28M</t>
  </si>
  <si>
    <t>$53M</t>
  </si>
  <si>
    <t>$13M</t>
  </si>
  <si>
    <t>$473M</t>
  </si>
  <si>
    <t>$43M</t>
  </si>
  <si>
    <t>$45M</t>
  </si>
  <si>
    <t>$10M</t>
  </si>
  <si>
    <t>$14M</t>
  </si>
  <si>
    <t>$69M</t>
  </si>
  <si>
    <t>$11M</t>
  </si>
  <si>
    <t>$112M</t>
  </si>
  <si>
    <t>$48M</t>
  </si>
  <si>
    <t>$55M</t>
  </si>
  <si>
    <t>$65M</t>
  </si>
  <si>
    <t>$75M</t>
  </si>
  <si>
    <t>$33M</t>
  </si>
  <si>
    <t>$24M</t>
  </si>
  <si>
    <t>$15M</t>
  </si>
  <si>
    <t>$106M</t>
  </si>
  <si>
    <t>$187M</t>
  </si>
  <si>
    <t>$52M</t>
  </si>
  <si>
    <t>$98M</t>
  </si>
  <si>
    <t>$20M</t>
  </si>
  <si>
    <t>$38M</t>
  </si>
  <si>
    <t>$168M</t>
  </si>
  <si>
    <t>$56M</t>
  </si>
  <si>
    <t>$232M</t>
  </si>
  <si>
    <t>$147M</t>
  </si>
  <si>
    <t>$211M</t>
  </si>
  <si>
    <t>$157M</t>
  </si>
  <si>
    <t>$992M</t>
  </si>
  <si>
    <t>$153M</t>
  </si>
  <si>
    <t>$142M</t>
  </si>
  <si>
    <t>$49M</t>
  </si>
  <si>
    <t>$46M</t>
  </si>
  <si>
    <t>$581M</t>
  </si>
  <si>
    <t>$380M</t>
  </si>
  <si>
    <t>$85M</t>
  </si>
  <si>
    <t>$406M</t>
  </si>
  <si>
    <t>$282M</t>
  </si>
  <si>
    <t>$149M</t>
  </si>
  <si>
    <t>$114M</t>
  </si>
  <si>
    <t>$202M</t>
  </si>
  <si>
    <t>$214M</t>
  </si>
  <si>
    <t>$54M</t>
  </si>
  <si>
    <t>$169M</t>
  </si>
  <si>
    <t>$303M</t>
  </si>
  <si>
    <t>$192M</t>
  </si>
  <si>
    <t>$287M</t>
  </si>
  <si>
    <t>$123M</t>
  </si>
  <si>
    <t>$87M</t>
  </si>
  <si>
    <t>$103M</t>
  </si>
  <si>
    <t>$277M</t>
  </si>
  <si>
    <t>$111M</t>
  </si>
  <si>
    <t>$462M</t>
  </si>
  <si>
    <t>$308M</t>
  </si>
  <si>
    <t>$74M</t>
  </si>
  <si>
    <t>$386M</t>
  </si>
  <si>
    <t>$194M</t>
  </si>
  <si>
    <t>$477M</t>
  </si>
  <si>
    <t>$204M</t>
  </si>
  <si>
    <t>$84M</t>
  </si>
  <si>
    <t>$251M</t>
  </si>
  <si>
    <t>$59M</t>
  </si>
  <si>
    <t>$299M</t>
  </si>
  <si>
    <t>$198M</t>
  </si>
  <si>
    <t>$132M</t>
  </si>
  <si>
    <t>$225M</t>
  </si>
  <si>
    <t>$76M</t>
  </si>
  <si>
    <t>$3M</t>
  </si>
  <si>
    <t>$30M</t>
  </si>
  <si>
    <t>Other territories have varying policies and regulations on the sources and uses of federal and local transportation funds. More information can be found at your local MPO.</t>
  </si>
  <si>
    <t>These taxes and fees are typically implemented at the local level but can be set by the state. Revenues are used for a wide variety of purposes, including transit. Some states designated the entirety of vehicle registration taxes for roads and/or transit.</t>
  </si>
  <si>
    <t>Minnesota statutorily set aside 40% of the Motor Vehicle Sales Tax for transit. Funding is also received from the general fund.</t>
  </si>
  <si>
    <t>Some state gas taxes are indexed at the county level, allowing counties to vote for a higher gas tax to finance large transportation or transit packages in a region.</t>
  </si>
  <si>
    <t>Set by county or other local jurisdiction</t>
  </si>
  <si>
    <t>Fee per enplaned passenger</t>
  </si>
  <si>
    <t>Fee per vehicle, can vary</t>
  </si>
  <si>
    <t>Fee per vehicle, by time, with exceptions</t>
  </si>
  <si>
    <t>Fee per ride</t>
  </si>
  <si>
    <t>Fee per rental or per day</t>
  </si>
  <si>
    <t>Fee per ship or by cargo amount</t>
  </si>
  <si>
    <t>Fee for use of owned railway</t>
  </si>
  <si>
    <t>Set by city or other local jurisdiction</t>
  </si>
  <si>
    <t>State Fuel Tax For Transit?</t>
  </si>
  <si>
    <t>Fee or surcharge for parking a car</t>
  </si>
  <si>
    <t>Additional taxes and fees</t>
  </si>
  <si>
    <t>Rural transportation improvements are eligible</t>
  </si>
  <si>
    <t xml:space="preserve">The program has not awarded any funds for transportation at this time. </t>
  </si>
  <si>
    <t>Tennessee uses fuel tax revenues to provide matching funds for federal aid to fund its transit projects and programs.</t>
  </si>
  <si>
    <t>Texas has a State Highway Fund, which is allocated by formula to fund transit programs if it is not dedicated for highway purposes.</t>
  </si>
  <si>
    <t>In FY 2014, 14.7% of the Commonwealth Transportation Trust Fund was allocated to transit. Various taxes and fees are used to maintain this trust fund. The Washington, DC metro area has an additional regional fuel tax that can be used to support transit.</t>
  </si>
  <si>
    <t>Washington has a higher proportion of transit funding at the local level compared to other states, raised by local sales taxes. Gas tax revenue must be used for roads and highways, with the exception of an allowance for ferries. Other cross modal revenues such as rental car fees and a motor vehicle excise tax have been used to fund transit.</t>
  </si>
  <si>
    <t>West Virginia uses a highway litter control fund and impact fees to fund transportation, but transit funding comes mostly the general fund.</t>
  </si>
  <si>
    <t>Wisconsin funds transit through fees on other modes, through a multimodal transportation fund that is sourced by road user fees and taxes, railroad taxes, and airline taxes.</t>
  </si>
  <si>
    <t>Wyoming uses the general fund and interest income to fund transit, and not currently any cross-modal sources.</t>
  </si>
  <si>
    <t>In recent years, Arizona has not provided any state funding for transit.</t>
  </si>
  <si>
    <t>General funds are used for state funding for transit in Alaska, including as local match for FTA grants. Alaska is unique in that much of the state is only accessible by boat or small plane, which has led to the development of rural public transit systems that many Alaskans depend on.</t>
  </si>
  <si>
    <t xml:space="preserve">The state's Funding Advancements for Surface Transportation and Economic Recovery Act of 2009 (FASTER) generates approximately $200 million a year in revenue through several vehicle registration fees and fines, which is used to support and expand transit, as well as improve roadway safety and repair deteriorating bridges. </t>
  </si>
  <si>
    <t xml:space="preserve">Because the state constitution restricts gas tax funds to be used exclusively for highways, local matches for federal funding are generally obtained from the general fund. </t>
  </si>
  <si>
    <t>Connecticut has a Special Transportation Fund, comprised of state gasoline tax revenues, vehicle registration and sales fees, vehicle fines, and oil company tax revenues. While transit is eligible to receive these funds, sources are combined and cannot be assigned by mode.</t>
  </si>
  <si>
    <t>Because it is predominately urban, DC has higher per capita transit funding than any of the 50 states, though this is artificially high as WMATA also serves the populations of neighboring states, and unlike the states there are no localities to also raise funding for transit.</t>
  </si>
  <si>
    <t>Kansas has a State Highway Fund, funded by fuel taxes, vehicle registration fees, and other fees such as truck weight fees and a portion of the sales tax. A portion of this funding is set aside for both rural and urban transit systems.</t>
  </si>
  <si>
    <t>Maine has a state rental car tax that can support transit operations and can be used to match FTA grants.</t>
  </si>
  <si>
    <t>In Michigan, about 30% of local transit operating funds come from state transportation funds. The state constitution requires at least 90% of motor fuel and vehicle registration taxes to be used for roads and bridges, but the remainder can be used for comprehensive transportation purposes.</t>
  </si>
  <si>
    <t xml:space="preserve">Indiana has a statutory dedication of gasoline and other fuel tax revenues to be used exclusively for roadways and highways. However, the state's Commuter Rail Service Fund receives revenues from the state's sales tax, and the Electric Rail Service Fund receives revenues from special property tax on rail cars. </t>
  </si>
  <si>
    <t xml:space="preserve">Transit in Mississippi has no dedicated state funding, but is funded by the Multi-Modal Transportation Improvement Fund, that is funded by transportation funds that are not otherwise dedicated, including fuel, truck, and bus taxes. The modest amount of general funds dedicated towards transit are set aside for rural transit providers eligible to receive funding under FTA's Section 5311. </t>
  </si>
  <si>
    <t>New Hampshire does not allow fuel taxes to fund transit, but bond proceeds from toll credits are a small source of transit funding.</t>
  </si>
  <si>
    <t>New Mexico allows fuel taxes to be spent on transit, through the multimodal State Road Fund. State legislature can also appropriate general funds for a specific transit project, as it provided $6.6 million in 2011 for NMDOT's Park and Ride intercity bus program.</t>
  </si>
  <si>
    <t>The net unobligated balance of vehicle registration, license, and title fees from the State Highway Tax Fund are used to fund transit in North Dakota.</t>
  </si>
  <si>
    <t xml:space="preserve">State transit funding in Oregon is derived from a few major sources: the Special Transportation Fund (comprised of cigarette tax, non-highway use gas tax, ID card revenues, and the general fund); the Mass Transit Payroll Tax; and portion of DMV fees for custom vehicle license plates, which may be used for passenger rail only. Oregon allows the use of some highway fuel taxes for transit, but limits the amount. </t>
  </si>
  <si>
    <t xml:space="preserve">Most revenue generated for transportation is dedicated to highways and bridges, but some state funding for transit comes from the general fund. State funding available for transit is extremely sparse. </t>
  </si>
  <si>
    <t xml:space="preserve">North Carolina has a highly centralized transportation system, with no county road departments and with the state DOT responsible for building and maintaining secondary roads. NCDOT has a multimodal Highway Fund where fuel taxes and other fees can be used to fund all modes, for example, as state match for FTA funding. </t>
  </si>
  <si>
    <t xml:space="preserve">State transit funding in Ohio comes from the state's General Fund, whose revenues come from property, sales, and income tax, not other transportation modes. Ohio has an Urban and a Rural Transit Program that provides transit assistance for non-federal share of planning, capital, and operating expenses. Large capital projects, over $12 million can apply for state funding through Ohio DOT's Transportation Review Advisory Council. </t>
  </si>
  <si>
    <t xml:space="preserve">In recent years, Utah has not provided any state funding for transit. All local match funding for FTA funds are collected at the local level through sales taxes. </t>
  </si>
  <si>
    <t>Funding Opportunity Description</t>
  </si>
  <si>
    <t xml:space="preserve">Background Information </t>
  </si>
  <si>
    <t>Are the following modes operated in your project area?</t>
  </si>
  <si>
    <t>AL</t>
  </si>
  <si>
    <t>AK</t>
  </si>
  <si>
    <t>AZ</t>
  </si>
  <si>
    <t>AR</t>
  </si>
  <si>
    <t>CA</t>
  </si>
  <si>
    <t>CO</t>
  </si>
  <si>
    <t>CT</t>
  </si>
  <si>
    <t>DC</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</si>
  <si>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</si>
  <si>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</si>
  <si>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</si>
  <si>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</si>
  <si>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</si>
  <si>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</si>
  <si>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</si>
  <si>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</si>
  <si>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</si>
  <si>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</si>
  <si>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</si>
  <si>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</si>
  <si>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</si>
  <si>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</si>
  <si>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</si>
  <si>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</si>
  <si>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</si>
  <si>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</si>
  <si>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</si>
  <si>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</si>
  <si>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</si>
  <si>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</si>
  <si>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</si>
  <si>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</si>
  <si>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</si>
  <si>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</si>
  <si>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</si>
  <si>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</si>
  <si>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</si>
  <si>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</si>
  <si>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</si>
  <si>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</si>
  <si>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</si>
  <si>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</si>
  <si>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</si>
  <si>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</si>
  <si>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</si>
  <si>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</si>
  <si>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WA</t>
  </si>
  <si>
    <t>WV</t>
  </si>
  <si>
    <t>WI</t>
  </si>
  <si>
    <t>WY</t>
  </si>
  <si>
    <t>QEBC</t>
  </si>
  <si>
    <t>The NMTC program is aimed at incentivizing community development and economic development through private investment. Private parties make equity investments in domestic partnerships called a Community Development Entity, to fund an economic development capital project. In return, investors receive a tax credit against their federal income tax. These tax credits are issued to CDE’s who select projects to receive the equity after an investor purchased the credit.</t>
  </si>
  <si>
    <t xml:space="preserve">No state funds in Vermont are dedicated by mode, as all modes are funded by a shared Transportation Fund. Vermont does not have any toll roads or ports. Vermont funding is dedicated for local transit operations, and may be used as local match for federal capital funds. </t>
  </si>
  <si>
    <t>$9M</t>
  </si>
  <si>
    <t>$71M</t>
  </si>
  <si>
    <t>$34M</t>
  </si>
  <si>
    <t>$77M</t>
  </si>
  <si>
    <t>$44M</t>
  </si>
  <si>
    <t>$288M</t>
  </si>
  <si>
    <t>$5M</t>
  </si>
  <si>
    <t>CDBG (16)</t>
  </si>
  <si>
    <t>HUD allocates its CDBG funds on a formula basis directly to larger cities and the country’s most-urban counties; for smaller cities and less-urban areas, CDBG allocations are made by formula to state agencies. Nearly all decision-making on the use of CDBG funds is made by local community development agencies that receive these funds from HUD. Funding available in FY17 and the amount of funding your state received in FY16 are presented in the Funding Available column.</t>
  </si>
  <si>
    <t>$7M</t>
  </si>
  <si>
    <t>$19M</t>
  </si>
  <si>
    <t>$67M</t>
  </si>
  <si>
    <t>$2M</t>
  </si>
  <si>
    <t>$26M</t>
  </si>
  <si>
    <t>$6M</t>
  </si>
  <si>
    <t>$190M</t>
  </si>
  <si>
    <t>$16M</t>
  </si>
  <si>
    <t>$42M</t>
  </si>
  <si>
    <t>$31M</t>
  </si>
  <si>
    <t>$8M</t>
  </si>
  <si>
    <t>$78M</t>
  </si>
  <si>
    <t>$90M</t>
  </si>
  <si>
    <t>$17M</t>
  </si>
  <si>
    <t>$160M</t>
  </si>
  <si>
    <t>$88M</t>
  </si>
  <si>
    <t>$41M</t>
  </si>
  <si>
    <t>$215M</t>
  </si>
  <si>
    <t>$21M</t>
  </si>
  <si>
    <t>$62M</t>
  </si>
  <si>
    <t>$27M</t>
  </si>
  <si>
    <t>$4M</t>
  </si>
  <si>
    <t>$50M</t>
  </si>
  <si>
    <t>$23M</t>
  </si>
  <si>
    <t>$357M</t>
  </si>
  <si>
    <t>$36M</t>
  </si>
  <si>
    <t>$150M</t>
  </si>
  <si>
    <t>$61M</t>
  </si>
  <si>
    <t>$39M</t>
  </si>
  <si>
    <t>$92M</t>
  </si>
  <si>
    <t>$57M</t>
  </si>
  <si>
    <t>$81M</t>
  </si>
  <si>
    <t>$72M</t>
  </si>
  <si>
    <t>$137M</t>
  </si>
  <si>
    <t>$25M</t>
  </si>
  <si>
    <t>$32M</t>
  </si>
  <si>
    <t>$170M</t>
  </si>
  <si>
    <t>$35M</t>
  </si>
  <si>
    <t>$217M</t>
  </si>
  <si>
    <t>$51M</t>
  </si>
  <si>
    <t>$1.02B</t>
  </si>
  <si>
    <t>$775M</t>
  </si>
  <si>
    <t>$185M</t>
  </si>
  <si>
    <t>$131M</t>
  </si>
  <si>
    <t>$267M</t>
  </si>
  <si>
    <t>$5,000</t>
  </si>
  <si>
    <t>$112,000</t>
  </si>
  <si>
    <t>$302,000</t>
  </si>
  <si>
    <t>Abbrev.</t>
  </si>
  <si>
    <t>TANF (15)</t>
  </si>
  <si>
    <t>The TANF Program is designed to help needy families achieve self-sufficiency through employment and training activities provided by the TANF Work Program. TANF funding for transportation is typically in the form of operational subsidies to provide rides to work, often in rural areas under the “Work-related Activities and Support” eligibility category. Funding available in FY17 and the amount of funding your state received in FY15 are presented in the Funding Available column.</t>
  </si>
  <si>
    <t>A QECB is a bond that enables qualified state, tribal, and local government issuers to borrow money at attractive rates to fund energy conservation projects. Issuers may choose between structuring QECBs as tax credit bonds or as direct subsidy bonds. Each state was allocated a maximum on QECB bonds, the amount shown in the Funding Available column is the total amount authorized to all states and the remaining amount available for your state as of July 31, 2016.</t>
  </si>
  <si>
    <t>This type of funding comes primarily from railway companies, from fees they charge each other and to passengers. More details will be provided below.</t>
  </si>
  <si>
    <t>If all transit in your region is organized under one single agency, the correct response to this question is "No". If you are still unsure, more details will be provided in the sections below.</t>
  </si>
  <si>
    <t>Toll revenues are the fees collected along tolled highways, bridges, or tunnels. If you are not sure whether local toll revenues can be used to provide cross modal funding, review the additional details provided below. More details on whether you may be eligible can be found at your local MPO's website.</t>
  </si>
  <si>
    <t>Roadways and Highways are a common source of cross modal funding, even if a current cross modal relationship does not exist. More details and examples will be provided below. More details on whether you may be eligible can be found at your local MPO's website.</t>
  </si>
  <si>
    <t>Funding solutions from other modes may still be possible, and some federal funding sources from programs that peripherally support or include public transportation as a service to constituents could also be an option. More details and examples will be provided below.</t>
  </si>
  <si>
    <t xml:space="preserve">Pennsylvania has a substantial Public Transportation Trust Fund that is funded by toll revenues. Additionally, lottery funds, and a portion of the state sales tax collected are set-aside to provide free rides for senior citizens on public transportation. </t>
  </si>
  <si>
    <t>Most transit funding in Rhode Island is supported by fuel taxes. A total of 9.75 cents per gallon is allocated to the Rhode Island Public Transit Authority (RIPTA) for operating expenses.</t>
  </si>
  <si>
    <t xml:space="preserve">In Louisiana, fuel tax revenues fund the Parish Transportation Fund Program, which can be used to fund transit. Additionally, the Louisiana Department of Transportation and Development receives 2.5% of the Fund's annual revenue to be used for rural and elderly and disabled transit providers. </t>
  </si>
  <si>
    <t>Maryland has a unified state transportation trust fund comprised of fuel taxes, vehicle registrations and titling fees, bonds, and general fund allocations, that is used to fund all modes, including transit.</t>
  </si>
  <si>
    <t>Purpose: Many traditional funding options for public transportation have become increasingly committed and unavailable, while transit needs continue to rise. This database provides recommendations and examples of innovative, non-traditional transit funding options to fill the gap in funding and meet the required local match for federal grants. These sources are known as cross modal investments, or transit funding from non-transit modes (e.g., roadways, highways, toll roads, freight rail, intercity passenger rail, port, and air). Cross modal investments have been used to advance transit projects of all sizes across the United States that otherwise may not have been funded.</t>
  </si>
  <si>
    <t>Bicycle / Pedestrian</t>
  </si>
  <si>
    <t>Bike / Pedestrian</t>
  </si>
  <si>
    <t>Bicycle and pedestrian funding programs may be able to be used for transit when paired with first-mile/last-mile improvements to transit stations, or when purchasing vehicles or equipment that would enable bicycle storing on transit or bicycle parking at stations.</t>
  </si>
  <si>
    <t>Bicycle and pedestrian funding programs may be able to be used for transit when paired with first-mile/last-mile improvements to transit stations, or when purchasing vehicles or equipment that would enable bicycle storing on transit or bicycle parking at stations. However, since these modes are not available in your area, this funding type is not a cross modal funding option.</t>
  </si>
  <si>
    <t>Annual cap-and-trade apportionments in California include the dedication of 25% of the program’s future revenues to California’s High Speed Rail program and 10% to the Transit and Intercity Rail Capital Program. Additional funding is allocated to programs that can include transit components, such as the Affordable Housing Sustainable Communities Program, the Transportation Climate Communities Program, and the Low Carbon Transit Operations Program.</t>
  </si>
  <si>
    <t>National Example Project</t>
  </si>
  <si>
    <t>Because LA County is a non-attainment area, LACMTA uses CMAQ program funds for transit. High priority projects include diesel retrofit programs, emissions reduction projects, and congestion mitigation projects that provide air quality benefits.</t>
  </si>
  <si>
    <t>OTHER</t>
  </si>
  <si>
    <t>Local Gas Taxes</t>
  </si>
  <si>
    <t>Local Parking Taxes</t>
  </si>
  <si>
    <t>Local Rental Car Taxes</t>
  </si>
  <si>
    <t>DOT</t>
  </si>
  <si>
    <t>ALDOT</t>
  </si>
  <si>
    <t>DOT&amp;PF</t>
  </si>
  <si>
    <t>ADOT</t>
  </si>
  <si>
    <t>AHTD</t>
  </si>
  <si>
    <t>Caltrans</t>
  </si>
  <si>
    <t>CDOT</t>
  </si>
  <si>
    <t>DelDOT</t>
  </si>
  <si>
    <t>FDOT</t>
  </si>
  <si>
    <t>GDOT</t>
  </si>
  <si>
    <t>HDOT</t>
  </si>
  <si>
    <t>ITD</t>
  </si>
  <si>
    <t>IDOT</t>
  </si>
  <si>
    <t>INDOT</t>
  </si>
  <si>
    <t>Iowa DOT</t>
  </si>
  <si>
    <t>KDOT</t>
  </si>
  <si>
    <t>KYTC</t>
  </si>
  <si>
    <t>DOTD</t>
  </si>
  <si>
    <t>MaineDOT</t>
  </si>
  <si>
    <t>MDOT</t>
  </si>
  <si>
    <t>MassDOT</t>
  </si>
  <si>
    <t>MnDOT</t>
  </si>
  <si>
    <t>MoDOT</t>
  </si>
  <si>
    <t>MDT</t>
  </si>
  <si>
    <t>NDOT</t>
  </si>
  <si>
    <t>NHDOT</t>
  </si>
  <si>
    <t>NJDOT</t>
  </si>
  <si>
    <t>NMDOT</t>
  </si>
  <si>
    <t>NCDOT</t>
  </si>
  <si>
    <t>NYSDOT</t>
  </si>
  <si>
    <t>NDDOT</t>
  </si>
  <si>
    <t>ODOT</t>
  </si>
  <si>
    <t>PennDOT</t>
  </si>
  <si>
    <t>RIDOT</t>
  </si>
  <si>
    <t>SCDOT</t>
  </si>
  <si>
    <t>SDDOT</t>
  </si>
  <si>
    <t>TDOT</t>
  </si>
  <si>
    <t>TxDOT</t>
  </si>
  <si>
    <t>UDOT</t>
  </si>
  <si>
    <t>VDOT</t>
  </si>
  <si>
    <t>WSDOT</t>
  </si>
  <si>
    <t>WVDOT</t>
  </si>
  <si>
    <t>WisDOT</t>
  </si>
  <si>
    <t>WYDOT</t>
  </si>
  <si>
    <t>USDOT</t>
  </si>
  <si>
    <t>http://www.dot.state.al.us/</t>
  </si>
  <si>
    <t>http://www.dot.state.ak.us/</t>
  </si>
  <si>
    <t>https://www.azdot.gov/</t>
  </si>
  <si>
    <t>http://www.arkansashighways.com/</t>
  </si>
  <si>
    <t>http://www.dot.ca.gov/</t>
  </si>
  <si>
    <t>DDOT</t>
  </si>
  <si>
    <t>https://www.codot.gov/</t>
  </si>
  <si>
    <t>http://www.deldot.gov/</t>
  </si>
  <si>
    <t>https://ddot.dc.gov/</t>
  </si>
  <si>
    <t>http://www.fdot.gov/</t>
  </si>
  <si>
    <t>http://www.dot.ga.gov/</t>
  </si>
  <si>
    <t>http://hidot.hawaii.gov/</t>
  </si>
  <si>
    <t>http://itd.idaho.gov/</t>
  </si>
  <si>
    <t>http://www.idot.illinois.gov/</t>
  </si>
  <si>
    <t>http://www.in.gov/indot/</t>
  </si>
  <si>
    <t>https://www.iowadot.gov</t>
  </si>
  <si>
    <t>http://www.ksdot.org/</t>
  </si>
  <si>
    <t>http://transportation.ky.gov/</t>
  </si>
  <si>
    <t>http://wwwsp.dotd.la.gov/</t>
  </si>
  <si>
    <t>http://www.maine.gov/mdot/</t>
  </si>
  <si>
    <t>http://www.mdot.maryland.gov/</t>
  </si>
  <si>
    <t>http://www.massdot.state.ma.us/</t>
  </si>
  <si>
    <t>http://www.michigan.gov/mdot/</t>
  </si>
  <si>
    <t>http://www.dot.state.mn.us/</t>
  </si>
  <si>
    <t>http://mdot.ms.gov</t>
  </si>
  <si>
    <t>http://www.modot.org/</t>
  </si>
  <si>
    <t>http://www.mdt.mt.gov/</t>
  </si>
  <si>
    <t>https://www.nevadadot.com/</t>
  </si>
  <si>
    <t>http://www.nh.gov/dot/</t>
  </si>
  <si>
    <t>http://www.state.nj.us/transportation/</t>
  </si>
  <si>
    <t>http://dot.state.nm.us</t>
  </si>
  <si>
    <t>https://www.dot.ny.gov</t>
  </si>
  <si>
    <t>https://www.ncdot.gov/</t>
  </si>
  <si>
    <t>http://www.dot.nd.gov/</t>
  </si>
  <si>
    <t>http://www.dot.state.oh.us</t>
  </si>
  <si>
    <t>http://www.oregon.gov/odot</t>
  </si>
  <si>
    <t>https://ok.gov/odot/</t>
  </si>
  <si>
    <t>http://www.penndot.gov</t>
  </si>
  <si>
    <t>http://www.dot.ri.gov/</t>
  </si>
  <si>
    <t>http://www.dot.state.sc.us/</t>
  </si>
  <si>
    <t>http://www.sddot.com/</t>
  </si>
  <si>
    <t>http://www.tn.gov/tdot</t>
  </si>
  <si>
    <t>http://www.txdot.gov/</t>
  </si>
  <si>
    <t>http://www.udot.utah.gov</t>
  </si>
  <si>
    <t>http://vtrans.vermont.gov/</t>
  </si>
  <si>
    <t>http://www.virginiadot.org/</t>
  </si>
  <si>
    <t>http://www.wsdot.wa.gov/</t>
  </si>
  <si>
    <t>http://www.transportation.wv.gov</t>
  </si>
  <si>
    <t>http://wisconsindot.gov</t>
  </si>
  <si>
    <t>http://www.dot.state.wy.us</t>
  </si>
  <si>
    <t>https://www.transportation.gov/</t>
  </si>
  <si>
    <t>VTrans</t>
  </si>
  <si>
    <t>In past years, 9.6% nationally went to transit; can be used for a broad range of capital purposes</t>
  </si>
  <si>
    <t>Nationally, 0.13% was used on transportation in FY16; may be used as “non-federal” matching funds for FTA formula programs</t>
  </si>
  <si>
    <t>Where these taxes are levied, it is common for a portion to be dedicated to transit</t>
  </si>
  <si>
    <t>Because Alaska's constitution prohibits the dedication of state revenues to any specific purpose (with some exceptions), there are no restrictions on whether motor vehicle revenues can be used for transit</t>
  </si>
  <si>
    <t>Motor vehicle fees can be restricted from being used to fund other modes</t>
  </si>
  <si>
    <t>Arizona dedicates revenues from all motor vehicle fees, except the automobile license tax, to highways and roads</t>
  </si>
  <si>
    <t>Illinois recently passed a "lockbox" amendment, restricting all transportation revenues to be spent on transportation</t>
  </si>
  <si>
    <t>In Hawaii, some motor vehicle fees are dedicated to highways and roads, while others can be used for transit</t>
  </si>
  <si>
    <t>In Michigan, a portion of motor vehicle fees, including vehicle registration taxes, can be used for transit</t>
  </si>
  <si>
    <t>QEBC to transit</t>
  </si>
  <si>
    <t>CMAQ to transit</t>
  </si>
  <si>
    <t>In past years, 54% of funds nationally went to transit; can cover capital costs and up to 5 years of operating costs for a new service</t>
  </si>
  <si>
    <t>STBG to transit</t>
  </si>
  <si>
    <t>CDBG to transit</t>
  </si>
  <si>
    <t>NMTC to transit</t>
  </si>
  <si>
    <t>While motor vehicle fees in Arkansas are not specifically restricted from being used on transit, they have not been used to fund transit in recent years</t>
  </si>
  <si>
    <t>In California, motor vehicle fees can be used for certain transit projects under the same restrictions as for fuel taxes</t>
  </si>
  <si>
    <t>Transportation-related revenues are used to fund the State Public Transportation Fund in Georgia</t>
  </si>
  <si>
    <t>In Iowa, motor vehicle sales taxes are used to fund transit, but other motor vehicle registration and licensing fees are restricted to roadways and highways by the state constitution</t>
  </si>
  <si>
    <t>Motor Vehicle Fees for Transit?</t>
  </si>
  <si>
    <t>DOT Website</t>
  </si>
  <si>
    <t>http://www.ct.gov/dot/</t>
  </si>
  <si>
    <t>CTDOT</t>
  </si>
  <si>
    <t>In Mississippi, the Multi-Modal Transportation Improvement Fund is funded by state revenues that are not otherwise dedicated</t>
  </si>
  <si>
    <t>In Montana, use of highway user fee revenues for transit requires a three-fifths vote in both houses in the state legislature</t>
  </si>
  <si>
    <t>Nevada restricts the use of motor vehicle related fees and charges to highways, except any tax imposed upon vehicles in lieu of an ad valorem property tax</t>
  </si>
  <si>
    <t>In Indiana, vehicle registration, license, and title fees can be used for highways</t>
  </si>
  <si>
    <t>In Washington, some vehicle revenues are constitutionally required to be used exclusively for highways, while others are deposited into the multimodal transportation account</t>
  </si>
  <si>
    <t>The public mass transit account in Wyoming is funded by a portion of unrestricted state highway funds</t>
  </si>
  <si>
    <t>Iowa allocates 4% of vehicle and equipment registration fees to the State Transit Assistance Fund to be distributed by formula to all 35 transit systems. Additional state funding generated through sales tax at casinos may be appropriated to infrastructure projects that support and improve public transit.</t>
  </si>
  <si>
    <t>Transit and other modes in Missouri are funded by a portion of the proceeds from the state sales tax on motor vehicles</t>
  </si>
  <si>
    <t>https://www.azdot.gov/business/environmental-planning/air-quality/Congestion-Mitigation-Air-Quality-transportation-control-measures</t>
  </si>
  <si>
    <t>Within roadway / highway, are there currently any toll roads?</t>
  </si>
  <si>
    <t>Within roadway / highway, are there separate bridge funding mechanisms?</t>
  </si>
  <si>
    <t>4a</t>
  </si>
  <si>
    <t>4b</t>
  </si>
  <si>
    <t>Project Type</t>
  </si>
  <si>
    <t>Transit Oriented Development</t>
  </si>
  <si>
    <t>Bus</t>
  </si>
  <si>
    <t>Ferry</t>
  </si>
  <si>
    <t>Rail</t>
  </si>
  <si>
    <t>Demand Response</t>
  </si>
  <si>
    <t>Multi-Modal</t>
  </si>
  <si>
    <t>$104M</t>
  </si>
  <si>
    <t>$222M</t>
  </si>
  <si>
    <t>$63M</t>
  </si>
  <si>
    <t>$3.654B</t>
  </si>
  <si>
    <t>$151M</t>
  </si>
  <si>
    <t>$562M</t>
  </si>
  <si>
    <t>$331M</t>
  </si>
  <si>
    <t>$110M</t>
  </si>
  <si>
    <t>$585M</t>
  </si>
  <si>
    <t>$207M</t>
  </si>
  <si>
    <t>$102M</t>
  </si>
  <si>
    <t>$181M</t>
  </si>
  <si>
    <t>$164M</t>
  </si>
  <si>
    <t>$255M</t>
  </si>
  <si>
    <t>$511M</t>
  </si>
  <si>
    <t>$262M</t>
  </si>
  <si>
    <t>$241M</t>
  </si>
  <si>
    <t>$404M</t>
  </si>
  <si>
    <t>$2.715B</t>
  </si>
  <si>
    <t>$335M</t>
  </si>
  <si>
    <t>$728M</t>
  </si>
  <si>
    <t>$145M</t>
  </si>
  <si>
    <t>$719M</t>
  </si>
  <si>
    <t>$95M</t>
  </si>
  <si>
    <t>$213M</t>
  </si>
  <si>
    <t>$540M</t>
  </si>
  <si>
    <t>$47M</t>
  </si>
  <si>
    <t>$158M</t>
  </si>
  <si>
    <t>$423M</t>
  </si>
  <si>
    <t>$349M</t>
  </si>
  <si>
    <t>$1.3M</t>
  </si>
  <si>
    <t>$245M</t>
  </si>
  <si>
    <t>$7.1M</t>
  </si>
  <si>
    <t>$1.8M</t>
  </si>
  <si>
    <t>$3.4M</t>
  </si>
  <si>
    <t>$3.6M</t>
  </si>
  <si>
    <t>$1.7M</t>
  </si>
  <si>
    <t>$1.6M</t>
  </si>
  <si>
    <t>$3.3M</t>
  </si>
  <si>
    <t>$5.2M</t>
  </si>
  <si>
    <t>$2.7M</t>
  </si>
  <si>
    <t>$8.4M</t>
  </si>
  <si>
    <t>$1.2M</t>
  </si>
  <si>
    <t>$9.3M</t>
  </si>
  <si>
    <t>$5.6M</t>
  </si>
  <si>
    <t>$17.3M</t>
  </si>
  <si>
    <t>$2.2M</t>
  </si>
  <si>
    <t>$8.3M</t>
  </si>
  <si>
    <t>$1.5M</t>
  </si>
  <si>
    <t>$3.9M</t>
  </si>
  <si>
    <t>TANF to work supports</t>
  </si>
  <si>
    <t>Project Mode and Type</t>
  </si>
  <si>
    <t>Capital</t>
  </si>
  <si>
    <t>Complete Street/Bike/Ped</t>
  </si>
  <si>
    <t>Operating / Maintenance</t>
  </si>
  <si>
    <t>Capital expenses for buses include stops, vehicles, and maintenance and administrative facilities. Some funding programs, particularly at the federal level, are dedicated exclusively to capital projects. More details will be provided in the program descriptions below.</t>
  </si>
  <si>
    <t>Capital expenses for rail modes include fixed guideways, stations and stops, vehicles, and maintenance and administrative facilities. Some funding programs, particularly at the federal level, are dedicated exclusively to capital projects. More details will be provided in the program descriptions below.</t>
  </si>
  <si>
    <t>Because ferries travel by water, they do not require roadway or guideway infrastructure, but other investments such as stations and maintenance facilities still require funding. Some funding programs, particularly at the federal level, are dedicated exclusively to capital projects. More details will be provided in the program descriptions below.</t>
  </si>
  <si>
    <t>Multi-modal projects offer many opportunities for cross modal funding, as operating funds from one mode can be coordinated for use on another mode through existing partnerships and financial agreements.</t>
  </si>
  <si>
    <t>Housing and affordable housing fund grant programs may be able to be leveraged for transit funding for TOD projects, and other cross modal funding sources may also be available.</t>
  </si>
  <si>
    <t>Some funding programs, particularly at the federal level, are restricted to being used exclusively for capital expenses and may not be eligible cross modal funding sources. More details will be provided in the program descriptions below.</t>
  </si>
  <si>
    <t>Some funding programs are restricted to being used exclusively for capital or for operating expenses. More details will be provided in the program descriptions below.</t>
  </si>
  <si>
    <t>A significant portion of operating expenses for buses in the United States come from passenger fares, but funding gaps still exist and may be able to be covered by cross modal funding sources. However, some funding programs, particularly at the federal level, are restricted to being used exclusively for capital expenses.</t>
  </si>
  <si>
    <t>Ferries have relatively high operating costs per vehicle revenue hour compared to other transit modes, but due to the high capacity per vehicle the cost per boarding is not as high. Some operating expenses are covered by passenger fares, but funding gaps still exist and may be able to be covered by cross modal funding sources. However, some funding programs, particularly at the federal level, are restricted to being used exclusively for capital expenses.</t>
  </si>
  <si>
    <t>Because demand response systems tend to provide single or low occupancy trips, operating costs per passenger are higher than for other modes. Funding programs that are designated specifically for demand response systems exist, and there may be options for cross modal funding from other sources as well.</t>
  </si>
  <si>
    <t>A subset of multi-modal projects include those with both transit and active transportation modes, including first-mile/last-mile transportation solutions and complete street projects. Specific funding programs exist in some areas to help fund these types of projects. More detail will be provided below.</t>
  </si>
  <si>
    <t>A subset of multi-modal projects include those with both transit and active transportation modes, including first-mile/last-mile transportation solutions and complete street projects. Specific funding programs exist in some areas to help fund these types of projects, and some are dedicated exclusively to capital expenses. More detail will be provided below.</t>
  </si>
  <si>
    <t>While capital investments tend to be higher for rail than for bus, operating costs per passenger mile tend to be lower. A significant portion of operating expenses in the United States are covered by passenger fares, but funding gaps still exist and may be able to be covered by cross modal funding sources. However, some funding programs, particularly at the federal level, are restricted to being used exclusively for capital expenses.</t>
  </si>
  <si>
    <t>Demand response systems tend to have low capital costs, particularly because they tend not to have fixed routes. However, there are some capital costs, including vehicle procurement. Funding programs that are designated specifically for demand response systems exist, and there may be options for cross modal funding from other sources as well.</t>
  </si>
  <si>
    <t>Multi-modal projects offer many opportunities for cross modal funding. When designing a multi-modal project, investments primarily intended for one mode can often be used for other modes as well, with some planning and modifications. This can allow for more flexibility in the use of mode-restricted funds.</t>
  </si>
  <si>
    <t>Directions: Begin by responding to the background questions in the top half of the sheet, including any follow up questions. The cell currently labeled "STOP" will change to "Recommendations" once you have provided all required responses. You can then continue to the bottom half of the sheet to view your recommendations. Links provided throughout the sheet will bring you to program or DOT websites with additional relevant information and details on eligibility. These links were last updated on July 31, 2017.</t>
  </si>
  <si>
    <t>http://dot.nebraska.gov/</t>
  </si>
  <si>
    <t>Nebraska 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</si>
</sst>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0.0%"/>
    <numFmt numFmtId="165" formatCode="0.0"/>
    <numFmt numFmtId="166" formatCode="&quot;$&quot;#,##0"/>
  </numFmts>
  <fonts count="23" x14ac:knownFonts="1">
    <font>
      <sz val="11"/>
      <color theme="1"/>
      <name val="Calibri"/>
      <family val="2"/>
      <scheme val="minor"/>
    </font>
    <font>
      <sz val="16"/>
      <color theme="1"/>
      <name val="Arial"/>
      <family val="2"/>
    </font>
    <font>
      <sz val="14"/>
      <color theme="1"/>
      <name val="Arial"/>
      <family val="2"/>
    </font>
    <font>
      <sz val="11"/>
      <color theme="1"/>
      <name val="Arial"/>
      <family val="2"/>
    </font>
    <font>
      <sz val="14"/>
      <color rgb="FF4A66AC"/>
      <name val="Arial"/>
      <family val="2"/>
    </font>
    <font>
      <sz val="10"/>
      <name val="Arial"/>
      <family val="2"/>
    </font>
    <font>
      <b/>
      <sz val="16"/>
      <color rgb="FF4A66AC"/>
      <name val="Arial"/>
      <family val="2"/>
    </font>
    <font>
      <b/>
      <sz val="14"/>
      <color rgb="FF4A66AC"/>
      <name val="Arial"/>
      <family val="2"/>
    </font>
    <font>
      <sz val="11"/>
      <color theme="0"/>
      <name val="Arial"/>
      <family val="2"/>
    </font>
    <font>
      <sz val="14"/>
      <color theme="0"/>
      <name val="Arial"/>
      <family val="2"/>
    </font>
    <font>
      <b/>
      <sz val="14"/>
      <color theme="0"/>
      <name val="Arial"/>
      <family val="2"/>
    </font>
    <font>
      <sz val="11"/>
      <name val="Arial"/>
      <family val="2"/>
    </font>
    <font>
      <b/>
      <sz val="11"/>
      <color theme="1"/>
      <name val="Arial"/>
      <family val="2"/>
    </font>
    <font>
      <b/>
      <sz val="11"/>
      <name val="Arial"/>
      <family val="2"/>
    </font>
    <font>
      <sz val="11"/>
      <color theme="1"/>
      <name val="Calibri"/>
      <family val="2"/>
      <scheme val="minor"/>
    </font>
    <font>
      <sz val="11"/>
      <color rgb="FF000000"/>
      <name val="Arial"/>
      <family val="2"/>
    </font>
    <font>
      <sz val="12"/>
      <color theme="1"/>
      <name val="Arial"/>
      <family val="2"/>
    </font>
    <font>
      <sz val="16"/>
      <color theme="0"/>
      <name val="Arial"/>
      <family val="2"/>
    </font>
    <font>
      <sz val="14"/>
      <color theme="1"/>
      <name val="Calibri"/>
      <family val="2"/>
      <scheme val="minor"/>
    </font>
    <font>
      <u/>
      <sz val="11"/>
      <color theme="10"/>
      <name val="Calibri"/>
      <family val="2"/>
      <scheme val="minor"/>
    </font>
    <font>
      <u/>
      <sz val="11"/>
      <color theme="10"/>
      <name val="Arial"/>
      <family val="2"/>
    </font>
    <font>
      <i/>
      <sz val="11"/>
      <name val="Arial"/>
      <family val="2"/>
    </font>
    <font>
      <b/>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0" tint="-0.249977111117893"/>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s>
  <cellStyleXfs count="3">
    <xf numFmtId="0" fontId="0" fillId="0" borderId="0"/>
    <xf numFmtId="9" fontId="14" fillId="0" borderId="0" applyFont="0" applyFill="0" applyBorder="0" applyAlignment="0" applyProtection="0"/>
    <xf numFmtId="0" fontId="19" fillId="0" borderId="0" applyNumberFormat="0" applyFill="0" applyBorder="0" applyAlignment="0" applyProtection="0"/>
  </cellStyleXfs>
  <cellXfs count="160">
    <xf numFmtId="0" fontId="0" fillId="0" borderId="0" xfId="0"/>
    <xf numFmtId="0" fontId="8" fillId="0" borderId="11" xfId="0" applyFont="1" applyBorder="1" applyAlignment="1" applyProtection="1">
      <alignment horizontal="center" vertical="center"/>
      <protection locked="0"/>
    </xf>
    <xf numFmtId="0" fontId="3" fillId="0" borderId="11" xfId="0" applyFont="1" applyBorder="1"/>
    <xf numFmtId="0" fontId="0" fillId="0" borderId="0" xfId="0" applyAlignment="1">
      <alignment vertical="center"/>
    </xf>
    <xf numFmtId="0" fontId="1" fillId="0" borderId="1" xfId="0" applyFont="1" applyBorder="1" applyAlignment="1">
      <alignment horizontal="centerContinuous" vertical="center"/>
    </xf>
    <xf numFmtId="0" fontId="6" fillId="0" borderId="2" xfId="0" applyFont="1" applyBorder="1" applyAlignment="1">
      <alignment horizontal="centerContinuous" vertical="center"/>
    </xf>
    <xf numFmtId="0" fontId="3" fillId="0" borderId="2" xfId="0" applyFont="1" applyBorder="1" applyAlignment="1">
      <alignment horizontal="centerContinuous" vertical="center"/>
    </xf>
    <xf numFmtId="0" fontId="3" fillId="0" borderId="3" xfId="0" applyFont="1" applyBorder="1" applyAlignment="1">
      <alignment horizontal="centerContinuous" vertical="center"/>
    </xf>
    <xf numFmtId="0" fontId="2" fillId="0" borderId="1" xfId="0" applyFont="1" applyBorder="1" applyAlignment="1">
      <alignment vertical="center"/>
    </xf>
    <xf numFmtId="0" fontId="4" fillId="0" borderId="2" xfId="0" applyFont="1" applyBorder="1" applyAlignment="1">
      <alignment horizontal="centerContinuous" vertical="center"/>
    </xf>
    <xf numFmtId="0" fontId="3" fillId="0" borderId="0" xfId="0" applyFont="1"/>
    <xf numFmtId="0" fontId="3" fillId="0" borderId="11" xfId="0" applyFont="1" applyBorder="1" applyAlignment="1">
      <alignment vertical="center" wrapText="1"/>
    </xf>
    <xf numFmtId="0" fontId="11" fillId="0" borderId="11" xfId="0" applyFont="1" applyBorder="1" applyAlignment="1">
      <alignment vertical="center"/>
    </xf>
    <xf numFmtId="0" fontId="11" fillId="0" borderId="18" xfId="0" applyFont="1" applyBorder="1" applyAlignment="1">
      <alignment vertical="center"/>
    </xf>
    <xf numFmtId="0" fontId="11" fillId="0" borderId="18" xfId="0" applyFont="1" applyBorder="1" applyAlignment="1">
      <alignment horizontal="center" vertical="center"/>
    </xf>
    <xf numFmtId="0" fontId="11" fillId="0" borderId="18" xfId="0" applyFont="1" applyBorder="1" applyAlignment="1">
      <alignment vertical="center" wrapText="1"/>
    </xf>
    <xf numFmtId="0" fontId="11" fillId="0" borderId="11" xfId="0" applyFont="1" applyBorder="1" applyAlignment="1">
      <alignment horizontal="left" vertical="center"/>
    </xf>
    <xf numFmtId="0" fontId="11" fillId="0" borderId="11" xfId="0" applyFont="1" applyBorder="1" applyAlignment="1">
      <alignment vertical="center" wrapText="1"/>
    </xf>
    <xf numFmtId="0" fontId="0" fillId="0" borderId="0" xfId="0" applyAlignment="1">
      <alignment wrapText="1"/>
    </xf>
    <xf numFmtId="0" fontId="12" fillId="0" borderId="0" xfId="0" applyFont="1" applyBorder="1"/>
    <xf numFmtId="0" fontId="3" fillId="0" borderId="0" xfId="0" applyFont="1" applyBorder="1"/>
    <xf numFmtId="0" fontId="11" fillId="0" borderId="18" xfId="0" applyFont="1" applyBorder="1" applyAlignment="1">
      <alignment horizontal="center" vertical="center" wrapText="1"/>
    </xf>
    <xf numFmtId="0" fontId="11" fillId="0" borderId="16" xfId="0" applyFont="1" applyBorder="1" applyAlignment="1">
      <alignment horizontal="left" vertical="center" wrapText="1"/>
    </xf>
    <xf numFmtId="0" fontId="3" fillId="0" borderId="0" xfId="0" applyFont="1" applyBorder="1" applyAlignment="1">
      <alignment horizontal="centerContinuous" vertical="center"/>
    </xf>
    <xf numFmtId="0" fontId="11" fillId="0" borderId="0" xfId="0" applyFont="1" applyBorder="1" applyAlignment="1">
      <alignment vertical="center"/>
    </xf>
    <xf numFmtId="0" fontId="3" fillId="0" borderId="8" xfId="0" applyFont="1" applyBorder="1" applyAlignment="1">
      <alignment horizontal="centerContinuous" vertical="center"/>
    </xf>
    <xf numFmtId="0" fontId="2" fillId="0" borderId="7" xfId="0" applyFont="1" applyBorder="1" applyAlignment="1">
      <alignment horizontal="centerContinuous" vertical="center"/>
    </xf>
    <xf numFmtId="0" fontId="7" fillId="0" borderId="0" xfId="0" applyFont="1" applyBorder="1" applyAlignment="1">
      <alignment horizontal="centerContinuous" vertical="center"/>
    </xf>
    <xf numFmtId="0" fontId="10" fillId="3" borderId="0" xfId="0" applyFont="1" applyFill="1" applyBorder="1" applyAlignment="1">
      <alignment vertical="center"/>
    </xf>
    <xf numFmtId="0" fontId="3" fillId="0" borderId="11" xfId="0" applyFont="1" applyBorder="1" applyAlignment="1">
      <alignment vertical="center"/>
    </xf>
    <xf numFmtId="0" fontId="12" fillId="0" borderId="11" xfId="0" applyFont="1" applyBorder="1"/>
    <xf numFmtId="0" fontId="0" fillId="0" borderId="0" xfId="0" applyBorder="1"/>
    <xf numFmtId="0" fontId="12" fillId="0" borderId="11" xfId="0" applyFont="1" applyBorder="1" applyAlignment="1">
      <alignment vertical="center"/>
    </xf>
    <xf numFmtId="0" fontId="12" fillId="0" borderId="0" xfId="0" applyFont="1" applyBorder="1" applyAlignment="1">
      <alignment vertical="center"/>
    </xf>
    <xf numFmtId="0" fontId="3" fillId="0" borderId="11" xfId="0" applyFont="1" applyBorder="1" applyAlignment="1">
      <alignment horizontal="left" vertical="center"/>
    </xf>
    <xf numFmtId="0" fontId="3" fillId="0" borderId="11" xfId="0" applyFont="1" applyBorder="1" applyAlignment="1">
      <alignment horizontal="left" vertical="center" wrapText="1"/>
    </xf>
    <xf numFmtId="0" fontId="12" fillId="0" borderId="11" xfId="0" applyFont="1" applyFill="1" applyBorder="1" applyAlignment="1">
      <alignment vertical="center"/>
    </xf>
    <xf numFmtId="0" fontId="12" fillId="0" borderId="11" xfId="0" applyFont="1" applyBorder="1" applyAlignment="1">
      <alignment vertical="center" wrapText="1"/>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11" fillId="0" borderId="19" xfId="0" applyFont="1" applyBorder="1" applyAlignment="1">
      <alignment horizontal="left" vertical="center" wrapText="1"/>
    </xf>
    <xf numFmtId="6" fontId="3" fillId="0" borderId="11" xfId="0" applyNumberFormat="1" applyFont="1" applyBorder="1" applyAlignment="1">
      <alignment horizontal="center" vertical="center" wrapText="1"/>
    </xf>
    <xf numFmtId="0" fontId="3" fillId="0" borderId="20" xfId="0" applyFont="1" applyBorder="1" applyAlignment="1">
      <alignment horizontal="center" vertical="center"/>
    </xf>
    <xf numFmtId="0" fontId="11" fillId="0" borderId="18" xfId="0" applyFont="1" applyBorder="1" applyAlignment="1">
      <alignment horizontal="left" vertical="center" wrapText="1"/>
    </xf>
    <xf numFmtId="0" fontId="11" fillId="0" borderId="11" xfId="0" applyFont="1" applyBorder="1" applyAlignment="1">
      <alignment horizontal="left" vertical="center" wrapText="1"/>
    </xf>
    <xf numFmtId="0" fontId="2" fillId="3" borderId="1" xfId="0" applyFont="1" applyFill="1" applyBorder="1" applyAlignment="1">
      <alignment horizontal="left" vertical="center"/>
    </xf>
    <xf numFmtId="0" fontId="10" fillId="3" borderId="2" xfId="0" applyFont="1" applyFill="1" applyBorder="1" applyAlignment="1">
      <alignment vertical="center"/>
    </xf>
    <xf numFmtId="0" fontId="9" fillId="3" borderId="2" xfId="0" applyFont="1" applyFill="1" applyBorder="1" applyAlignment="1" applyProtection="1">
      <alignment horizontal="center" vertical="center"/>
      <protection locked="0"/>
    </xf>
    <xf numFmtId="0" fontId="9" fillId="3" borderId="2" xfId="0" applyFont="1" applyFill="1" applyBorder="1" applyAlignment="1">
      <alignment vertical="center"/>
    </xf>
    <xf numFmtId="0" fontId="9" fillId="3" borderId="3" xfId="0" applyFont="1" applyFill="1" applyBorder="1" applyAlignment="1">
      <alignment vertical="center"/>
    </xf>
    <xf numFmtId="0" fontId="12" fillId="4" borderId="11" xfId="0" applyFont="1" applyFill="1" applyBorder="1" applyAlignment="1">
      <alignment horizontal="center" vertical="center" wrapText="1"/>
    </xf>
    <xf numFmtId="0" fontId="3" fillId="4" borderId="11" xfId="0" applyFont="1" applyFill="1" applyBorder="1" applyAlignment="1">
      <alignment horizontal="left" vertical="center"/>
    </xf>
    <xf numFmtId="0" fontId="3" fillId="4" borderId="11" xfId="0" applyFont="1" applyFill="1" applyBorder="1" applyAlignment="1">
      <alignment vertical="center" wrapText="1"/>
    </xf>
    <xf numFmtId="0" fontId="3" fillId="4" borderId="20" xfId="0" applyFont="1" applyFill="1" applyBorder="1" applyAlignment="1">
      <alignment horizontal="center" vertical="center"/>
    </xf>
    <xf numFmtId="0" fontId="3" fillId="4" borderId="20" xfId="0" applyFont="1" applyFill="1" applyBorder="1" applyAlignment="1">
      <alignment horizontal="left" vertical="center"/>
    </xf>
    <xf numFmtId="0" fontId="3" fillId="4" borderId="20" xfId="0" applyFont="1" applyFill="1" applyBorder="1" applyAlignment="1">
      <alignment horizontal="left" vertical="center" wrapText="1"/>
    </xf>
    <xf numFmtId="0" fontId="12" fillId="4" borderId="11" xfId="0" applyFont="1" applyFill="1" applyBorder="1" applyAlignment="1">
      <alignment horizontal="center" vertical="center"/>
    </xf>
    <xf numFmtId="0" fontId="3" fillId="4" borderId="11" xfId="0" applyFont="1" applyFill="1" applyBorder="1" applyAlignment="1">
      <alignment horizontal="left" vertical="center" wrapText="1"/>
    </xf>
    <xf numFmtId="6" fontId="3" fillId="4" borderId="20" xfId="0" applyNumberFormat="1" applyFont="1" applyFill="1" applyBorder="1" applyAlignment="1">
      <alignment horizontal="center" vertical="center" wrapText="1"/>
    </xf>
    <xf numFmtId="0" fontId="3" fillId="4" borderId="20" xfId="0" applyFont="1" applyFill="1" applyBorder="1" applyAlignment="1">
      <alignment horizontal="center" vertical="center" wrapText="1"/>
    </xf>
    <xf numFmtId="0" fontId="12" fillId="4" borderId="11" xfId="0" applyFont="1" applyFill="1" applyBorder="1" applyAlignment="1">
      <alignment vertical="center"/>
    </xf>
    <xf numFmtId="0" fontId="12" fillId="4" borderId="11" xfId="0" applyFont="1" applyFill="1" applyBorder="1" applyAlignment="1">
      <alignment vertical="center" wrapText="1"/>
    </xf>
    <xf numFmtId="0" fontId="12" fillId="0" borderId="11" xfId="0" applyFont="1" applyBorder="1" applyAlignment="1">
      <alignment horizontal="left" vertical="center" wrapText="1"/>
    </xf>
    <xf numFmtId="164" fontId="11" fillId="0" borderId="11" xfId="1" applyNumberFormat="1" applyFont="1" applyBorder="1" applyAlignment="1">
      <alignment horizontal="center" vertical="center" wrapText="1"/>
    </xf>
    <xf numFmtId="164" fontId="3" fillId="0" borderId="11" xfId="1" applyNumberFormat="1" applyFont="1" applyBorder="1" applyAlignment="1">
      <alignment horizontal="center" vertical="center" wrapText="1"/>
    </xf>
    <xf numFmtId="2" fontId="15" fillId="0" borderId="11" xfId="0" applyNumberFormat="1" applyFont="1" applyBorder="1" applyAlignment="1">
      <alignment horizontal="right" vertical="center" wrapText="1"/>
    </xf>
    <xf numFmtId="2" fontId="15" fillId="0" borderId="11" xfId="0" applyNumberFormat="1" applyFont="1" applyBorder="1" applyAlignment="1">
      <alignment horizontal="right" vertical="center"/>
    </xf>
    <xf numFmtId="165" fontId="15" fillId="0" borderId="11" xfId="0" applyNumberFormat="1" applyFont="1" applyBorder="1" applyAlignment="1">
      <alignment horizontal="right" vertical="center" wrapText="1"/>
    </xf>
    <xf numFmtId="1" fontId="15" fillId="0" borderId="11" xfId="0" applyNumberFormat="1" applyFont="1" applyBorder="1" applyAlignment="1">
      <alignment horizontal="right" vertical="center" wrapText="1"/>
    </xf>
    <xf numFmtId="0" fontId="11" fillId="0" borderId="32" xfId="0" applyFont="1" applyBorder="1" applyAlignment="1">
      <alignment vertical="center" wrapText="1"/>
    </xf>
    <xf numFmtId="0" fontId="11" fillId="0" borderId="32" xfId="0" applyFont="1" applyBorder="1" applyAlignment="1">
      <alignment horizontal="center" vertical="center"/>
    </xf>
    <xf numFmtId="0" fontId="11" fillId="0" borderId="32" xfId="0" applyFont="1" applyBorder="1" applyAlignment="1">
      <alignment horizontal="center"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3" fillId="0" borderId="11" xfId="0" applyFont="1" applyBorder="1" applyAlignment="1">
      <alignment wrapText="1"/>
    </xf>
    <xf numFmtId="0" fontId="12" fillId="0" borderId="11" xfId="0" applyFont="1" applyBorder="1" applyAlignment="1">
      <alignment horizontal="center" vertical="center" wrapText="1"/>
    </xf>
    <xf numFmtId="0" fontId="12" fillId="0" borderId="11" xfId="0" applyFont="1" applyBorder="1" applyAlignment="1">
      <alignment horizontal="center" vertical="center"/>
    </xf>
    <xf numFmtId="1" fontId="15" fillId="0" borderId="11" xfId="0" applyNumberFormat="1" applyFont="1" applyBorder="1" applyAlignment="1">
      <alignment horizontal="right" vertical="center"/>
    </xf>
    <xf numFmtId="0" fontId="13" fillId="0" borderId="11" xfId="0" applyFont="1" applyBorder="1" applyAlignment="1">
      <alignment wrapText="1"/>
    </xf>
    <xf numFmtId="0" fontId="12" fillId="0" borderId="11" xfId="0" applyFont="1" applyBorder="1" applyAlignment="1">
      <alignment wrapText="1"/>
    </xf>
    <xf numFmtId="0" fontId="3" fillId="0" borderId="11" xfId="0" applyFont="1" applyBorder="1" applyAlignment="1">
      <alignment horizontal="right" vertical="center"/>
    </xf>
    <xf numFmtId="0" fontId="3" fillId="0" borderId="11" xfId="0" applyFont="1" applyBorder="1" applyAlignment="1">
      <alignment horizontal="right" vertical="center" wrapText="1"/>
    </xf>
    <xf numFmtId="0" fontId="12" fillId="0" borderId="11" xfId="0" applyFont="1" applyFill="1" applyBorder="1" applyAlignment="1">
      <alignment horizontal="center" vertical="center" wrapText="1"/>
    </xf>
    <xf numFmtId="0" fontId="0" fillId="0" borderId="11" xfId="0" applyBorder="1" applyAlignment="1">
      <alignment vertical="center"/>
    </xf>
    <xf numFmtId="0" fontId="5" fillId="0" borderId="11" xfId="0" applyFont="1" applyFill="1" applyBorder="1" applyAlignment="1" applyProtection="1">
      <alignment vertical="center" wrapText="1"/>
      <protection locked="0"/>
    </xf>
    <xf numFmtId="0" fontId="3" fillId="0" borderId="11" xfId="0" applyFont="1" applyFill="1" applyBorder="1" applyAlignment="1">
      <alignment vertical="center" wrapText="1"/>
    </xf>
    <xf numFmtId="0" fontId="11" fillId="0" borderId="11" xfId="0" applyFont="1" applyBorder="1" applyAlignment="1">
      <alignment horizontal="center" vertical="center" wrapText="1"/>
    </xf>
    <xf numFmtId="0" fontId="11" fillId="0" borderId="11" xfId="0" applyFont="1" applyBorder="1" applyAlignment="1">
      <alignment horizontal="center" vertical="center"/>
    </xf>
    <xf numFmtId="0" fontId="2" fillId="2" borderId="10" xfId="0" applyFont="1" applyFill="1" applyBorder="1" applyAlignment="1">
      <alignment vertical="center" wrapText="1"/>
    </xf>
    <xf numFmtId="0" fontId="9" fillId="2" borderId="14" xfId="0" applyFont="1" applyFill="1" applyBorder="1" applyAlignment="1">
      <alignment horizontal="center" vertical="center"/>
    </xf>
    <xf numFmtId="0" fontId="1" fillId="3" borderId="7" xfId="0" applyFont="1" applyFill="1" applyBorder="1" applyAlignment="1">
      <alignment horizontal="left" vertical="center"/>
    </xf>
    <xf numFmtId="0" fontId="17" fillId="3" borderId="0" xfId="0" applyFont="1" applyFill="1" applyBorder="1" applyAlignment="1" applyProtection="1">
      <alignment horizontal="center" vertical="center"/>
      <protection locked="0"/>
    </xf>
    <xf numFmtId="0" fontId="17" fillId="3" borderId="0" xfId="0" applyFont="1" applyFill="1" applyBorder="1" applyAlignment="1">
      <alignment vertical="center"/>
    </xf>
    <xf numFmtId="0" fontId="17" fillId="3" borderId="8" xfId="0" applyFont="1" applyFill="1" applyBorder="1" applyAlignment="1">
      <alignment vertical="center"/>
    </xf>
    <xf numFmtId="0" fontId="16" fillId="0" borderId="4" xfId="0" applyFont="1" applyBorder="1" applyAlignment="1">
      <alignment vertical="center"/>
    </xf>
    <xf numFmtId="0" fontId="16" fillId="0" borderId="5" xfId="0" applyFont="1" applyBorder="1" applyAlignment="1">
      <alignment vertical="center"/>
    </xf>
    <xf numFmtId="0" fontId="16" fillId="0" borderId="6" xfId="0" applyFont="1" applyBorder="1" applyAlignment="1">
      <alignment vertical="center"/>
    </xf>
    <xf numFmtId="0" fontId="11" fillId="0" borderId="15" xfId="0" applyFont="1" applyBorder="1" applyAlignment="1">
      <alignment horizontal="left" vertical="center"/>
    </xf>
    <xf numFmtId="0" fontId="10" fillId="2" borderId="29" xfId="0" applyFont="1" applyFill="1" applyBorder="1" applyAlignment="1">
      <alignment vertical="center"/>
    </xf>
    <xf numFmtId="0" fontId="9" fillId="2" borderId="14" xfId="0" applyFont="1" applyFill="1" applyBorder="1" applyAlignment="1">
      <alignment horizontal="center" vertical="center" wrapText="1"/>
    </xf>
    <xf numFmtId="0" fontId="9" fillId="2" borderId="27" xfId="0" applyFont="1" applyFill="1" applyBorder="1" applyAlignment="1">
      <alignment horizontal="center" vertical="center"/>
    </xf>
    <xf numFmtId="0" fontId="0" fillId="0" borderId="0" xfId="0" applyFont="1"/>
    <xf numFmtId="0" fontId="18" fillId="0" borderId="0" xfId="0" applyFont="1"/>
    <xf numFmtId="0" fontId="10" fillId="2" borderId="30" xfId="0" applyFont="1" applyFill="1" applyBorder="1" applyAlignment="1">
      <alignment vertical="center"/>
    </xf>
    <xf numFmtId="0" fontId="2" fillId="2" borderId="20" xfId="0" applyFont="1" applyFill="1" applyBorder="1" applyAlignment="1">
      <alignment vertical="center"/>
    </xf>
    <xf numFmtId="0" fontId="9" fillId="2" borderId="20" xfId="0" applyFont="1" applyFill="1" applyBorder="1" applyAlignment="1">
      <alignment horizontal="center" vertical="center" wrapText="1"/>
    </xf>
    <xf numFmtId="0" fontId="9" fillId="2" borderId="20" xfId="0" applyFont="1" applyFill="1" applyBorder="1" applyAlignment="1">
      <alignment horizontal="center" vertical="center"/>
    </xf>
    <xf numFmtId="0" fontId="9" fillId="2" borderId="23" xfId="0" applyFont="1" applyFill="1" applyBorder="1" applyAlignment="1">
      <alignment horizontal="center" vertical="center"/>
    </xf>
    <xf numFmtId="0" fontId="11" fillId="0" borderId="17" xfId="0" applyFont="1" applyBorder="1" applyAlignment="1">
      <alignment horizontal="left" vertical="center"/>
    </xf>
    <xf numFmtId="0" fontId="11" fillId="0" borderId="31" xfId="0" applyFont="1" applyBorder="1" applyAlignment="1">
      <alignment horizontal="left" vertical="center"/>
    </xf>
    <xf numFmtId="0" fontId="10" fillId="2" borderId="9" xfId="0" applyFont="1" applyFill="1" applyBorder="1" applyAlignment="1">
      <alignment vertical="center"/>
    </xf>
    <xf numFmtId="0" fontId="11" fillId="0" borderId="11" xfId="0" applyFont="1" applyBorder="1" applyAlignment="1">
      <alignment horizontal="center" vertical="center" wrapText="1"/>
    </xf>
    <xf numFmtId="0" fontId="12" fillId="0" borderId="11" xfId="0" applyFont="1" applyBorder="1" applyAlignment="1">
      <alignment horizontal="center" vertical="center"/>
    </xf>
    <xf numFmtId="2" fontId="15" fillId="0" borderId="11" xfId="0" applyNumberFormat="1" applyFont="1" applyBorder="1" applyAlignment="1">
      <alignment horizontal="center" vertical="center" wrapText="1"/>
    </xf>
    <xf numFmtId="1" fontId="15" fillId="0" borderId="11" xfId="0" applyNumberFormat="1" applyFont="1" applyBorder="1" applyAlignment="1">
      <alignment horizontal="center" vertical="center" wrapText="1"/>
    </xf>
    <xf numFmtId="165" fontId="15" fillId="0" borderId="11" xfId="0" applyNumberFormat="1" applyFont="1" applyBorder="1" applyAlignment="1">
      <alignment horizontal="center" vertical="center" wrapText="1"/>
    </xf>
    <xf numFmtId="2" fontId="15" fillId="0" borderId="11" xfId="0" applyNumberFormat="1" applyFont="1" applyBorder="1" applyAlignment="1">
      <alignment horizontal="center" vertical="center"/>
    </xf>
    <xf numFmtId="0" fontId="12" fillId="0" borderId="11" xfId="0" applyFont="1" applyBorder="1" applyAlignment="1">
      <alignment horizontal="center" vertical="center" wrapText="1"/>
    </xf>
    <xf numFmtId="1" fontId="15" fillId="0" borderId="11" xfId="0" quotePrefix="1" applyNumberFormat="1" applyFont="1" applyBorder="1" applyAlignment="1">
      <alignment horizontal="right" vertical="center" wrapText="1"/>
    </xf>
    <xf numFmtId="166" fontId="15" fillId="0" borderId="11" xfId="0" quotePrefix="1" applyNumberFormat="1" applyFont="1" applyBorder="1" applyAlignment="1">
      <alignment horizontal="right" vertical="center" wrapText="1"/>
    </xf>
    <xf numFmtId="0" fontId="11" fillId="0" borderId="18" xfId="0" applyFont="1" applyBorder="1" applyAlignment="1" applyProtection="1">
      <alignment horizontal="center" vertical="center"/>
      <protection locked="0"/>
    </xf>
    <xf numFmtId="0" fontId="12" fillId="0" borderId="11" xfId="0" applyFont="1" applyBorder="1" applyAlignment="1">
      <alignment horizontal="center" vertical="center"/>
    </xf>
    <xf numFmtId="0" fontId="12" fillId="0" borderId="11" xfId="0" applyFont="1" applyBorder="1" applyAlignment="1">
      <alignment horizontal="center" vertical="center" wrapText="1"/>
    </xf>
    <xf numFmtId="0" fontId="20" fillId="0" borderId="11" xfId="2" applyFont="1" applyBorder="1" applyAlignment="1">
      <alignment vertical="center" wrapText="1"/>
    </xf>
    <xf numFmtId="0" fontId="20" fillId="0" borderId="18" xfId="2" applyFont="1" applyBorder="1" applyAlignment="1">
      <alignment vertical="center" wrapText="1"/>
    </xf>
    <xf numFmtId="0" fontId="11" fillId="0" borderId="11" xfId="0" applyFont="1" applyBorder="1" applyAlignment="1" applyProtection="1">
      <alignment horizontal="center" vertical="center" wrapText="1"/>
      <protection locked="0"/>
    </xf>
    <xf numFmtId="0" fontId="21" fillId="0" borderId="11" xfId="0" applyFont="1" applyBorder="1" applyAlignment="1">
      <alignment vertical="center" wrapText="1"/>
    </xf>
    <xf numFmtId="0" fontId="11" fillId="0" borderId="20" xfId="0" applyFont="1" applyBorder="1" applyAlignment="1" applyProtection="1">
      <alignment horizontal="center" vertical="center" wrapText="1"/>
      <protection locked="0"/>
    </xf>
    <xf numFmtId="0" fontId="22" fillId="0" borderId="0" xfId="0" applyFont="1"/>
    <xf numFmtId="0" fontId="12" fillId="0" borderId="0" xfId="0" applyFont="1"/>
    <xf numFmtId="3" fontId="15" fillId="0" borderId="11" xfId="0" applyNumberFormat="1" applyFont="1" applyBorder="1" applyAlignment="1">
      <alignment horizontal="center" vertical="center" wrapText="1"/>
    </xf>
    <xf numFmtId="0" fontId="20" fillId="0" borderId="16" xfId="2" applyFont="1" applyBorder="1" applyAlignment="1">
      <alignment horizontal="center" vertical="center" wrapText="1"/>
    </xf>
    <xf numFmtId="0" fontId="11" fillId="0" borderId="38" xfId="0" applyFont="1" applyBorder="1" applyAlignment="1">
      <alignment horizontal="left" vertical="center"/>
    </xf>
    <xf numFmtId="0" fontId="11" fillId="0" borderId="20" xfId="0" applyFont="1" applyBorder="1" applyAlignment="1">
      <alignment horizontal="left" vertical="center"/>
    </xf>
    <xf numFmtId="0" fontId="11" fillId="0" borderId="36" xfId="0" applyFont="1" applyBorder="1" applyAlignment="1">
      <alignment horizontal="left" vertical="center"/>
    </xf>
    <xf numFmtId="0" fontId="11" fillId="0" borderId="30" xfId="0" applyFont="1" applyBorder="1" applyAlignment="1">
      <alignment horizontal="left" vertical="center"/>
    </xf>
    <xf numFmtId="0" fontId="11" fillId="0" borderId="21"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6" fillId="0" borderId="7" xfId="0" applyFont="1" applyBorder="1" applyAlignment="1">
      <alignment horizontal="left" vertical="center" wrapText="1"/>
    </xf>
    <xf numFmtId="0" fontId="16" fillId="0" borderId="0" xfId="0" applyFont="1" applyBorder="1" applyAlignment="1">
      <alignment horizontal="left" vertical="center" wrapText="1"/>
    </xf>
    <xf numFmtId="0" fontId="16" fillId="0" borderId="8" xfId="0" applyFont="1" applyBorder="1" applyAlignment="1">
      <alignment horizontal="left" vertical="center" wrapText="1"/>
    </xf>
    <xf numFmtId="0" fontId="10" fillId="2" borderId="9"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9" fillId="2" borderId="34"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35" xfId="0" applyFont="1" applyFill="1" applyBorder="1" applyAlignment="1">
      <alignment horizontal="center" vertical="center"/>
    </xf>
    <xf numFmtId="0" fontId="11" fillId="0" borderId="22"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24"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39" xfId="0" applyFont="1" applyBorder="1" applyAlignment="1">
      <alignment horizontal="left" vertical="center" wrapText="1"/>
    </xf>
    <xf numFmtId="0" fontId="11" fillId="0" borderId="37" xfId="0" applyFont="1" applyBorder="1" applyAlignment="1">
      <alignment horizontal="left" vertical="center" wrapText="1"/>
    </xf>
    <xf numFmtId="0" fontId="11" fillId="0" borderId="40" xfId="0" applyFont="1" applyBorder="1" applyAlignment="1">
      <alignment horizontal="left" vertical="center" wrapText="1"/>
    </xf>
    <xf numFmtId="0" fontId="11" fillId="0" borderId="11" xfId="0" applyFont="1" applyBorder="1" applyAlignment="1">
      <alignment horizontal="center" vertical="center"/>
    </xf>
    <xf numFmtId="0" fontId="11" fillId="0" borderId="11" xfId="0" applyFont="1" applyBorder="1" applyAlignment="1">
      <alignment horizontal="center" vertical="center" wrapText="1"/>
    </xf>
    <xf numFmtId="0" fontId="12" fillId="0" borderId="11" xfId="0" applyFont="1" applyBorder="1" applyAlignment="1">
      <alignment horizontal="center" vertical="center"/>
    </xf>
    <xf numFmtId="0" fontId="12" fillId="0" borderId="11" xfId="0" applyFont="1" applyBorder="1" applyAlignment="1">
      <alignment horizontal="center" vertical="center" wrapText="1"/>
    </xf>
  </cellXfs>
  <cellStyles count="3">
    <cellStyle name="Hyperlink" xfId="2" builtinId="8"/>
    <cellStyle name="Normal" xfId="0" builtinId="0"/>
    <cellStyle name="Percent" xfId="1" builtinId="5"/>
  </cellStyles>
  <dxfs count="9">
    <dxf>
      <font>
        <color theme="0"/>
      </font>
    </dxf>
    <dxf>
      <font>
        <color theme="0"/>
      </font>
    </dxf>
    <dxf>
      <font>
        <color theme="0"/>
      </font>
    </dxf>
    <dxf>
      <font>
        <color theme="0"/>
      </font>
    </dxf>
    <dxf>
      <font>
        <color theme="0"/>
      </font>
    </dxf>
    <dxf>
      <font>
        <color theme="0"/>
      </font>
      <fill>
        <patternFill>
          <bgColor rgb="FFF8503E"/>
        </patternFill>
      </fill>
    </dxf>
    <dxf>
      <font>
        <color theme="0"/>
      </font>
      <fill>
        <patternFill>
          <bgColor rgb="FFEFBA11"/>
        </patternFill>
      </fill>
    </dxf>
    <dxf>
      <font>
        <color theme="0"/>
      </font>
      <fill>
        <patternFill>
          <bgColor rgb="FF81A042"/>
        </patternFill>
      </fill>
    </dxf>
    <dxf>
      <font>
        <color theme="0"/>
      </font>
    </dxf>
  </dxfs>
  <tableStyles count="0" defaultTableStyle="TableStyleMedium2" defaultPivotStyle="PivotStyleLight16"/>
  <colors>
    <mruColors>
      <color rgb="FFF8503E"/>
      <color rgb="FFF96A3D"/>
      <color rgb="FFFF5C4F"/>
      <color rgb="FFEFBA11"/>
      <color rgb="FFFEEC02"/>
      <color rgb="FFFF2211"/>
      <color rgb="FF81A042"/>
      <color rgb="FFFFCC00"/>
      <color rgb="FFFFFF00"/>
      <color rgb="FFFFD7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d.usda.gov/programs-services/rural-business-development-grants" TargetMode="External"/><Relationship Id="rId3" Type="http://schemas.openxmlformats.org/officeDocument/2006/relationships/hyperlink" Target="https://portal.hud.gov/hudportal/HUD?src=/program_offices/comm_planning/communitydevelopment/programs" TargetMode="External"/><Relationship Id="rId7" Type="http://schemas.openxmlformats.org/officeDocument/2006/relationships/hyperlink" Target="https://www.va.gov/HEALTHBENEFITS/vtp/highly_rural_transportation_grants.asp" TargetMode="External"/><Relationship Id="rId2" Type="http://schemas.openxmlformats.org/officeDocument/2006/relationships/hyperlink" Target="https://www.fhwa.dot.gov/specialfunding/stp/" TargetMode="External"/><Relationship Id="rId1" Type="http://schemas.openxmlformats.org/officeDocument/2006/relationships/hyperlink" Target="https://www.fhwa.dot.gov/environment/air_quality/cmaq/" TargetMode="External"/><Relationship Id="rId6" Type="http://schemas.openxmlformats.org/officeDocument/2006/relationships/hyperlink" Target="https://www.cdfifund.gov/programs-training/Programs/new-markets-tax-credit/Pages/default.aspx" TargetMode="External"/><Relationship Id="rId5" Type="http://schemas.openxmlformats.org/officeDocument/2006/relationships/hyperlink" Target="https://www.acf.hhs.gov/ofa/programs/tanf" TargetMode="External"/><Relationship Id="rId4" Type="http://schemas.openxmlformats.org/officeDocument/2006/relationships/hyperlink" Target="https://www.irs.gov/tax-exempt-bonds/qualified-energy-conservation-bonds-faq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tabSelected="1" zoomScale="95" zoomScaleNormal="95" workbookViewId="0">
      <selection activeCell="B6" sqref="B6:H6"/>
    </sheetView>
  </sheetViews>
  <sheetFormatPr defaultColWidth="0" defaultRowHeight="106.5" customHeight="1" zeroHeight="1" x14ac:dyDescent="0.25"/>
  <cols>
    <col min="1" max="1" width="0.85546875" customWidth="1"/>
    <col min="2" max="2" width="5.7109375" customWidth="1"/>
    <col min="3" max="3" width="33.42578125" customWidth="1"/>
    <col min="4" max="4" width="16" customWidth="1"/>
    <col min="5" max="5" width="75.7109375" customWidth="1"/>
    <col min="6" max="6" width="15.28515625" customWidth="1"/>
    <col min="7" max="7" width="21.7109375" customWidth="1"/>
    <col min="8" max="8" width="45.7109375" customWidth="1"/>
    <col min="9" max="9" width="0.85546875" customWidth="1"/>
    <col min="10" max="10" width="0" hidden="1" customWidth="1"/>
    <col min="11" max="16384" width="8.85546875" hidden="1"/>
  </cols>
  <sheetData>
    <row r="1" spans="1:8" ht="14.45" customHeight="1" thickBot="1" x14ac:dyDescent="0.3">
      <c r="B1" s="3"/>
      <c r="C1" s="3"/>
      <c r="D1" s="3"/>
      <c r="E1" s="3"/>
      <c r="F1" s="3"/>
      <c r="G1" s="3"/>
      <c r="H1" s="3"/>
    </row>
    <row r="2" spans="1:8" ht="20.25" x14ac:dyDescent="0.25">
      <c r="B2" s="4"/>
      <c r="C2" s="5" t="s">
        <v>1</v>
      </c>
      <c r="D2" s="6"/>
      <c r="E2" s="7"/>
      <c r="F2" s="6"/>
      <c r="G2" s="6"/>
      <c r="H2" s="7"/>
    </row>
    <row r="3" spans="1:8" ht="21" customHeight="1" thickBot="1" x14ac:dyDescent="0.3">
      <c r="B3" s="26"/>
      <c r="C3" s="27" t="s">
        <v>0</v>
      </c>
      <c r="D3" s="23"/>
      <c r="E3" s="25"/>
      <c r="F3" s="23"/>
      <c r="G3" s="23"/>
      <c r="H3" s="25"/>
    </row>
    <row r="4" spans="1:8" ht="14.45" customHeight="1" x14ac:dyDescent="0.25">
      <c r="B4" s="8"/>
      <c r="C4" s="9"/>
      <c r="D4" s="6"/>
      <c r="E4" s="6"/>
      <c r="F4" s="6"/>
      <c r="G4" s="6"/>
      <c r="H4" s="7"/>
    </row>
    <row r="5" spans="1:8" ht="75" customHeight="1" x14ac:dyDescent="0.25">
      <c r="B5" s="139" t="s">
        <v>438</v>
      </c>
      <c r="C5" s="140"/>
      <c r="D5" s="140"/>
      <c r="E5" s="140"/>
      <c r="F5" s="140"/>
      <c r="G5" s="140"/>
      <c r="H5" s="141"/>
    </row>
    <row r="6" spans="1:8" ht="60" customHeight="1" x14ac:dyDescent="0.25">
      <c r="B6" s="139" t="s">
        <v>660</v>
      </c>
      <c r="C6" s="140"/>
      <c r="D6" s="140"/>
      <c r="E6" s="140"/>
      <c r="F6" s="140"/>
      <c r="G6" s="140"/>
      <c r="H6" s="141"/>
    </row>
    <row r="7" spans="1:8" s="18" customFormat="1" ht="60" customHeight="1" x14ac:dyDescent="0.25">
      <c r="B7" s="139" t="s">
        <v>75</v>
      </c>
      <c r="C7" s="140"/>
      <c r="D7" s="140"/>
      <c r="E7" s="140"/>
      <c r="F7" s="140"/>
      <c r="G7" s="140"/>
      <c r="H7" s="141"/>
    </row>
    <row r="8" spans="1:8" ht="14.45" customHeight="1" thickBot="1" x14ac:dyDescent="0.3">
      <c r="B8" s="94"/>
      <c r="C8" s="95"/>
      <c r="D8" s="95"/>
      <c r="E8" s="95"/>
      <c r="F8" s="95"/>
      <c r="G8" s="95"/>
      <c r="H8" s="96"/>
    </row>
    <row r="9" spans="1:8" ht="57.6" customHeight="1" thickBot="1" x14ac:dyDescent="0.3">
      <c r="B9" s="90"/>
      <c r="C9" s="28" t="s">
        <v>2</v>
      </c>
      <c r="D9" s="91"/>
      <c r="E9" s="92"/>
      <c r="F9" s="92"/>
      <c r="G9" s="92"/>
      <c r="H9" s="93"/>
    </row>
    <row r="10" spans="1:8" s="102" customFormat="1" ht="54.75" customHeight="1" x14ac:dyDescent="0.3">
      <c r="B10" s="110" t="s">
        <v>61</v>
      </c>
      <c r="C10" s="88"/>
      <c r="D10" s="89" t="s">
        <v>60</v>
      </c>
      <c r="E10" s="144" t="s">
        <v>313</v>
      </c>
      <c r="F10" s="145"/>
      <c r="G10" s="145"/>
      <c r="H10" s="146"/>
    </row>
    <row r="11" spans="1:8" s="101" customFormat="1" ht="26.65" customHeight="1" x14ac:dyDescent="0.25">
      <c r="B11" s="134">
        <v>1</v>
      </c>
      <c r="C11" s="132" t="s">
        <v>641</v>
      </c>
      <c r="D11" s="125" t="s">
        <v>55</v>
      </c>
      <c r="E11" s="153" t="str">
        <f>VLOOKUP(D11,'Input Responses'!B2:C10,2,FALSE)</f>
        <v>Please select your response.</v>
      </c>
      <c r="F11" s="154"/>
      <c r="G11" s="154"/>
      <c r="H11" s="155"/>
    </row>
    <row r="12" spans="1:8" s="101" customFormat="1" ht="26.65" customHeight="1" x14ac:dyDescent="0.25">
      <c r="B12" s="135"/>
      <c r="C12" s="133"/>
      <c r="D12" s="127" t="s">
        <v>55</v>
      </c>
      <c r="E12" s="150"/>
      <c r="F12" s="151"/>
      <c r="G12" s="151"/>
      <c r="H12" s="152"/>
    </row>
    <row r="13" spans="1:8" s="101" customFormat="1" ht="53.25" customHeight="1" x14ac:dyDescent="0.25">
      <c r="B13" s="97">
        <v>2</v>
      </c>
      <c r="C13" s="16" t="s">
        <v>3</v>
      </c>
      <c r="D13" s="125" t="s">
        <v>55</v>
      </c>
      <c r="E13" s="136" t="str">
        <f>VLOOKUP(D13,'Input Responses'!B13:C65,2,FALSE)</f>
        <v>Please select your response.</v>
      </c>
      <c r="F13" s="137"/>
      <c r="G13" s="137"/>
      <c r="H13" s="131" t="str">
        <f>IF(D13="-","-",HYPERLINK(VLOOKUP(D13,'Input Responses'!B13:T65,15,FALSE),CONCATENATE(VLOOKUP(D13,'Input Responses'!B13:T65,14,FALSE),"'s Website")))</f>
        <v>-</v>
      </c>
    </row>
    <row r="14" spans="1:8" s="101" customFormat="1" ht="53.25" customHeight="1" thickBot="1" x14ac:dyDescent="0.3">
      <c r="B14" s="108">
        <v>3</v>
      </c>
      <c r="C14" s="13" t="s">
        <v>71</v>
      </c>
      <c r="D14" s="120" t="s">
        <v>55</v>
      </c>
      <c r="E14" s="147" t="str">
        <f>VLOOKUP(D14,'Input Responses'!B67:C70,2,FALSE)</f>
        <v>Please select your response.</v>
      </c>
      <c r="F14" s="148"/>
      <c r="G14" s="148"/>
      <c r="H14" s="149"/>
    </row>
    <row r="15" spans="1:8" s="102" customFormat="1" ht="54.75" customHeight="1" x14ac:dyDescent="0.3">
      <c r="B15" s="142" t="s">
        <v>314</v>
      </c>
      <c r="C15" s="143"/>
      <c r="D15" s="89" t="s">
        <v>60</v>
      </c>
      <c r="E15" s="144" t="s">
        <v>313</v>
      </c>
      <c r="F15" s="145"/>
      <c r="G15" s="145"/>
      <c r="H15" s="146"/>
    </row>
    <row r="16" spans="1:8" ht="53.25" customHeight="1" x14ac:dyDescent="0.25">
      <c r="A16" s="101"/>
      <c r="B16" s="97">
        <v>4</v>
      </c>
      <c r="C16" s="12" t="s">
        <v>111</v>
      </c>
      <c r="D16" s="1" t="s">
        <v>55</v>
      </c>
      <c r="E16" s="150" t="str">
        <f>VLOOKUP(D16,'Input Responses'!$B$73:$C$76,2,FALSE)</f>
        <v>Please select your response.</v>
      </c>
      <c r="F16" s="151"/>
      <c r="G16" s="151"/>
      <c r="H16" s="152"/>
    </row>
    <row r="17" spans="1:8" ht="53.25" customHeight="1" x14ac:dyDescent="0.25">
      <c r="A17" s="101"/>
      <c r="B17" s="97" t="s">
        <v>581</v>
      </c>
      <c r="C17" s="126" t="s">
        <v>579</v>
      </c>
      <c r="D17" s="1" t="s">
        <v>55</v>
      </c>
      <c r="E17" s="136" t="str">
        <f>VLOOKUP(D17,'Input Responses'!$B$77:$C$80,2,FALSE)</f>
        <v>Please select your response.</v>
      </c>
      <c r="F17" s="137"/>
      <c r="G17" s="137"/>
      <c r="H17" s="138"/>
    </row>
    <row r="18" spans="1:8" ht="53.25" customHeight="1" x14ac:dyDescent="0.25">
      <c r="A18" s="101"/>
      <c r="B18" s="97" t="s">
        <v>582</v>
      </c>
      <c r="C18" s="126" t="s">
        <v>580</v>
      </c>
      <c r="D18" s="1" t="s">
        <v>55</v>
      </c>
      <c r="E18" s="136" t="str">
        <f>VLOOKUP(D18,'Input Responses'!$B$81:$C$84,2,FALSE)</f>
        <v>Please select your response.</v>
      </c>
      <c r="F18" s="137"/>
      <c r="G18" s="137"/>
      <c r="H18" s="138"/>
    </row>
    <row r="19" spans="1:8" ht="53.25" customHeight="1" x14ac:dyDescent="0.25">
      <c r="A19" s="101"/>
      <c r="B19" s="97">
        <v>5</v>
      </c>
      <c r="C19" s="17" t="s">
        <v>115</v>
      </c>
      <c r="D19" s="1" t="s">
        <v>55</v>
      </c>
      <c r="E19" s="136" t="str">
        <f>VLOOKUP(D19,'Input Responses'!$B$85:$C$88,2,FALSE)</f>
        <v>Please select your response.</v>
      </c>
      <c r="F19" s="137"/>
      <c r="G19" s="137"/>
      <c r="H19" s="138"/>
    </row>
    <row r="20" spans="1:8" ht="53.25" customHeight="1" x14ac:dyDescent="0.25">
      <c r="A20" s="101"/>
      <c r="B20" s="97">
        <v>6</v>
      </c>
      <c r="C20" s="17" t="s">
        <v>112</v>
      </c>
      <c r="D20" s="1" t="s">
        <v>55</v>
      </c>
      <c r="E20" s="136" t="str">
        <f>VLOOKUP(D20,'Input Responses'!$B$89:$C$92,2,FALSE)</f>
        <v>Please select your response.</v>
      </c>
      <c r="F20" s="137"/>
      <c r="G20" s="137"/>
      <c r="H20" s="138"/>
    </row>
    <row r="21" spans="1:8" ht="53.25" customHeight="1" x14ac:dyDescent="0.25">
      <c r="A21" s="101"/>
      <c r="B21" s="97">
        <v>7</v>
      </c>
      <c r="C21" s="12" t="s">
        <v>114</v>
      </c>
      <c r="D21" s="1" t="s">
        <v>55</v>
      </c>
      <c r="E21" s="136" t="str">
        <f>VLOOKUP(D21,'Input Responses'!$B$93:$C$96,2,FALSE)</f>
        <v>Please select your response.</v>
      </c>
      <c r="F21" s="137"/>
      <c r="G21" s="137"/>
      <c r="H21" s="138"/>
    </row>
    <row r="22" spans="1:8" ht="53.25" customHeight="1" thickBot="1" x14ac:dyDescent="0.3">
      <c r="A22" s="101"/>
      <c r="B22" s="97">
        <v>8</v>
      </c>
      <c r="C22" s="12" t="s">
        <v>439</v>
      </c>
      <c r="D22" s="1" t="s">
        <v>55</v>
      </c>
      <c r="E22" s="136" t="str">
        <f>VLOOKUP(D22,'Input Responses'!B97:C100,2,FALSE)</f>
        <v>Please select your response.</v>
      </c>
      <c r="F22" s="137"/>
      <c r="G22" s="137"/>
      <c r="H22" s="138"/>
    </row>
    <row r="23" spans="1:8" s="102" customFormat="1" ht="57.6" customHeight="1" thickBot="1" x14ac:dyDescent="0.35">
      <c r="B23" s="45"/>
      <c r="C23" s="46" t="str">
        <f>IF(E23="","Recommendations","STOP")</f>
        <v>STOP</v>
      </c>
      <c r="D23" s="47"/>
      <c r="E23" s="48" t="str">
        <f>IF(COUNTIF(E11:E22,"Please select your response.")&gt;0,"PLEASE COMPLETE ALL RESPONSES ABOVE BEFORE CONTINUING","")</f>
        <v>PLEASE COMPLETE ALL RESPONSES ABOVE BEFORE CONTINUING</v>
      </c>
      <c r="F23" s="48"/>
      <c r="G23" s="48"/>
      <c r="H23" s="49"/>
    </row>
    <row r="24" spans="1:8" s="102" customFormat="1" ht="54.75" customHeight="1" x14ac:dyDescent="0.3">
      <c r="B24" s="98" t="s">
        <v>154</v>
      </c>
      <c r="C24" s="99"/>
      <c r="D24" s="99" t="s">
        <v>70</v>
      </c>
      <c r="E24" s="89" t="s">
        <v>312</v>
      </c>
      <c r="F24" s="99" t="s">
        <v>126</v>
      </c>
      <c r="G24" s="89" t="s">
        <v>105</v>
      </c>
      <c r="H24" s="100" t="s">
        <v>444</v>
      </c>
    </row>
    <row r="25" spans="1:8" ht="107.25" customHeight="1" x14ac:dyDescent="0.25">
      <c r="A25" s="101"/>
      <c r="B25" s="97" t="str">
        <f>IF($C$23="STOP","",1)</f>
        <v/>
      </c>
      <c r="C25" s="123" t="str">
        <f>IF($C$23="STOP","","Congestion Mitigation and Air Quality Improvement (CMAQ)")</f>
        <v/>
      </c>
      <c r="D25" s="87" t="str">
        <f>IF(C25="Congestion Mitigation and Air Quality Improvement (CMAQ)","FHWA","-")</f>
        <v>-</v>
      </c>
      <c r="E25" s="17" t="str">
        <f>VLOOKUP($D$25,'Recommendation Responses'!$B$3:$F$4,2,FALSE)</f>
        <v>-</v>
      </c>
      <c r="F25" s="86" t="str">
        <f>VLOOKUP($D$25,'Recommendation Responses'!$B$3:$F$4,3,FALSE)</f>
        <v>-</v>
      </c>
      <c r="G25" s="44" t="str">
        <f>VLOOKUP($D$25,'Recommendation Responses'!$B$3:$F$4,4,FALSE)</f>
        <v>-</v>
      </c>
      <c r="H25" s="22" t="str">
        <f>VLOOKUP($D$25,'Recommendation Responses'!$B$3:$F$4,5,FALSE)</f>
        <v>-</v>
      </c>
    </row>
    <row r="26" spans="1:8" ht="107.25" customHeight="1" x14ac:dyDescent="0.25">
      <c r="A26" s="101"/>
      <c r="B26" s="97" t="str">
        <f>IF($C$23="STOP","",IF(D16="No","(2)",2))</f>
        <v/>
      </c>
      <c r="C26" s="123" t="str">
        <f>IF($C$23="STOP","","Surface Transportation Block Grant (STBG)")</f>
        <v/>
      </c>
      <c r="D26" s="87" t="str">
        <f>IF(C26="Surface Transportation Block Grant (STBG)","FHWA","-")</f>
        <v>-</v>
      </c>
      <c r="E26" s="17" t="str">
        <f>IF($C$23="STOP","",IF(D16="No","Because you stated that the roadway / highway mode does not operate in your project area, this funding opportunity is not available.",VLOOKUP($D$26,'Recommendation Responses'!$B$5:$F$6,2,FALSE)))</f>
        <v/>
      </c>
      <c r="F26" s="86" t="str">
        <f>IF(D16="No","",VLOOKUP($D$26,'Recommendation Responses'!$B$5:$F$6,3,FALSE))</f>
        <v>-</v>
      </c>
      <c r="G26" s="44" t="str">
        <f>IF(D16="No","",VLOOKUP($D$26,'Recommendation Responses'!$B$5:$F$6,4,FALSE))</f>
        <v>-</v>
      </c>
      <c r="H26" s="22" t="str">
        <f>IF(D16="No","",VLOOKUP($D$26,'Recommendation Responses'!$B$5:$F$6,5,FALSE))</f>
        <v>-</v>
      </c>
    </row>
    <row r="27" spans="1:8" ht="107.25" customHeight="1" x14ac:dyDescent="0.25">
      <c r="A27" s="101"/>
      <c r="B27" s="97" t="str">
        <f>IF($C$23="STOP","",3)</f>
        <v/>
      </c>
      <c r="C27" s="123" t="str">
        <f>IF($C$23="STOP","","Community Development Block Grants (CDBG)")</f>
        <v/>
      </c>
      <c r="D27" s="87" t="str">
        <f>IF(C27="Community Development Block Grants (CDBG)","HUD","-")</f>
        <v>-</v>
      </c>
      <c r="E27" s="17" t="str">
        <f>VLOOKUP($D$27,'Recommendation Responses'!$B$7:$F$8,2,FALSE)</f>
        <v>-</v>
      </c>
      <c r="F27" s="86" t="str">
        <f>VLOOKUP($D$27,'Recommendation Responses'!$B$7:$F$8,3,FALSE)</f>
        <v>-</v>
      </c>
      <c r="G27" s="44" t="str">
        <f>VLOOKUP($D$27,'Recommendation Responses'!$B$7:$F$8,4,FALSE)</f>
        <v>-</v>
      </c>
      <c r="H27" s="22" t="str">
        <f>VLOOKUP($D$27,'Recommendation Responses'!$B$7:$F$8,5,FALSE)</f>
        <v>-</v>
      </c>
    </row>
    <row r="28" spans="1:8" ht="110.45" customHeight="1" x14ac:dyDescent="0.25">
      <c r="A28" s="101"/>
      <c r="B28" s="97" t="str">
        <f>IF($C$23="STOP","",4)</f>
        <v/>
      </c>
      <c r="C28" s="123" t="str">
        <f>IF($C$23="STOP","","Qualified Energy Conservation Bond (QECB)")</f>
        <v/>
      </c>
      <c r="D28" s="87" t="str">
        <f>IF(C28="Qualified Energy Conservation Bond (QECB)","IRS/EPA","-")</f>
        <v>-</v>
      </c>
      <c r="E28" s="17" t="str">
        <f>VLOOKUP($D$28,'Recommendation Responses'!$B$9:$F$10,2,FALSE)</f>
        <v>-</v>
      </c>
      <c r="F28" s="111" t="str">
        <f>VLOOKUP($D$28,'Recommendation Responses'!$B$9:$F$10,3,FALSE)</f>
        <v>-</v>
      </c>
      <c r="G28" s="44" t="str">
        <f>VLOOKUP($D$28,'Recommendation Responses'!$B$9:$F$10,4,FALSE)</f>
        <v>-</v>
      </c>
      <c r="H28" s="22" t="str">
        <f>VLOOKUP($D$28,'Recommendation Responses'!$B$9:$F$10,5,FALSE)</f>
        <v>-</v>
      </c>
    </row>
    <row r="29" spans="1:8" ht="165.6" customHeight="1" x14ac:dyDescent="0.25">
      <c r="A29" s="101"/>
      <c r="B29" s="97" t="str">
        <f>IF($C$23="STOP","",5)</f>
        <v/>
      </c>
      <c r="C29" s="123" t="str">
        <f>IF($C$23="STOP","","Temporary Assistance for Needy Families (TANF) Block Grant Program")</f>
        <v/>
      </c>
      <c r="D29" s="86" t="str">
        <f>IF(C29="Temporary Assistance for Needy Families (TANF) Block Grant Program","Health and Human Services","-")</f>
        <v>-</v>
      </c>
      <c r="E29" s="17" t="str">
        <f>VLOOKUP($D$29,'Recommendation Responses'!$B$11:$F$12,2,FALSE)</f>
        <v>-</v>
      </c>
      <c r="F29" s="111" t="str">
        <f>VLOOKUP($D$29,'Recommendation Responses'!$B$11:$F$12,3,FALSE)</f>
        <v>-</v>
      </c>
      <c r="G29" s="44" t="str">
        <f>VLOOKUP($D$29,'Recommendation Responses'!$B$11:$F$12,4,FALSE)</f>
        <v>-</v>
      </c>
      <c r="H29" s="22" t="str">
        <f>VLOOKUP($D$29,'Recommendation Responses'!$B$11:$F$12,5,FALSE)</f>
        <v>-</v>
      </c>
    </row>
    <row r="30" spans="1:8" ht="107.25" customHeight="1" x14ac:dyDescent="0.25">
      <c r="A30" s="101"/>
      <c r="B30" s="97" t="str">
        <f>IF($C$23="STOP","",6)</f>
        <v/>
      </c>
      <c r="C30" s="123" t="str">
        <f>IF($C$23="STOP","","New Market Tax Credits")</f>
        <v/>
      </c>
      <c r="D30" s="86" t="str">
        <f>IF(C30="New Market Tax Credits","Treasury Department","-")</f>
        <v>-</v>
      </c>
      <c r="E30" s="17" t="str">
        <f>VLOOKUP($D$30,'Recommendation Responses'!$B$13:$F$14,2,FALSE)</f>
        <v>-</v>
      </c>
      <c r="F30" s="111" t="str">
        <f>VLOOKUP($D$30,'Recommendation Responses'!$B$13:$F$14,3,FALSE)</f>
        <v>-</v>
      </c>
      <c r="G30" s="44" t="str">
        <f>VLOOKUP($D$30,'Recommendation Responses'!$B$13:$F$14,4,FALSE)</f>
        <v>-</v>
      </c>
      <c r="H30" s="22" t="str">
        <f>VLOOKUP($D$30,'Recommendation Responses'!$B$13:$F$14,5,FALSE)</f>
        <v>-</v>
      </c>
    </row>
    <row r="31" spans="1:8" ht="107.25" customHeight="1" x14ac:dyDescent="0.25">
      <c r="A31" s="101"/>
      <c r="B31" s="97" t="str">
        <f>IF($C$23="STOP","",IF(D14="Urban","(7)",7))</f>
        <v/>
      </c>
      <c r="C31" s="123" t="str">
        <f>IF($C$23="STOP","","Highly Rural Transportation Grants (HRTG)")</f>
        <v/>
      </c>
      <c r="D31" s="87" t="str">
        <f>IF(C31="Highly Rural Transportation Grants (HRTG)","VA","-")</f>
        <v>-</v>
      </c>
      <c r="E31" s="17" t="str">
        <f>IF($C$23="STOP","",IF(D14="Urban","Because you stated you are in an urban area, this program is not available.",VLOOKUP($D$31,'Recommendation Responses'!$B$15:$F$16,2,FALSE)))</f>
        <v/>
      </c>
      <c r="F31" s="86" t="str">
        <f>IF(D14="Urban","",VLOOKUP($D$31,'Recommendation Responses'!$B$15:$F$16,3,FALSE))</f>
        <v>-</v>
      </c>
      <c r="G31" s="44" t="str">
        <f>IF(D14="Urban","",VLOOKUP($D$31,'Recommendation Responses'!$B$15:$F$16,4,FALSE))</f>
        <v>-</v>
      </c>
      <c r="H31" s="22" t="str">
        <f>IF(D14="Urban","",VLOOKUP($D$31,'Recommendation Responses'!$B$15:$F$16,5,FALSE))</f>
        <v>-</v>
      </c>
    </row>
    <row r="32" spans="1:8" ht="107.25" customHeight="1" thickBot="1" x14ac:dyDescent="0.3">
      <c r="A32" s="101"/>
      <c r="B32" s="108" t="str">
        <f>IF($C$23="STOP","",IF(D14="Urban","(8)",8))</f>
        <v/>
      </c>
      <c r="C32" s="124" t="str">
        <f>IF($C$23="STOP","","Rural Business Development Grants (RBDG)")</f>
        <v/>
      </c>
      <c r="D32" s="14" t="str">
        <f>IF(C32="Rural Business Development Grants (RBDG)","USDA","-")</f>
        <v>-</v>
      </c>
      <c r="E32" s="15" t="str">
        <f>IF($C$23="STOP","",IF(D14="Urban","Because you stated you are in an urban area, this program is not available.",VLOOKUP($D$32,'Recommendation Responses'!$B$17:$F$18,2,FALSE)))</f>
        <v/>
      </c>
      <c r="F32" s="14" t="str">
        <f>IF(D14="Urban","",VLOOKUP($D$32,'Recommendation Responses'!$B$17:$F$18,3,FALSE))</f>
        <v>-</v>
      </c>
      <c r="G32" s="43" t="str">
        <f>IF(D14="Urban","",VLOOKUP($D$32,'Recommendation Responses'!$B$17:$F$18,4,FALSE))</f>
        <v>-</v>
      </c>
      <c r="H32" s="40" t="str">
        <f>IF(D14="Urban","",VLOOKUP($D$32,'Recommendation Responses'!$B$17:$F$18,5,FALSE))</f>
        <v>-</v>
      </c>
    </row>
    <row r="33" spans="1:8" s="102" customFormat="1" ht="54.75" customHeight="1" x14ac:dyDescent="0.3">
      <c r="B33" s="103" t="s">
        <v>3</v>
      </c>
      <c r="C33" s="104"/>
      <c r="D33" s="105" t="s">
        <v>155</v>
      </c>
      <c r="E33" s="89" t="s">
        <v>312</v>
      </c>
      <c r="F33" s="105" t="s">
        <v>166</v>
      </c>
      <c r="G33" s="106" t="s">
        <v>105</v>
      </c>
      <c r="H33" s="107" t="s">
        <v>444</v>
      </c>
    </row>
    <row r="34" spans="1:8" ht="110.45" customHeight="1" x14ac:dyDescent="0.25">
      <c r="A34" s="101"/>
      <c r="B34" s="97" t="str">
        <f>IF($C$23="STOP","",IF(D16="No","(9)",9))</f>
        <v/>
      </c>
      <c r="C34" s="12" t="str">
        <f>IF($C$23="STOP","","Gas Taxes")</f>
        <v/>
      </c>
      <c r="D34" s="86" t="str">
        <f>IF(C34="Gas Taxes","Roadway / Highway","-")</f>
        <v>-</v>
      </c>
      <c r="E34" s="17" t="str">
        <f>IF($C$23="STOP","",IF(D16="No","Because this mode does not operate in your project area, this funding opportunity is not available.",VLOOKUP($D$34,'Recommendation Responses'!$B$20:$F$21,2,FALSE)))</f>
        <v/>
      </c>
      <c r="F34" s="63" t="str">
        <f>IF(D16="No","",VLOOKUP($D$34,'Recommendation Responses'!$B$20:$F$21,3,FALSE))</f>
        <v>-</v>
      </c>
      <c r="G34" s="44" t="str">
        <f>IF(D16="No","",VLOOKUP($D$34,'Recommendation Responses'!$B$20:$F$21,4,FALSE))</f>
        <v>-</v>
      </c>
      <c r="H34" s="22" t="str">
        <f>IF(D16="No","",VLOOKUP($D$34,'Recommendation Responses'!$B$20:$F$21,5,FALSE))</f>
        <v>-</v>
      </c>
    </row>
    <row r="35" spans="1:8" ht="151.9" customHeight="1" x14ac:dyDescent="0.25">
      <c r="A35" s="101"/>
      <c r="B35" s="97" t="str">
        <f>IF($C$23="STOP","",IF(D16="No","(10)",10))</f>
        <v/>
      </c>
      <c r="C35" s="12" t="str">
        <f>IF($C$23="STOP","","Motor Vehicle Fees")</f>
        <v/>
      </c>
      <c r="D35" s="86" t="str">
        <f>IF(C35="Motor Vehicle Fees","Roadway / Highway","-")</f>
        <v>-</v>
      </c>
      <c r="E35" s="17" t="str">
        <f>IF($C$23="STOP","",IF(D16="No","Because this mode does not operate in your project area, this funding opportunity is not available.",VLOOKUP($D$35,'Recommendation Responses'!$B$22:$F$23,2,FALSE)))</f>
        <v/>
      </c>
      <c r="F35" s="86" t="str">
        <f>IF(D16="No","",VLOOKUP($D$35,'Recommendation Responses'!$B$22:$F$23,3,FALSE))</f>
        <v>-</v>
      </c>
      <c r="G35" s="44" t="str">
        <f>IF(D16="No","",VLOOKUP($D$35,'Recommendation Responses'!$B$22:$F$23,4,FALSE))</f>
        <v>-</v>
      </c>
      <c r="H35" s="22" t="str">
        <f>IF(D16="No","",VLOOKUP($D$35,'Recommendation Responses'!$B$22:$F$23,5,FALSE))</f>
        <v>-</v>
      </c>
    </row>
    <row r="36" spans="1:8" ht="89.25" customHeight="1" x14ac:dyDescent="0.25">
      <c r="A36" s="101"/>
      <c r="B36" s="97" t="str">
        <f>IF($C$23="STOP","",IF(D16="No","(11)",11))</f>
        <v/>
      </c>
      <c r="C36" s="12" t="str">
        <f>IF($C$23="STOP","","Rental Car Taxes")</f>
        <v/>
      </c>
      <c r="D36" s="86" t="str">
        <f>IF(C36="Rental Car Taxes", "Roadway / Highway","-")</f>
        <v>-</v>
      </c>
      <c r="E36" s="17" t="str">
        <f>IF($C$23="STOP","",IF(D16="No","Because this mode does not operate in your project area, this funding opportunity is not available.",VLOOKUP($D$36,'Recommendation Responses'!$B$24:$F$25,2,FALSE)))</f>
        <v/>
      </c>
      <c r="F36" s="86" t="str">
        <f>IF(D16="No","",VLOOKUP($D$36,'Recommendation Responses'!$B$24:$F$25,3,FALSE))</f>
        <v>-</v>
      </c>
      <c r="G36" s="44" t="str">
        <f>IF(D16="No","",VLOOKUP($D$36,'Recommendation Responses'!$B$24:$F$25,4,FALSE))</f>
        <v>-</v>
      </c>
      <c r="H36" s="22" t="str">
        <f>IF(D16="No","",VLOOKUP($D$36,'Recommendation Responses'!$B$24:$F$25,5,FALSE))</f>
        <v>-</v>
      </c>
    </row>
    <row r="37" spans="1:8" ht="139.9" customHeight="1" thickBot="1" x14ac:dyDescent="0.3">
      <c r="A37" s="101"/>
      <c r="B37" s="109" t="str">
        <f>IF($C$23="STOP","",IF(D37="N/A","(12)",12))</f>
        <v/>
      </c>
      <c r="C37" s="69" t="str">
        <f>IF($C$23="STOP","","Cap and Trade")</f>
        <v/>
      </c>
      <c r="D37" s="70" t="str">
        <f>IF(C37="Cap and Trade",VLOOKUP(D13,'Input Responses'!B13:T65,13,FALSE),"-")</f>
        <v>-</v>
      </c>
      <c r="E37" s="69" t="str">
        <f>VLOOKUP($D$37,'Recommendation Responses'!$B$26:$F$29,2,FALSE)</f>
        <v>-</v>
      </c>
      <c r="F37" s="71" t="str">
        <f>VLOOKUP($D$37,'Recommendation Responses'!$B$26:$F$29,3,FALSE)</f>
        <v>-</v>
      </c>
      <c r="G37" s="72" t="str">
        <f>VLOOKUP($D$37,'Recommendation Responses'!$B$26:$F$29,4,FALSE)</f>
        <v>-</v>
      </c>
      <c r="H37" s="73" t="str">
        <f>VLOOKUP($D$37,'Recommendation Responses'!$B$26:$F$29,5,FALSE)</f>
        <v>-</v>
      </c>
    </row>
    <row r="38" spans="1:8" s="102" customFormat="1" ht="54.75" customHeight="1" x14ac:dyDescent="0.3">
      <c r="B38" s="103" t="s">
        <v>56</v>
      </c>
      <c r="C38" s="104"/>
      <c r="D38" s="105" t="s">
        <v>155</v>
      </c>
      <c r="E38" s="89" t="s">
        <v>312</v>
      </c>
      <c r="F38" s="105" t="s">
        <v>166</v>
      </c>
      <c r="G38" s="106" t="s">
        <v>105</v>
      </c>
      <c r="H38" s="107" t="s">
        <v>444</v>
      </c>
    </row>
    <row r="39" spans="1:8" ht="106.5" customHeight="1" x14ac:dyDescent="0.25">
      <c r="A39" s="101"/>
      <c r="B39" s="97" t="str">
        <f>IF($C$23="STOP","",IF(D16="No","(13)",13))</f>
        <v/>
      </c>
      <c r="C39" s="12" t="str">
        <f>IF($C$23="STOP","","Local Gas Taxes")</f>
        <v/>
      </c>
      <c r="D39" s="86" t="str">
        <f>IF(C39="Local Gas Taxes","Roadway / Highway","-")</f>
        <v>-</v>
      </c>
      <c r="E39" s="17" t="str">
        <f>IF($C$23="STOP","",IF(D16="No","Because this mode does not operate in your project area, this funding opportunity is not available.",VLOOKUP($D$39,'Recommendation Responses'!$B$31:$F$32,2,FALSE)))</f>
        <v/>
      </c>
      <c r="F39" s="86" t="str">
        <f>IF(D16="No","",VLOOKUP($D$39,'Recommendation Responses'!$B$31:$F$32,3,FALSE))</f>
        <v>-</v>
      </c>
      <c r="G39" s="44" t="str">
        <f>IF(D16="No","",VLOOKUP($D$39,'Recommendation Responses'!$B$31:$F$32,4,FALSE))</f>
        <v>-</v>
      </c>
      <c r="H39" s="22" t="str">
        <f>IF(D16="No","",VLOOKUP($D$39,'Recommendation Responses'!$B$31:$F$32,5,FALSE))</f>
        <v>-</v>
      </c>
    </row>
    <row r="40" spans="1:8" ht="106.5" customHeight="1" x14ac:dyDescent="0.25">
      <c r="A40" s="101"/>
      <c r="B40" s="97" t="str">
        <f>IF($C$23="STOP","",IF(D16="No","(14)",14))</f>
        <v/>
      </c>
      <c r="C40" s="12" t="str">
        <f>IF($C$23="STOP","","Local Parking Taxes")</f>
        <v/>
      </c>
      <c r="D40" s="86" t="str">
        <f>IF(C40="Local Parking Taxes","Roadway / Highway","-")</f>
        <v>-</v>
      </c>
      <c r="E40" s="17" t="str">
        <f>IF($C$23="STOP","",IF(D16="No","Because this mode does not operate in your project area, this funding opportunity is not available.",VLOOKUP($D$40,'Recommendation Responses'!$B$33:$F$34,2,FALSE)))</f>
        <v/>
      </c>
      <c r="F40" s="86" t="str">
        <f>IF(D16="No","",VLOOKUP($D$40,'Recommendation Responses'!$B$33:$F$34,3,FALSE))</f>
        <v>-</v>
      </c>
      <c r="G40" s="44" t="str">
        <f>IF(D16="No","",VLOOKUP($D$40,'Recommendation Responses'!$B$33:$F$34,4,FALSE))</f>
        <v>-</v>
      </c>
      <c r="H40" s="22" t="str">
        <f>IF(D16="No","",VLOOKUP($D$40,'Recommendation Responses'!$B$33:$F$34,5,FALSE))</f>
        <v>-</v>
      </c>
    </row>
    <row r="41" spans="1:8" ht="106.5" customHeight="1" x14ac:dyDescent="0.25">
      <c r="A41" s="101"/>
      <c r="B41" s="97" t="str">
        <f>IF($C$23="STOP","",IF(D16="No","(15)",15))</f>
        <v/>
      </c>
      <c r="C41" s="12" t="str">
        <f>IF($C$23="STOP","","Local Rental Car Taxes")</f>
        <v/>
      </c>
      <c r="D41" s="86" t="str">
        <f>IF(C41="Local Rental Car Taxes", "Roadway / Highway","-")</f>
        <v>-</v>
      </c>
      <c r="E41" s="17" t="str">
        <f>IF($C$23="STOP","",IF(D16="No","Because this mode does not operate in your project area, this funding opportunity is not available.",VLOOKUP($D$41,'Recommendation Responses'!$B$35:$F$36,2,FALSE)))</f>
        <v/>
      </c>
      <c r="F41" s="86" t="str">
        <f>IF(D16="No","",VLOOKUP($D$41,'Recommendation Responses'!$B$35:$F$36,3,FALSE))</f>
        <v>-</v>
      </c>
      <c r="G41" s="44" t="str">
        <f>IF(D16="No","",VLOOKUP($D$41,'Recommendation Responses'!$B$35:$F$36,4,FALSE))</f>
        <v>-</v>
      </c>
      <c r="H41" s="22" t="str">
        <f>IF(D16="No","",VLOOKUP($D$41,'Recommendation Responses'!$B$35:$F$36,5,FALSE))</f>
        <v>-</v>
      </c>
    </row>
    <row r="42" spans="1:8" ht="106.5" customHeight="1" x14ac:dyDescent="0.25">
      <c r="A42" s="101"/>
      <c r="B42" s="97" t="str">
        <f>IF($C$23="STOP","",IF(D16="No","(16)",16))</f>
        <v/>
      </c>
      <c r="C42" s="12" t="str">
        <f>IF($C$23="STOP","","Taxi Fees")</f>
        <v/>
      </c>
      <c r="D42" s="86" t="str">
        <f>IF(C42="Taxi Fees","Roadway / Highway","-")</f>
        <v>-</v>
      </c>
      <c r="E42" s="17" t="str">
        <f>IF($C$23="STOP","",IF(D16="No","Because this mode does not operate in your project area, this funding opportunity is not available.",VLOOKUP($D$42,'Recommendation Responses'!$B$37:$F$38,2,FALSE)))</f>
        <v/>
      </c>
      <c r="F42" s="86" t="str">
        <f>IF(D16="No","",VLOOKUP($D$42,'Recommendation Responses'!$B$37:$F$38,3,FALSE))</f>
        <v>-</v>
      </c>
      <c r="G42" s="44" t="str">
        <f>IF(D16="No","",VLOOKUP($D$42,'Recommendation Responses'!$B$37:$F$38,4,FALSE))</f>
        <v>-</v>
      </c>
      <c r="H42" s="22" t="str">
        <f>IF(D16="No","",VLOOKUP($D$42,'Recommendation Responses'!$B$37:$F$38,5,FALSE))</f>
        <v>-</v>
      </c>
    </row>
    <row r="43" spans="1:8" ht="106.5" customHeight="1" x14ac:dyDescent="0.25">
      <c r="A43" s="101"/>
      <c r="B43" s="97" t="str">
        <f>IF($C$23="STOP","",IF(D16="No","(17)",17))</f>
        <v/>
      </c>
      <c r="C43" s="12" t="str">
        <f>IF($C$23="STOP","","Congestion Pricing")</f>
        <v/>
      </c>
      <c r="D43" s="86" t="str">
        <f>IF(C43="Congestion Pricing","Roadway / Highway","-")</f>
        <v>-</v>
      </c>
      <c r="E43" s="17" t="str">
        <f>IF($C$23="STOP","",IF(D16="No","Because this mode does not operate in your project area, this funding opportunity is not available.",VLOOKUP($D$43,'Recommendation Responses'!$B$39:$F$40,2,FALSE)))</f>
        <v/>
      </c>
      <c r="F43" s="86" t="str">
        <f>IF(D16="No","",VLOOKUP($D$43,'Recommendation Responses'!$B$39:$F$40,3,FALSE))</f>
        <v>-</v>
      </c>
      <c r="G43" s="44" t="str">
        <f>IF(D16="No","",VLOOKUP($D$43,'Recommendation Responses'!$B$39:$F$40,4,FALSE))</f>
        <v>-</v>
      </c>
      <c r="H43" s="22" t="str">
        <f>IF(D16="No","",VLOOKUP($D$43,'Recommendation Responses'!$B$39:$F$40,5,FALSE))</f>
        <v>-</v>
      </c>
    </row>
    <row r="44" spans="1:8" ht="106.5" customHeight="1" x14ac:dyDescent="0.25">
      <c r="A44" s="101"/>
      <c r="B44" s="97" t="str">
        <f>IF($C$23="STOP","",IF(D17="No","(18)",18))</f>
        <v/>
      </c>
      <c r="C44" s="12" t="str">
        <f>IF($C$23="STOP","","Toll Revenues")</f>
        <v/>
      </c>
      <c r="D44" s="86" t="str">
        <f>IF(C44="Toll Revenues","Roadway / Highway","-")</f>
        <v>-</v>
      </c>
      <c r="E44" s="17" t="str">
        <f>IF($C$23="STOP","",IF(D16="No","Because this mode does not operate in your project area, this funding opportunity is not available.",IF(D17="No","Because toll roads do not operate in your project area, this funding opportunity is not available",VLOOKUP($D$44,'Recommendation Responses'!$B$41:$F$42,2,FALSE))))</f>
        <v/>
      </c>
      <c r="F44" s="86" t="str">
        <f>IF(D17="No","",IF(D16="No","",VLOOKUP($D$44,'Recommendation Responses'!$B$41:$F$42,3,FALSE)))</f>
        <v>-</v>
      </c>
      <c r="G44" s="44" t="str">
        <f>IF(D17="No","",IF(D16="No","",VLOOKUP($D$44,'Recommendation Responses'!$B$41:$F$42,4,FALSE)))</f>
        <v>-</v>
      </c>
      <c r="H44" s="22" t="str">
        <f>IF(D17="No","",IF(D16="No","",VLOOKUP($D$44,'Recommendation Responses'!$B$41:$F$42,5,FALSE)))</f>
        <v>-</v>
      </c>
    </row>
    <row r="45" spans="1:8" ht="106.5" customHeight="1" x14ac:dyDescent="0.25">
      <c r="A45" s="101"/>
      <c r="B45" s="97" t="str">
        <f>IF($C$23="STOP","",IF(D20="No","(19)",19))</f>
        <v/>
      </c>
      <c r="C45" s="12" t="str">
        <f>IF($C$23="STOP","","Right-of-way Leases")</f>
        <v/>
      </c>
      <c r="D45" s="86" t="str">
        <f>IF(C45="Right-of-way Leases","Freight / Intercity Passenger Rail","-")</f>
        <v>-</v>
      </c>
      <c r="E45" s="17" t="str">
        <f>IF($C$23="STOP","",IF(D20="No","Because this mode does not operate in your project area, this funding opportunity is not available.",VLOOKUP($D$45,'Recommendation Responses'!$B$43:$F$44,2,FALSE)))</f>
        <v/>
      </c>
      <c r="F45" s="86" t="str">
        <f>IF(D20="No","",VLOOKUP($D$45,'Recommendation Responses'!$B$43:$F$44,3,FALSE))</f>
        <v>-</v>
      </c>
      <c r="G45" s="44" t="str">
        <f>IF(D20="No","",VLOOKUP($D$45,'Recommendation Responses'!$B$43:$F$44,4,FALSE))</f>
        <v>-</v>
      </c>
      <c r="H45" s="22" t="str">
        <f>IF(D20="No","",VLOOKUP($D$45,'Recommendation Responses'!$B$43:$F$44,5,FALSE))</f>
        <v>-</v>
      </c>
    </row>
    <row r="46" spans="1:8" ht="106.5" customHeight="1" x14ac:dyDescent="0.25">
      <c r="A46" s="101"/>
      <c r="B46" s="97" t="str">
        <f>IF($C$23="STOP","",IF(D21="No","(20)",20))</f>
        <v/>
      </c>
      <c r="C46" s="12" t="str">
        <f>IF($C$23="STOP","","Port Usage Fees")</f>
        <v/>
      </c>
      <c r="D46" s="87" t="str">
        <f>IF(C46="Port Usage Fees","Port / Air","-")</f>
        <v>-</v>
      </c>
      <c r="E46" s="17" t="str">
        <f>IF($C$23="STOP","",IF(D21="No","Because this mode does not operate in your project area, this funding opportunity is not available.",VLOOKUP($D$46,'Recommendation Responses'!$B$45:$F$46,2,FALSE)))</f>
        <v/>
      </c>
      <c r="F46" s="86" t="str">
        <f>IF(D21="No","",VLOOKUP($D$46,'Recommendation Responses'!$B$45:$F$46,3,FALSE))</f>
        <v>-</v>
      </c>
      <c r="G46" s="44" t="str">
        <f>IF(D21="No","",VLOOKUP($D$46,'Recommendation Responses'!$B$45:$F$46,4,FALSE))</f>
        <v>-</v>
      </c>
      <c r="H46" s="22" t="str">
        <f>IF(D21="No","",VLOOKUP($D$46,'Recommendation Responses'!$B$45:$F$46,5,FALSE))</f>
        <v>-</v>
      </c>
    </row>
    <row r="47" spans="1:8" ht="106.5" customHeight="1" thickBot="1" x14ac:dyDescent="0.3">
      <c r="A47" s="101"/>
      <c r="B47" s="108" t="str">
        <f>IF($C$23="STOP","",IF(D21="No","(21)",21))</f>
        <v/>
      </c>
      <c r="C47" s="13" t="str">
        <f>IF($C$23="STOP","","Passenger Facility Charges (PFC)")</f>
        <v/>
      </c>
      <c r="D47" s="21" t="str">
        <f>IF(C47="Passenger Facility Charges (PFC)","Port / Air","-")</f>
        <v>-</v>
      </c>
      <c r="E47" s="15" t="str">
        <f>IF($C$23="STOP","",IF(D21="No","Because this mode does not operate in your project area, this funding opportunity is not available.",VLOOKUP($D$47,'Recommendation Responses'!$B$47:$F$48,2,FALSE)))</f>
        <v/>
      </c>
      <c r="F47" s="21" t="str">
        <f>IF(D21="No","",VLOOKUP($D$47,'Recommendation Responses'!$B$47:$F$48,3,FALSE))</f>
        <v>-</v>
      </c>
      <c r="G47" s="43" t="str">
        <f>IF(D21="No","",VLOOKUP($D$47,'Recommendation Responses'!$B$47:$F$48,4,FALSE))</f>
        <v>-</v>
      </c>
      <c r="H47" s="40" t="str">
        <f>IF(D21="No","",VLOOKUP($D$47,'Recommendation Responses'!$B$47:$F$48,5,FALSE))</f>
        <v>-</v>
      </c>
    </row>
    <row r="48" spans="1:8" ht="106.5" hidden="1" customHeight="1" x14ac:dyDescent="0.25"/>
  </sheetData>
  <sheetProtection selectLockedCells="1"/>
  <protectedRanges>
    <protectedRange sqref="D11:D13 D16:D23" name="Drop down_1"/>
  </protectedRanges>
  <mergeCells count="18">
    <mergeCell ref="B5:H5"/>
    <mergeCell ref="B6:H6"/>
    <mergeCell ref="B7:H7"/>
    <mergeCell ref="B15:C15"/>
    <mergeCell ref="E19:H19"/>
    <mergeCell ref="E10:H10"/>
    <mergeCell ref="E15:H15"/>
    <mergeCell ref="E14:H14"/>
    <mergeCell ref="E16:H16"/>
    <mergeCell ref="E17:H17"/>
    <mergeCell ref="E11:H12"/>
    <mergeCell ref="E18:H18"/>
    <mergeCell ref="E13:G13"/>
    <mergeCell ref="C11:C12"/>
    <mergeCell ref="B11:B12"/>
    <mergeCell ref="E22:H22"/>
    <mergeCell ref="E20:H20"/>
    <mergeCell ref="E21:H21"/>
  </mergeCells>
  <conditionalFormatting sqref="B13:H47 B11:E11 D12">
    <cfRule type="cellIs" dxfId="8" priority="8" operator="equal">
      <formula>"-"</formula>
    </cfRule>
  </conditionalFormatting>
  <conditionalFormatting sqref="D16:D22">
    <cfRule type="cellIs" dxfId="7" priority="14" operator="equal">
      <formula>"Yes"</formula>
    </cfRule>
    <cfRule type="cellIs" dxfId="6" priority="15" operator="equal">
      <formula>"Unsure"</formula>
    </cfRule>
    <cfRule type="cellIs" dxfId="5" priority="16" operator="equal">
      <formula>"No"</formula>
    </cfRule>
  </conditionalFormatting>
  <hyperlinks>
    <hyperlink ref="C25" r:id="rId1" display="https://www.fhwa.dot.gov/environment/air_quality/cmaq/"/>
    <hyperlink ref="C26" r:id="rId2" display="https://www.fhwa.dot.gov/specialfunding/stp/"/>
    <hyperlink ref="C27" r:id="rId3" display="https://portal.hud.gov/hudportal/HUD?src=/program_offices/comm_planning/communitydevelopment/programs"/>
    <hyperlink ref="C28" r:id="rId4" display="https://www.irs.gov/tax-exempt-bonds/qualified-energy-conservation-bonds-faqs"/>
    <hyperlink ref="C29" r:id="rId5" display="https://www.acf.hhs.gov/ofa/programs/tanf"/>
    <hyperlink ref="C30" r:id="rId6" display="https://www.cdfifund.gov/programs-training/Programs/new-markets-tax-credit/Pages/default.aspx"/>
    <hyperlink ref="C31" r:id="rId7" display="https://www.va.gov/HEALTHBENEFITS/vtp/highly_rural_transportation_grants.asp"/>
    <hyperlink ref="C32" r:id="rId8" display="https://www.rd.usda.gov/programs-services/rural-business-development-grants"/>
  </hyperlinks>
  <pageMargins left="0.7" right="0.7" top="0.75" bottom="0.75" header="0.3" footer="0.3"/>
  <pageSetup orientation="portrait" verticalDpi="0" r:id="rId9"/>
  <extLst>
    <ext xmlns:x14="http://schemas.microsoft.com/office/spreadsheetml/2009/9/main" uri="{CCE6A557-97BC-4b89-ADB6-D9C93CAAB3DF}">
      <x14:dataValidations xmlns:xm="http://schemas.microsoft.com/office/excel/2006/main" xWindow="345" yWindow="700" count="10">
        <x14:dataValidation type="list" allowBlank="1" showInputMessage="1" showErrorMessage="1">
          <x14:formula1>
            <xm:f>'Input Responses'!$B$73:$B$76</xm:f>
          </x14:formula1>
          <xm:sqref>D16</xm:sqref>
        </x14:dataValidation>
        <x14:dataValidation type="list" allowBlank="1" showInputMessage="1" showErrorMessage="1">
          <x14:formula1>
            <xm:f>'Input Responses'!$B$67:$B$70</xm:f>
          </x14:formula1>
          <xm:sqref>D14</xm:sqref>
        </x14:dataValidation>
        <x14:dataValidation type="list" showInputMessage="1" showErrorMessage="1">
          <x14:formula1>
            <xm:f>'Input Responses'!$B$77:$B$80</xm:f>
          </x14:formula1>
          <xm:sqref>D17</xm:sqref>
        </x14:dataValidation>
        <x14:dataValidation type="list" showInputMessage="1" showErrorMessage="1">
          <x14:formula1>
            <xm:f>'Input Responses'!$B$81:$B$84</xm:f>
          </x14:formula1>
          <xm:sqref>D18</xm:sqref>
        </x14:dataValidation>
        <x14:dataValidation type="list" showInputMessage="1" showErrorMessage="1">
          <x14:formula1>
            <xm:f>'Input Responses'!$B$85:$B$88</xm:f>
          </x14:formula1>
          <xm:sqref>D19</xm:sqref>
        </x14:dataValidation>
        <x14:dataValidation type="list" showInputMessage="1" showErrorMessage="1">
          <x14:formula1>
            <xm:f>'Input Responses'!$B$89:$B$92</xm:f>
          </x14:formula1>
          <xm:sqref>D20</xm:sqref>
        </x14:dataValidation>
        <x14:dataValidation type="list" showInputMessage="1" showErrorMessage="1">
          <x14:formula1>
            <xm:f>'Input Responses'!$B$93:$B$96</xm:f>
          </x14:formula1>
          <xm:sqref>D21:D22</xm:sqref>
        </x14:dataValidation>
        <x14:dataValidation type="list" showInputMessage="1" showErrorMessage="1" prompt="Use drop-down menu.">
          <x14:formula1>
            <xm:f>'Input Responses'!$B$13:$B$65</xm:f>
          </x14:formula1>
          <xm:sqref>D13</xm:sqref>
        </x14:dataValidation>
        <x14:dataValidation type="list" allowBlank="1" showInputMessage="1" showErrorMessage="1">
          <x14:formula1>
            <xm:f>'Input Responses'!$D$1:$F$1</xm:f>
          </x14:formula1>
          <xm:sqref>D12</xm:sqref>
        </x14:dataValidation>
        <x14:dataValidation type="list" allowBlank="1" showInputMessage="1" showErrorMessage="1">
          <x14:formula1>
            <xm:f>'Input Responses'!$B$2:$B$10</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4"/>
  <sheetViews>
    <sheetView topLeftCell="D50" workbookViewId="0">
      <selection activeCell="B6" sqref="B6:H6"/>
    </sheetView>
  </sheetViews>
  <sheetFormatPr defaultRowHeight="15" x14ac:dyDescent="0.25"/>
  <cols>
    <col min="1" max="2" width="15.7109375" customWidth="1"/>
    <col min="3" max="3" width="127.28515625" customWidth="1"/>
    <col min="4" max="7" width="8.85546875" customWidth="1"/>
    <col min="8" max="8" width="9.42578125" customWidth="1"/>
    <col min="9" max="11" width="8.85546875" customWidth="1"/>
    <col min="12" max="12" width="11.28515625" customWidth="1"/>
    <col min="13" max="13" width="91.85546875" customWidth="1"/>
    <col min="14" max="14" width="9.42578125" bestFit="1" customWidth="1"/>
    <col min="15" max="15" width="8.85546875" customWidth="1"/>
    <col min="16" max="16" width="26.7109375" customWidth="1"/>
    <col min="21" max="21" width="8.85546875" customWidth="1"/>
  </cols>
  <sheetData>
    <row r="1" spans="1:22" x14ac:dyDescent="0.25">
      <c r="A1" s="129" t="s">
        <v>583</v>
      </c>
      <c r="B1" s="30" t="s">
        <v>164</v>
      </c>
      <c r="C1" s="30" t="s">
        <v>60</v>
      </c>
      <c r="D1" s="30" t="s">
        <v>55</v>
      </c>
      <c r="E1" s="30" t="s">
        <v>644</v>
      </c>
      <c r="F1" s="30" t="s">
        <v>642</v>
      </c>
      <c r="G1" s="20"/>
      <c r="H1" s="20"/>
      <c r="I1" s="20"/>
    </row>
    <row r="2" spans="1:22" x14ac:dyDescent="0.25">
      <c r="A2" s="128"/>
      <c r="B2" s="2" t="s">
        <v>55</v>
      </c>
      <c r="C2" s="11" t="str">
        <f>HLOOKUP('Cross Modal Funding Options'!D12,'Input Responses'!D1:I10,2,FALSE)</f>
        <v>Please select your response.</v>
      </c>
      <c r="D2" s="2" t="s">
        <v>54</v>
      </c>
      <c r="E2" s="2" t="s">
        <v>54</v>
      </c>
      <c r="F2" s="2" t="s">
        <v>54</v>
      </c>
      <c r="G2" s="20"/>
      <c r="H2" s="31"/>
      <c r="I2" s="31"/>
    </row>
    <row r="3" spans="1:22" x14ac:dyDescent="0.25">
      <c r="B3" s="2" t="s">
        <v>585</v>
      </c>
      <c r="C3" s="2" t="str">
        <f>HLOOKUP('Cross Modal Funding Options'!D12,'Input Responses'!D1:I10,3,FALSE)</f>
        <v>Please select your response.</v>
      </c>
      <c r="D3" s="2" t="s">
        <v>54</v>
      </c>
      <c r="E3" s="2" t="s">
        <v>652</v>
      </c>
      <c r="F3" s="2" t="s">
        <v>645</v>
      </c>
      <c r="G3" s="20"/>
      <c r="H3" s="31"/>
      <c r="I3" s="31"/>
    </row>
    <row r="4" spans="1:22" x14ac:dyDescent="0.25">
      <c r="B4" s="2" t="s">
        <v>587</v>
      </c>
      <c r="C4" s="2" t="str">
        <f>HLOOKUP('Cross Modal Funding Options'!D12,'Input Responses'!D1:I10,4,FALSE)</f>
        <v>Please select your response.</v>
      </c>
      <c r="D4" s="2" t="s">
        <v>54</v>
      </c>
      <c r="E4" s="2" t="s">
        <v>657</v>
      </c>
      <c r="F4" s="2" t="s">
        <v>646</v>
      </c>
      <c r="G4" s="20"/>
      <c r="H4" s="31"/>
      <c r="I4" s="31"/>
    </row>
    <row r="5" spans="1:22" x14ac:dyDescent="0.25">
      <c r="B5" s="2" t="s">
        <v>586</v>
      </c>
      <c r="C5" s="2" t="str">
        <f>HLOOKUP('Cross Modal Funding Options'!D12,'Input Responses'!D1:I10,5,FALSE)</f>
        <v>Please select your response.</v>
      </c>
      <c r="D5" s="2" t="s">
        <v>54</v>
      </c>
      <c r="E5" s="2" t="s">
        <v>653</v>
      </c>
      <c r="F5" s="2" t="s">
        <v>647</v>
      </c>
      <c r="G5" s="20"/>
      <c r="H5" s="31"/>
      <c r="I5" s="31"/>
    </row>
    <row r="6" spans="1:22" x14ac:dyDescent="0.25">
      <c r="B6" s="2" t="s">
        <v>588</v>
      </c>
      <c r="C6" s="2" t="str">
        <f>HLOOKUP('Cross Modal Funding Options'!D12,'Input Responses'!D1:I10,6,FALSE)</f>
        <v>Please select your response.</v>
      </c>
      <c r="D6" s="2" t="s">
        <v>54</v>
      </c>
      <c r="E6" s="2" t="s">
        <v>654</v>
      </c>
      <c r="F6" s="2" t="s">
        <v>658</v>
      </c>
      <c r="G6" s="20"/>
      <c r="H6" s="31"/>
      <c r="I6" s="31"/>
    </row>
    <row r="7" spans="1:22" x14ac:dyDescent="0.25">
      <c r="B7" s="2" t="s">
        <v>589</v>
      </c>
      <c r="C7" s="2" t="str">
        <f>HLOOKUP('Cross Modal Funding Options'!D12,'Input Responses'!D1:I10,7,FALSE)</f>
        <v>Please select your response.</v>
      </c>
      <c r="D7" s="2" t="s">
        <v>54</v>
      </c>
      <c r="E7" s="2" t="s">
        <v>648</v>
      </c>
      <c r="F7" s="2" t="s">
        <v>659</v>
      </c>
      <c r="G7" s="20"/>
      <c r="H7" s="31"/>
      <c r="I7" s="31"/>
    </row>
    <row r="8" spans="1:22" x14ac:dyDescent="0.25">
      <c r="B8" s="2" t="s">
        <v>643</v>
      </c>
      <c r="C8" s="2" t="str">
        <f>HLOOKUP('Cross Modal Funding Options'!D12,'Input Responses'!D1:I10,8,FALSE)</f>
        <v>Please select your response.</v>
      </c>
      <c r="D8" s="2" t="s">
        <v>54</v>
      </c>
      <c r="E8" s="2" t="s">
        <v>655</v>
      </c>
      <c r="F8" s="2" t="s">
        <v>656</v>
      </c>
      <c r="G8" s="20"/>
      <c r="H8" s="31"/>
      <c r="I8" s="31"/>
    </row>
    <row r="9" spans="1:22" x14ac:dyDescent="0.25">
      <c r="B9" s="2" t="s">
        <v>584</v>
      </c>
      <c r="C9" s="2" t="str">
        <f>HLOOKUP('Cross Modal Funding Options'!D12,'Input Responses'!D1:I10,9,FALSE)</f>
        <v>Please select your response.</v>
      </c>
      <c r="D9" s="2" t="s">
        <v>54</v>
      </c>
      <c r="E9" s="2" t="s">
        <v>649</v>
      </c>
      <c r="F9" s="2" t="s">
        <v>649</v>
      </c>
      <c r="G9" s="20"/>
      <c r="H9" s="31"/>
      <c r="I9" s="31"/>
    </row>
    <row r="10" spans="1:22" x14ac:dyDescent="0.25">
      <c r="B10" s="2" t="s">
        <v>56</v>
      </c>
      <c r="C10" s="2" t="str">
        <f>HLOOKUP('Cross Modal Funding Options'!D12,'Input Responses'!D1:I10,10,FALSE)</f>
        <v>Please select your response.</v>
      </c>
      <c r="D10" s="2" t="s">
        <v>54</v>
      </c>
      <c r="E10" s="2" t="s">
        <v>650</v>
      </c>
      <c r="F10" s="2" t="s">
        <v>651</v>
      </c>
      <c r="G10" s="20"/>
      <c r="H10" s="31"/>
      <c r="I10" s="31"/>
    </row>
    <row r="12" spans="1:22" ht="60" x14ac:dyDescent="0.25">
      <c r="A12" s="33" t="s">
        <v>3</v>
      </c>
      <c r="B12" s="32" t="s">
        <v>164</v>
      </c>
      <c r="C12" s="32" t="s">
        <v>60</v>
      </c>
      <c r="D12" s="112" t="s">
        <v>425</v>
      </c>
      <c r="E12" s="76" t="s">
        <v>127</v>
      </c>
      <c r="F12" s="76" t="s">
        <v>79</v>
      </c>
      <c r="G12" s="117" t="s">
        <v>375</v>
      </c>
      <c r="H12" s="112" t="s">
        <v>365</v>
      </c>
      <c r="I12" s="117" t="s">
        <v>426</v>
      </c>
      <c r="J12" s="112" t="s">
        <v>125</v>
      </c>
      <c r="K12" s="75" t="s">
        <v>161</v>
      </c>
      <c r="L12" s="75" t="s">
        <v>281</v>
      </c>
      <c r="M12" s="122" t="s">
        <v>566</v>
      </c>
      <c r="N12" s="82" t="s">
        <v>62</v>
      </c>
      <c r="O12" s="121" t="s">
        <v>450</v>
      </c>
      <c r="P12" s="121" t="s">
        <v>567</v>
      </c>
      <c r="Q12" s="82" t="s">
        <v>557</v>
      </c>
      <c r="R12" s="82" t="s">
        <v>559</v>
      </c>
      <c r="S12" s="82" t="s">
        <v>560</v>
      </c>
      <c r="T12" s="82" t="s">
        <v>556</v>
      </c>
      <c r="U12" s="82" t="s">
        <v>640</v>
      </c>
      <c r="V12" s="82" t="s">
        <v>561</v>
      </c>
    </row>
    <row r="13" spans="1:22" x14ac:dyDescent="0.25">
      <c r="B13" s="84" t="s">
        <v>55</v>
      </c>
      <c r="C13" s="11" t="s">
        <v>54</v>
      </c>
      <c r="D13" s="80" t="s">
        <v>55</v>
      </c>
      <c r="E13" s="80" t="s">
        <v>55</v>
      </c>
      <c r="F13" s="80" t="s">
        <v>55</v>
      </c>
      <c r="G13" s="80" t="s">
        <v>55</v>
      </c>
      <c r="H13" s="80" t="s">
        <v>55</v>
      </c>
      <c r="I13" s="80" t="s">
        <v>55</v>
      </c>
      <c r="J13" s="80" t="s">
        <v>55</v>
      </c>
      <c r="K13" s="80" t="s">
        <v>55</v>
      </c>
      <c r="L13" s="80" t="s">
        <v>55</v>
      </c>
      <c r="M13" s="38" t="s">
        <v>55</v>
      </c>
      <c r="N13" s="83" t="s">
        <v>55</v>
      </c>
      <c r="O13" s="80" t="s">
        <v>55</v>
      </c>
      <c r="P13" s="80" t="s">
        <v>55</v>
      </c>
      <c r="Q13" s="113" t="s">
        <v>55</v>
      </c>
      <c r="R13" s="113" t="s">
        <v>55</v>
      </c>
      <c r="S13" s="113" t="s">
        <v>55</v>
      </c>
      <c r="T13" s="113" t="s">
        <v>55</v>
      </c>
      <c r="U13" s="113" t="s">
        <v>55</v>
      </c>
      <c r="V13" s="113" t="s">
        <v>55</v>
      </c>
    </row>
    <row r="14" spans="1:22" ht="28.5" x14ac:dyDescent="0.25">
      <c r="B14" s="29" t="s">
        <v>4</v>
      </c>
      <c r="C14" s="11" t="s">
        <v>170</v>
      </c>
      <c r="D14" s="113" t="s">
        <v>315</v>
      </c>
      <c r="E14" s="65" t="s">
        <v>196</v>
      </c>
      <c r="F14" s="68" t="s">
        <v>223</v>
      </c>
      <c r="G14" s="68" t="s">
        <v>393</v>
      </c>
      <c r="H14" s="68" t="s">
        <v>368</v>
      </c>
      <c r="I14" s="68" t="s">
        <v>590</v>
      </c>
      <c r="J14" s="80" t="s">
        <v>55</v>
      </c>
      <c r="K14" s="65">
        <v>22.91</v>
      </c>
      <c r="L14" s="80" t="s">
        <v>191</v>
      </c>
      <c r="M14" s="38" t="s">
        <v>191</v>
      </c>
      <c r="N14" s="29" t="s">
        <v>64</v>
      </c>
      <c r="O14" s="113" t="s">
        <v>451</v>
      </c>
      <c r="P14" s="113" t="s">
        <v>495</v>
      </c>
      <c r="Q14" s="113"/>
      <c r="R14" s="113"/>
      <c r="S14" s="113"/>
      <c r="T14" s="113" t="s">
        <v>191</v>
      </c>
      <c r="U14" s="130" t="s">
        <v>620</v>
      </c>
      <c r="V14" s="113"/>
    </row>
    <row r="15" spans="1:22" ht="42.75" x14ac:dyDescent="0.25">
      <c r="B15" s="29" t="s">
        <v>5</v>
      </c>
      <c r="C15" s="11" t="s">
        <v>294</v>
      </c>
      <c r="D15" s="113" t="s">
        <v>316</v>
      </c>
      <c r="E15" s="65" t="s">
        <v>197</v>
      </c>
      <c r="F15" s="68" t="s">
        <v>224</v>
      </c>
      <c r="G15" s="68" t="s">
        <v>398</v>
      </c>
      <c r="H15" s="68" t="s">
        <v>377</v>
      </c>
      <c r="I15" s="68" t="s">
        <v>202</v>
      </c>
      <c r="J15" s="80" t="s">
        <v>55</v>
      </c>
      <c r="K15" s="65">
        <v>12.25</v>
      </c>
      <c r="L15" s="80" t="s">
        <v>192</v>
      </c>
      <c r="M15" s="39" t="s">
        <v>550</v>
      </c>
      <c r="N15" s="29" t="s">
        <v>64</v>
      </c>
      <c r="O15" s="113" t="s">
        <v>452</v>
      </c>
      <c r="P15" s="113" t="s">
        <v>496</v>
      </c>
      <c r="Q15" s="113"/>
      <c r="R15" s="113"/>
      <c r="S15" s="113"/>
      <c r="T15" s="113" t="s">
        <v>191</v>
      </c>
      <c r="U15" s="130">
        <v>965000</v>
      </c>
      <c r="V15" s="113"/>
    </row>
    <row r="16" spans="1:22" ht="28.5" x14ac:dyDescent="0.25">
      <c r="B16" s="29" t="s">
        <v>6</v>
      </c>
      <c r="C16" s="11" t="s">
        <v>293</v>
      </c>
      <c r="D16" s="114" t="s">
        <v>317</v>
      </c>
      <c r="E16" s="68" t="s">
        <v>198</v>
      </c>
      <c r="F16" s="68" t="s">
        <v>225</v>
      </c>
      <c r="G16" s="68" t="s">
        <v>399</v>
      </c>
      <c r="H16" s="68" t="s">
        <v>201</v>
      </c>
      <c r="I16" s="68" t="s">
        <v>591</v>
      </c>
      <c r="J16" s="80" t="s">
        <v>55</v>
      </c>
      <c r="K16" s="68">
        <v>19</v>
      </c>
      <c r="L16" s="80" t="s">
        <v>191</v>
      </c>
      <c r="M16" s="39" t="s">
        <v>552</v>
      </c>
      <c r="N16" s="29" t="s">
        <v>64</v>
      </c>
      <c r="O16" s="114" t="s">
        <v>453</v>
      </c>
      <c r="P16" s="114" t="s">
        <v>497</v>
      </c>
      <c r="Q16" s="116" t="s">
        <v>578</v>
      </c>
      <c r="R16" s="113"/>
      <c r="S16" s="113"/>
      <c r="T16" s="113" t="s">
        <v>191</v>
      </c>
      <c r="U16" s="130" t="s">
        <v>380</v>
      </c>
      <c r="V16" s="113"/>
    </row>
    <row r="17" spans="2:22" ht="28.5" x14ac:dyDescent="0.25">
      <c r="B17" s="29" t="s">
        <v>7</v>
      </c>
      <c r="C17" s="11" t="s">
        <v>172</v>
      </c>
      <c r="D17" s="115" t="s">
        <v>318</v>
      </c>
      <c r="E17" s="67" t="s">
        <v>199</v>
      </c>
      <c r="F17" s="68" t="s">
        <v>226</v>
      </c>
      <c r="G17" s="68" t="s">
        <v>400</v>
      </c>
      <c r="H17" s="68" t="s">
        <v>378</v>
      </c>
      <c r="I17" s="68" t="s">
        <v>592</v>
      </c>
      <c r="J17" s="80" t="s">
        <v>55</v>
      </c>
      <c r="K17" s="67">
        <v>21.8</v>
      </c>
      <c r="L17" s="80" t="s">
        <v>191</v>
      </c>
      <c r="M17" s="39" t="s">
        <v>562</v>
      </c>
      <c r="N17" s="29" t="s">
        <v>64</v>
      </c>
      <c r="O17" s="115" t="s">
        <v>454</v>
      </c>
      <c r="P17" s="115" t="s">
        <v>498</v>
      </c>
      <c r="Q17" s="113"/>
      <c r="R17" s="113"/>
      <c r="S17" s="113"/>
      <c r="T17" s="113" t="s">
        <v>191</v>
      </c>
      <c r="U17" s="130" t="s">
        <v>620</v>
      </c>
      <c r="V17" s="113"/>
    </row>
    <row r="18" spans="2:22" ht="28.5" x14ac:dyDescent="0.25">
      <c r="B18" s="29" t="s">
        <v>8</v>
      </c>
      <c r="C18" s="11" t="s">
        <v>185</v>
      </c>
      <c r="D18" s="115" t="s">
        <v>319</v>
      </c>
      <c r="E18" s="67" t="s">
        <v>200</v>
      </c>
      <c r="F18" s="68" t="s">
        <v>227</v>
      </c>
      <c r="G18" s="68" t="s">
        <v>401</v>
      </c>
      <c r="H18" s="68" t="s">
        <v>379</v>
      </c>
      <c r="I18" s="68" t="s">
        <v>593</v>
      </c>
      <c r="J18" s="80" t="s">
        <v>55</v>
      </c>
      <c r="K18" s="67">
        <v>38.799999999999997</v>
      </c>
      <c r="L18" s="80" t="s">
        <v>192</v>
      </c>
      <c r="M18" s="39" t="s">
        <v>563</v>
      </c>
      <c r="N18" s="29" t="s">
        <v>8</v>
      </c>
      <c r="O18" s="115" t="s">
        <v>455</v>
      </c>
      <c r="P18" s="115" t="s">
        <v>499</v>
      </c>
      <c r="Q18" s="113"/>
      <c r="R18" s="113"/>
      <c r="S18" s="113"/>
      <c r="T18" s="113" t="s">
        <v>191</v>
      </c>
      <c r="U18" s="130" t="s">
        <v>621</v>
      </c>
      <c r="V18" s="113"/>
    </row>
    <row r="19" spans="2:22" ht="42.75" x14ac:dyDescent="0.25">
      <c r="B19" s="29" t="s">
        <v>9</v>
      </c>
      <c r="C19" s="11" t="s">
        <v>295</v>
      </c>
      <c r="D19" s="114" t="s">
        <v>320</v>
      </c>
      <c r="E19" s="68" t="s">
        <v>201</v>
      </c>
      <c r="F19" s="68" t="s">
        <v>228</v>
      </c>
      <c r="G19" s="68" t="s">
        <v>370</v>
      </c>
      <c r="H19" s="68" t="s">
        <v>380</v>
      </c>
      <c r="I19" s="68" t="s">
        <v>594</v>
      </c>
      <c r="J19" s="80" t="s">
        <v>55</v>
      </c>
      <c r="K19" s="68">
        <v>22</v>
      </c>
      <c r="L19" s="80" t="s">
        <v>191</v>
      </c>
      <c r="M19" s="38" t="s">
        <v>191</v>
      </c>
      <c r="N19" s="29" t="s">
        <v>64</v>
      </c>
      <c r="O19" s="114" t="s">
        <v>456</v>
      </c>
      <c r="P19" s="114" t="s">
        <v>501</v>
      </c>
      <c r="Q19" s="113"/>
      <c r="R19" s="113"/>
      <c r="S19" s="113"/>
      <c r="T19" s="113" t="s">
        <v>192</v>
      </c>
      <c r="U19" s="130" t="s">
        <v>622</v>
      </c>
      <c r="V19" s="113"/>
    </row>
    <row r="20" spans="2:22" ht="42.75" x14ac:dyDescent="0.25">
      <c r="B20" s="29" t="s">
        <v>10</v>
      </c>
      <c r="C20" s="11" t="s">
        <v>297</v>
      </c>
      <c r="D20" s="113" t="s">
        <v>321</v>
      </c>
      <c r="E20" s="65" t="s">
        <v>202</v>
      </c>
      <c r="F20" s="68" t="s">
        <v>229</v>
      </c>
      <c r="G20" s="68" t="s">
        <v>402</v>
      </c>
      <c r="H20" s="68" t="s">
        <v>381</v>
      </c>
      <c r="I20" s="68" t="s">
        <v>421</v>
      </c>
      <c r="J20" s="80" t="s">
        <v>55</v>
      </c>
      <c r="K20" s="65">
        <v>40.15</v>
      </c>
      <c r="L20" s="80" t="s">
        <v>192</v>
      </c>
      <c r="M20" s="38" t="s">
        <v>192</v>
      </c>
      <c r="N20" s="29" t="s">
        <v>63</v>
      </c>
      <c r="O20" s="113" t="s">
        <v>569</v>
      </c>
      <c r="P20" s="113" t="s">
        <v>568</v>
      </c>
      <c r="Q20" s="113"/>
      <c r="R20" s="113"/>
      <c r="S20" s="113"/>
      <c r="T20" s="113" t="s">
        <v>191</v>
      </c>
      <c r="U20" s="130" t="s">
        <v>623</v>
      </c>
      <c r="V20" s="113"/>
    </row>
    <row r="21" spans="2:22" ht="28.5" x14ac:dyDescent="0.25">
      <c r="B21" s="29" t="s">
        <v>11</v>
      </c>
      <c r="C21" s="11" t="s">
        <v>173</v>
      </c>
      <c r="D21" s="114" t="s">
        <v>323</v>
      </c>
      <c r="E21" s="68" t="s">
        <v>196</v>
      </c>
      <c r="F21" s="68" t="s">
        <v>230</v>
      </c>
      <c r="G21" s="68" t="s">
        <v>382</v>
      </c>
      <c r="H21" s="68" t="s">
        <v>368</v>
      </c>
      <c r="I21" s="68" t="s">
        <v>402</v>
      </c>
      <c r="J21" s="80" t="s">
        <v>55</v>
      </c>
      <c r="K21" s="68">
        <v>23</v>
      </c>
      <c r="L21" s="80" t="s">
        <v>192</v>
      </c>
      <c r="M21" s="38" t="s">
        <v>192</v>
      </c>
      <c r="N21" s="29" t="s">
        <v>63</v>
      </c>
      <c r="O21" s="114" t="s">
        <v>457</v>
      </c>
      <c r="P21" s="114" t="s">
        <v>502</v>
      </c>
      <c r="Q21" s="113"/>
      <c r="R21" s="113"/>
      <c r="S21" s="113"/>
      <c r="T21" s="113" t="s">
        <v>191</v>
      </c>
      <c r="U21" s="130" t="s">
        <v>191</v>
      </c>
      <c r="V21" s="113"/>
    </row>
    <row r="22" spans="2:22" ht="42.75" x14ac:dyDescent="0.25">
      <c r="B22" s="11" t="s">
        <v>160</v>
      </c>
      <c r="C22" s="11" t="s">
        <v>298</v>
      </c>
      <c r="D22" s="115" t="s">
        <v>322</v>
      </c>
      <c r="E22" s="67" t="s">
        <v>203</v>
      </c>
      <c r="F22" s="68" t="s">
        <v>231</v>
      </c>
      <c r="G22" s="68" t="s">
        <v>204</v>
      </c>
      <c r="H22" s="68" t="s">
        <v>382</v>
      </c>
      <c r="I22" s="68" t="s">
        <v>248</v>
      </c>
      <c r="J22" s="80" t="s">
        <v>55</v>
      </c>
      <c r="K22" s="67">
        <v>23.5</v>
      </c>
      <c r="L22" s="81" t="s">
        <v>192</v>
      </c>
      <c r="M22" s="39" t="s">
        <v>192</v>
      </c>
      <c r="N22" s="29" t="s">
        <v>64</v>
      </c>
      <c r="O22" s="115" t="s">
        <v>500</v>
      </c>
      <c r="P22" s="115" t="s">
        <v>503</v>
      </c>
      <c r="Q22" s="113"/>
      <c r="R22" s="113"/>
      <c r="S22" s="113"/>
      <c r="T22" s="113" t="s">
        <v>191</v>
      </c>
      <c r="U22" s="130" t="s">
        <v>191</v>
      </c>
      <c r="V22" s="113"/>
    </row>
    <row r="23" spans="2:22" x14ac:dyDescent="0.25">
      <c r="B23" s="29" t="s">
        <v>12</v>
      </c>
      <c r="C23" s="11" t="s">
        <v>174</v>
      </c>
      <c r="D23" s="113" t="s">
        <v>324</v>
      </c>
      <c r="E23" s="65" t="s">
        <v>204</v>
      </c>
      <c r="F23" s="68" t="s">
        <v>232</v>
      </c>
      <c r="G23" s="68" t="s">
        <v>263</v>
      </c>
      <c r="H23" s="68" t="s">
        <v>383</v>
      </c>
      <c r="I23" s="68" t="s">
        <v>595</v>
      </c>
      <c r="J23" s="80" t="s">
        <v>55</v>
      </c>
      <c r="K23" s="65">
        <v>36.79</v>
      </c>
      <c r="L23" s="80" t="s">
        <v>192</v>
      </c>
      <c r="M23" s="38" t="s">
        <v>192</v>
      </c>
      <c r="N23" s="29" t="s">
        <v>64</v>
      </c>
      <c r="O23" s="115" t="s">
        <v>458</v>
      </c>
      <c r="P23" s="113" t="s">
        <v>504</v>
      </c>
      <c r="Q23" s="113"/>
      <c r="R23" s="113"/>
      <c r="S23" s="113"/>
      <c r="T23" s="113" t="s">
        <v>191</v>
      </c>
      <c r="U23" s="130" t="s">
        <v>624</v>
      </c>
      <c r="V23" s="113"/>
    </row>
    <row r="24" spans="2:22" x14ac:dyDescent="0.25">
      <c r="B24" s="29" t="s">
        <v>13</v>
      </c>
      <c r="C24" s="11" t="s">
        <v>175</v>
      </c>
      <c r="D24" s="116" t="s">
        <v>325</v>
      </c>
      <c r="E24" s="66" t="s">
        <v>205</v>
      </c>
      <c r="F24" s="77" t="s">
        <v>233</v>
      </c>
      <c r="G24" s="77" t="s">
        <v>371</v>
      </c>
      <c r="H24" s="77" t="s">
        <v>369</v>
      </c>
      <c r="I24" s="77" t="s">
        <v>596</v>
      </c>
      <c r="J24" s="80" t="s">
        <v>55</v>
      </c>
      <c r="K24" s="66">
        <v>31.09</v>
      </c>
      <c r="L24" s="80" t="s">
        <v>191</v>
      </c>
      <c r="M24" s="38" t="s">
        <v>564</v>
      </c>
      <c r="N24" s="29" t="s">
        <v>64</v>
      </c>
      <c r="O24" s="113" t="s">
        <v>459</v>
      </c>
      <c r="P24" s="116" t="s">
        <v>505</v>
      </c>
      <c r="Q24" s="113"/>
      <c r="R24" s="113"/>
      <c r="S24" s="113"/>
      <c r="T24" s="113" t="s">
        <v>191</v>
      </c>
      <c r="U24" s="130" t="s">
        <v>625</v>
      </c>
      <c r="V24" s="113"/>
    </row>
    <row r="25" spans="2:22" ht="28.5" x14ac:dyDescent="0.25">
      <c r="B25" s="29" t="s">
        <v>14</v>
      </c>
      <c r="C25" s="11" t="s">
        <v>188</v>
      </c>
      <c r="D25" s="113" t="s">
        <v>326</v>
      </c>
      <c r="E25" s="65" t="s">
        <v>206</v>
      </c>
      <c r="F25" s="68" t="s">
        <v>230</v>
      </c>
      <c r="G25" s="68" t="s">
        <v>196</v>
      </c>
      <c r="H25" s="68" t="s">
        <v>199</v>
      </c>
      <c r="I25" s="68" t="s">
        <v>597</v>
      </c>
      <c r="J25" s="80" t="s">
        <v>55</v>
      </c>
      <c r="K25" s="65">
        <v>44.22</v>
      </c>
      <c r="L25" s="80" t="s">
        <v>192</v>
      </c>
      <c r="M25" s="39" t="s">
        <v>554</v>
      </c>
      <c r="N25" s="29" t="s">
        <v>64</v>
      </c>
      <c r="O25" s="116" t="s">
        <v>460</v>
      </c>
      <c r="P25" s="113" t="s">
        <v>506</v>
      </c>
      <c r="Q25" s="113"/>
      <c r="R25" s="113"/>
      <c r="S25" s="113"/>
      <c r="T25" s="113" t="s">
        <v>191</v>
      </c>
      <c r="U25" s="130" t="s">
        <v>626</v>
      </c>
      <c r="V25" s="113"/>
    </row>
    <row r="26" spans="2:22" ht="28.5" x14ac:dyDescent="0.25">
      <c r="B26" s="29" t="s">
        <v>15</v>
      </c>
      <c r="C26" s="11" t="s">
        <v>296</v>
      </c>
      <c r="D26" s="114" t="s">
        <v>327</v>
      </c>
      <c r="E26" s="68" t="s">
        <v>199</v>
      </c>
      <c r="F26" s="68" t="s">
        <v>234</v>
      </c>
      <c r="G26" s="68" t="s">
        <v>196</v>
      </c>
      <c r="H26" s="68" t="s">
        <v>384</v>
      </c>
      <c r="I26" s="68" t="s">
        <v>267</v>
      </c>
      <c r="J26" s="80" t="s">
        <v>55</v>
      </c>
      <c r="K26" s="68">
        <v>33</v>
      </c>
      <c r="L26" s="80" t="s">
        <v>191</v>
      </c>
      <c r="M26" s="38" t="s">
        <v>191</v>
      </c>
      <c r="N26" s="29" t="s">
        <v>64</v>
      </c>
      <c r="O26" s="113" t="s">
        <v>461</v>
      </c>
      <c r="P26" s="114" t="s">
        <v>507</v>
      </c>
      <c r="Q26" s="113"/>
      <c r="R26" s="113"/>
      <c r="S26" s="113"/>
      <c r="T26" s="113" t="s">
        <v>191</v>
      </c>
      <c r="U26" s="130" t="s">
        <v>191</v>
      </c>
      <c r="V26" s="113"/>
    </row>
    <row r="27" spans="2:22" ht="28.5" x14ac:dyDescent="0.25">
      <c r="B27" s="29" t="s">
        <v>16</v>
      </c>
      <c r="C27" s="11" t="s">
        <v>186</v>
      </c>
      <c r="D27" s="113" t="s">
        <v>328</v>
      </c>
      <c r="E27" s="65" t="s">
        <v>207</v>
      </c>
      <c r="F27" s="68" t="s">
        <v>235</v>
      </c>
      <c r="G27" s="68" t="s">
        <v>403</v>
      </c>
      <c r="H27" s="68" t="s">
        <v>385</v>
      </c>
      <c r="I27" s="68" t="s">
        <v>598</v>
      </c>
      <c r="J27" s="80" t="s">
        <v>55</v>
      </c>
      <c r="K27" s="65">
        <v>33.75</v>
      </c>
      <c r="L27" s="80" t="s">
        <v>192</v>
      </c>
      <c r="M27" s="39" t="s">
        <v>553</v>
      </c>
      <c r="N27" s="29" t="s">
        <v>64</v>
      </c>
      <c r="O27" s="114" t="s">
        <v>462</v>
      </c>
      <c r="P27" s="113" t="s">
        <v>508</v>
      </c>
      <c r="Q27" s="113"/>
      <c r="R27" s="113"/>
      <c r="S27" s="113"/>
      <c r="T27" s="113" t="s">
        <v>191</v>
      </c>
      <c r="U27" s="130" t="s">
        <v>625</v>
      </c>
      <c r="V27" s="113"/>
    </row>
    <row r="28" spans="2:22" ht="42.75" x14ac:dyDescent="0.25">
      <c r="B28" s="29" t="s">
        <v>17</v>
      </c>
      <c r="C28" s="85" t="s">
        <v>302</v>
      </c>
      <c r="D28" s="113" t="s">
        <v>329</v>
      </c>
      <c r="E28" s="65" t="s">
        <v>208</v>
      </c>
      <c r="F28" s="68" t="s">
        <v>236</v>
      </c>
      <c r="G28" s="68" t="s">
        <v>404</v>
      </c>
      <c r="H28" s="68" t="s">
        <v>385</v>
      </c>
      <c r="I28" s="68" t="s">
        <v>599</v>
      </c>
      <c r="J28" s="80" t="s">
        <v>55</v>
      </c>
      <c r="K28" s="65">
        <v>32.840000000000003</v>
      </c>
      <c r="L28" s="80" t="s">
        <v>191</v>
      </c>
      <c r="M28" s="38" t="s">
        <v>573</v>
      </c>
      <c r="N28" s="29" t="s">
        <v>64</v>
      </c>
      <c r="O28" s="113" t="s">
        <v>463</v>
      </c>
      <c r="P28" s="113" t="s">
        <v>509</v>
      </c>
      <c r="Q28" s="113"/>
      <c r="R28" s="113"/>
      <c r="S28" s="113"/>
      <c r="T28" s="113" t="s">
        <v>191</v>
      </c>
      <c r="U28" s="130">
        <v>30000</v>
      </c>
      <c r="V28" s="113"/>
    </row>
    <row r="29" spans="2:22" ht="42.75" x14ac:dyDescent="0.25">
      <c r="B29" s="29" t="s">
        <v>18</v>
      </c>
      <c r="C29" s="11" t="s">
        <v>576</v>
      </c>
      <c r="D29" s="115" t="s">
        <v>330</v>
      </c>
      <c r="E29" s="67" t="s">
        <v>196</v>
      </c>
      <c r="F29" s="68" t="s">
        <v>237</v>
      </c>
      <c r="G29" s="68" t="s">
        <v>212</v>
      </c>
      <c r="H29" s="68" t="s">
        <v>386</v>
      </c>
      <c r="I29" s="68" t="s">
        <v>420</v>
      </c>
      <c r="J29" s="80" t="s">
        <v>55</v>
      </c>
      <c r="K29" s="67">
        <v>30.7</v>
      </c>
      <c r="L29" s="80" t="s">
        <v>191</v>
      </c>
      <c r="M29" s="39" t="s">
        <v>565</v>
      </c>
      <c r="N29" s="29" t="s">
        <v>64</v>
      </c>
      <c r="O29" s="113" t="s">
        <v>464</v>
      </c>
      <c r="P29" s="115" t="s">
        <v>510</v>
      </c>
      <c r="Q29" s="113"/>
      <c r="R29" s="113"/>
      <c r="S29" s="113"/>
      <c r="T29" s="113" t="s">
        <v>191</v>
      </c>
      <c r="U29" s="130">
        <v>419000</v>
      </c>
      <c r="V29" s="113"/>
    </row>
    <row r="30" spans="2:22" ht="28.5" x14ac:dyDescent="0.25">
      <c r="B30" s="29" t="s">
        <v>19</v>
      </c>
      <c r="C30" s="11" t="s">
        <v>299</v>
      </c>
      <c r="D30" s="113" t="s">
        <v>331</v>
      </c>
      <c r="E30" s="65" t="s">
        <v>203</v>
      </c>
      <c r="F30" s="68" t="s">
        <v>238</v>
      </c>
      <c r="G30" s="68" t="s">
        <v>213</v>
      </c>
      <c r="H30" s="119" t="s">
        <v>422</v>
      </c>
      <c r="I30" s="68" t="s">
        <v>600</v>
      </c>
      <c r="J30" s="80" t="s">
        <v>55</v>
      </c>
      <c r="K30" s="65">
        <v>24.03</v>
      </c>
      <c r="L30" s="80" t="s">
        <v>192</v>
      </c>
      <c r="M30" s="38" t="s">
        <v>192</v>
      </c>
      <c r="N30" s="29" t="s">
        <v>64</v>
      </c>
      <c r="O30" s="115" t="s">
        <v>465</v>
      </c>
      <c r="P30" s="113" t="s">
        <v>511</v>
      </c>
      <c r="Q30" s="113"/>
      <c r="R30" s="113"/>
      <c r="S30" s="113"/>
      <c r="T30" s="113" t="s">
        <v>191</v>
      </c>
      <c r="U30" s="130" t="s">
        <v>627</v>
      </c>
      <c r="V30" s="113"/>
    </row>
    <row r="31" spans="2:22" ht="28.5" x14ac:dyDescent="0.25">
      <c r="B31" s="29" t="s">
        <v>20</v>
      </c>
      <c r="C31" s="11" t="s">
        <v>187</v>
      </c>
      <c r="D31" s="114" t="s">
        <v>332</v>
      </c>
      <c r="E31" s="68" t="s">
        <v>204</v>
      </c>
      <c r="F31" s="68" t="s">
        <v>239</v>
      </c>
      <c r="G31" s="68" t="s">
        <v>405</v>
      </c>
      <c r="H31" s="119" t="s">
        <v>423</v>
      </c>
      <c r="I31" s="68" t="s">
        <v>601</v>
      </c>
      <c r="J31" s="80" t="s">
        <v>55</v>
      </c>
      <c r="K31" s="68">
        <v>26</v>
      </c>
      <c r="L31" s="80" t="s">
        <v>191</v>
      </c>
      <c r="M31" s="38" t="s">
        <v>191</v>
      </c>
      <c r="N31" s="29" t="s">
        <v>64</v>
      </c>
      <c r="O31" s="113" t="s">
        <v>466</v>
      </c>
      <c r="P31" s="114" t="s">
        <v>512</v>
      </c>
      <c r="Q31" s="113"/>
      <c r="R31" s="113"/>
      <c r="S31" s="113"/>
      <c r="T31" s="113" t="s">
        <v>191</v>
      </c>
      <c r="U31" s="130" t="s">
        <v>191</v>
      </c>
      <c r="V31" s="113"/>
    </row>
    <row r="32" spans="2:22" ht="42.75" x14ac:dyDescent="0.25">
      <c r="B32" s="29" t="s">
        <v>21</v>
      </c>
      <c r="C32" s="11" t="s">
        <v>436</v>
      </c>
      <c r="D32" s="113" t="s">
        <v>333</v>
      </c>
      <c r="E32" s="65" t="s">
        <v>196</v>
      </c>
      <c r="F32" s="68" t="s">
        <v>240</v>
      </c>
      <c r="G32" s="68" t="s">
        <v>372</v>
      </c>
      <c r="H32" s="68" t="s">
        <v>387</v>
      </c>
      <c r="I32" s="68" t="s">
        <v>602</v>
      </c>
      <c r="J32" s="80" t="s">
        <v>55</v>
      </c>
      <c r="K32" s="65">
        <v>20.010000000000002</v>
      </c>
      <c r="L32" s="80" t="s">
        <v>192</v>
      </c>
      <c r="M32" s="38" t="s">
        <v>192</v>
      </c>
      <c r="N32" s="29" t="s">
        <v>64</v>
      </c>
      <c r="O32" s="114" t="s">
        <v>467</v>
      </c>
      <c r="P32" s="113" t="s">
        <v>513</v>
      </c>
      <c r="Q32" s="113"/>
      <c r="R32" s="113"/>
      <c r="S32" s="113"/>
      <c r="T32" s="113" t="s">
        <v>191</v>
      </c>
      <c r="U32" s="130">
        <v>988000</v>
      </c>
      <c r="V32" s="113"/>
    </row>
    <row r="33" spans="2:22" ht="28.5" x14ac:dyDescent="0.25">
      <c r="B33" s="29" t="s">
        <v>22</v>
      </c>
      <c r="C33" s="11" t="s">
        <v>300</v>
      </c>
      <c r="D33" s="113" t="s">
        <v>334</v>
      </c>
      <c r="E33" s="65" t="s">
        <v>203</v>
      </c>
      <c r="F33" s="68" t="s">
        <v>241</v>
      </c>
      <c r="G33" s="68" t="s">
        <v>384</v>
      </c>
      <c r="H33" s="68" t="s">
        <v>203</v>
      </c>
      <c r="I33" s="68" t="s">
        <v>388</v>
      </c>
      <c r="J33" s="80" t="s">
        <v>55</v>
      </c>
      <c r="K33" s="65">
        <v>30.01</v>
      </c>
      <c r="L33" s="80" t="s">
        <v>191</v>
      </c>
      <c r="M33" s="38" t="s">
        <v>191</v>
      </c>
      <c r="N33" s="29" t="s">
        <v>63</v>
      </c>
      <c r="O33" s="113" t="s">
        <v>468</v>
      </c>
      <c r="P33" s="113" t="s">
        <v>514</v>
      </c>
      <c r="Q33" s="113"/>
      <c r="R33" s="113"/>
      <c r="S33" s="113"/>
      <c r="T33" s="113" t="s">
        <v>191</v>
      </c>
      <c r="U33" s="130" t="s">
        <v>628</v>
      </c>
      <c r="V33" s="113"/>
    </row>
    <row r="34" spans="2:22" ht="28.5" x14ac:dyDescent="0.25">
      <c r="B34" s="29" t="s">
        <v>23</v>
      </c>
      <c r="C34" s="11" t="s">
        <v>437</v>
      </c>
      <c r="D34" s="115" t="s">
        <v>335</v>
      </c>
      <c r="E34" s="67" t="s">
        <v>209</v>
      </c>
      <c r="F34" s="68" t="s">
        <v>242</v>
      </c>
      <c r="G34" s="68" t="s">
        <v>202</v>
      </c>
      <c r="H34" s="68" t="s">
        <v>208</v>
      </c>
      <c r="I34" s="68" t="s">
        <v>603</v>
      </c>
      <c r="J34" s="80" t="s">
        <v>55</v>
      </c>
      <c r="K34" s="67">
        <v>33.5</v>
      </c>
      <c r="L34" s="80" t="s">
        <v>192</v>
      </c>
      <c r="M34" s="38" t="s">
        <v>192</v>
      </c>
      <c r="N34" s="29" t="s">
        <v>63</v>
      </c>
      <c r="O34" s="115" t="s">
        <v>469</v>
      </c>
      <c r="P34" s="115" t="s">
        <v>515</v>
      </c>
      <c r="Q34" s="113"/>
      <c r="R34" s="113"/>
      <c r="S34" s="113"/>
      <c r="T34" s="113" t="s">
        <v>191</v>
      </c>
      <c r="U34" s="130" t="s">
        <v>629</v>
      </c>
      <c r="V34" s="113"/>
    </row>
    <row r="35" spans="2:22" ht="28.5" x14ac:dyDescent="0.25">
      <c r="B35" s="29" t="s">
        <v>24</v>
      </c>
      <c r="C35" s="11" t="s">
        <v>184</v>
      </c>
      <c r="D35" s="113" t="s">
        <v>336</v>
      </c>
      <c r="E35" s="65" t="s">
        <v>210</v>
      </c>
      <c r="F35" s="68" t="s">
        <v>221</v>
      </c>
      <c r="G35" s="68" t="s">
        <v>406</v>
      </c>
      <c r="H35" s="68" t="s">
        <v>386</v>
      </c>
      <c r="I35" s="68" t="s">
        <v>604</v>
      </c>
      <c r="J35" s="80" t="s">
        <v>55</v>
      </c>
      <c r="K35" s="65">
        <v>26.54</v>
      </c>
      <c r="L35" s="80" t="s">
        <v>192</v>
      </c>
      <c r="M35" s="38" t="s">
        <v>192</v>
      </c>
      <c r="N35" s="29" t="s">
        <v>63</v>
      </c>
      <c r="O35" s="113" t="s">
        <v>470</v>
      </c>
      <c r="P35" s="113" t="s">
        <v>516</v>
      </c>
      <c r="Q35" s="113"/>
      <c r="R35" s="113"/>
      <c r="S35" s="113"/>
      <c r="T35" s="113" t="s">
        <v>191</v>
      </c>
      <c r="U35" s="130" t="s">
        <v>191</v>
      </c>
      <c r="V35" s="113"/>
    </row>
    <row r="36" spans="2:22" ht="42.75" x14ac:dyDescent="0.25">
      <c r="B36" s="29" t="s">
        <v>25</v>
      </c>
      <c r="C36" s="11" t="s">
        <v>301</v>
      </c>
      <c r="D36" s="113" t="s">
        <v>337</v>
      </c>
      <c r="E36" s="65" t="s">
        <v>211</v>
      </c>
      <c r="F36" s="68" t="s">
        <v>243</v>
      </c>
      <c r="G36" s="68" t="s">
        <v>250</v>
      </c>
      <c r="H36" s="68" t="s">
        <v>388</v>
      </c>
      <c r="I36" s="68" t="s">
        <v>418</v>
      </c>
      <c r="J36" s="80" t="s">
        <v>55</v>
      </c>
      <c r="K36" s="65">
        <v>40.94</v>
      </c>
      <c r="L36" s="80" t="s">
        <v>192</v>
      </c>
      <c r="M36" s="39" t="s">
        <v>555</v>
      </c>
      <c r="N36" s="29" t="s">
        <v>64</v>
      </c>
      <c r="O36" s="113" t="s">
        <v>469</v>
      </c>
      <c r="P36" s="113" t="s">
        <v>517</v>
      </c>
      <c r="Q36" s="113"/>
      <c r="R36" s="113"/>
      <c r="S36" s="113"/>
      <c r="T36" s="113" t="s">
        <v>191</v>
      </c>
      <c r="U36" s="130" t="s">
        <v>230</v>
      </c>
      <c r="V36" s="113"/>
    </row>
    <row r="37" spans="2:22" ht="28.5" x14ac:dyDescent="0.25">
      <c r="B37" s="29" t="s">
        <v>26</v>
      </c>
      <c r="C37" s="11" t="s">
        <v>270</v>
      </c>
      <c r="D37" s="115" t="s">
        <v>338</v>
      </c>
      <c r="E37" s="67" t="s">
        <v>212</v>
      </c>
      <c r="F37" s="68" t="s">
        <v>244</v>
      </c>
      <c r="G37" s="68" t="s">
        <v>208</v>
      </c>
      <c r="H37" s="68" t="s">
        <v>214</v>
      </c>
      <c r="I37" s="68" t="s">
        <v>605</v>
      </c>
      <c r="J37" s="80" t="s">
        <v>55</v>
      </c>
      <c r="K37" s="67">
        <v>28.6</v>
      </c>
      <c r="L37" s="80" t="s">
        <v>191</v>
      </c>
      <c r="M37" s="38" t="s">
        <v>192</v>
      </c>
      <c r="N37" s="29" t="s">
        <v>64</v>
      </c>
      <c r="O37" s="115" t="s">
        <v>471</v>
      </c>
      <c r="P37" s="115" t="s">
        <v>518</v>
      </c>
      <c r="Q37" s="113"/>
      <c r="R37" s="113"/>
      <c r="S37" s="113"/>
      <c r="T37" s="113" t="s">
        <v>191</v>
      </c>
      <c r="U37" s="130" t="s">
        <v>630</v>
      </c>
      <c r="V37" s="113"/>
    </row>
    <row r="38" spans="2:22" ht="42.75" x14ac:dyDescent="0.25">
      <c r="B38" s="29" t="s">
        <v>27</v>
      </c>
      <c r="C38" s="11" t="s">
        <v>303</v>
      </c>
      <c r="D38" s="113" t="s">
        <v>339</v>
      </c>
      <c r="E38" s="65" t="s">
        <v>206</v>
      </c>
      <c r="F38" s="68" t="s">
        <v>224</v>
      </c>
      <c r="G38" s="68" t="s">
        <v>397</v>
      </c>
      <c r="H38" s="68" t="s">
        <v>267</v>
      </c>
      <c r="I38" s="68" t="s">
        <v>247</v>
      </c>
      <c r="J38" s="80" t="s">
        <v>55</v>
      </c>
      <c r="K38" s="65">
        <v>18.79</v>
      </c>
      <c r="L38" s="80" t="s">
        <v>191</v>
      </c>
      <c r="M38" s="39" t="s">
        <v>570</v>
      </c>
      <c r="N38" s="29" t="s">
        <v>64</v>
      </c>
      <c r="O38" s="113" t="s">
        <v>469</v>
      </c>
      <c r="P38" s="113" t="s">
        <v>519</v>
      </c>
      <c r="Q38" s="113"/>
      <c r="R38" s="113"/>
      <c r="S38" s="113"/>
      <c r="T38" s="113" t="s">
        <v>191</v>
      </c>
      <c r="U38" s="130" t="s">
        <v>631</v>
      </c>
      <c r="V38" s="113"/>
    </row>
    <row r="39" spans="2:22" ht="28.5" x14ac:dyDescent="0.25">
      <c r="B39" s="29" t="s">
        <v>28</v>
      </c>
      <c r="C39" s="11" t="s">
        <v>189</v>
      </c>
      <c r="D39" s="115" t="s">
        <v>340</v>
      </c>
      <c r="E39" s="67" t="s">
        <v>213</v>
      </c>
      <c r="F39" s="68" t="s">
        <v>245</v>
      </c>
      <c r="G39" s="68" t="s">
        <v>407</v>
      </c>
      <c r="H39" s="68" t="s">
        <v>202</v>
      </c>
      <c r="I39" s="68" t="s">
        <v>606</v>
      </c>
      <c r="J39" s="80" t="s">
        <v>55</v>
      </c>
      <c r="K39" s="67">
        <v>17.3</v>
      </c>
      <c r="L39" s="80" t="s">
        <v>191</v>
      </c>
      <c r="M39" s="39" t="s">
        <v>577</v>
      </c>
      <c r="N39" s="29" t="s">
        <v>64</v>
      </c>
      <c r="O39" s="115" t="s">
        <v>472</v>
      </c>
      <c r="P39" s="115" t="s">
        <v>520</v>
      </c>
      <c r="Q39" s="113"/>
      <c r="R39" s="113"/>
      <c r="S39" s="113"/>
      <c r="T39" s="113" t="s">
        <v>191</v>
      </c>
      <c r="U39" s="130" t="s">
        <v>191</v>
      </c>
      <c r="V39" s="113"/>
    </row>
    <row r="40" spans="2:22" ht="42.75" x14ac:dyDescent="0.25">
      <c r="B40" s="29" t="s">
        <v>29</v>
      </c>
      <c r="C40" s="85" t="s">
        <v>182</v>
      </c>
      <c r="D40" s="113" t="s">
        <v>341</v>
      </c>
      <c r="E40" s="65" t="s">
        <v>214</v>
      </c>
      <c r="F40" s="68" t="s">
        <v>246</v>
      </c>
      <c r="G40" s="68" t="s">
        <v>387</v>
      </c>
      <c r="H40" s="68" t="s">
        <v>380</v>
      </c>
      <c r="I40" s="68" t="s">
        <v>220</v>
      </c>
      <c r="J40" s="80" t="s">
        <v>55</v>
      </c>
      <c r="K40" s="65">
        <v>27.75</v>
      </c>
      <c r="L40" s="80" t="s">
        <v>191</v>
      </c>
      <c r="M40" s="39" t="s">
        <v>571</v>
      </c>
      <c r="N40" s="29" t="s">
        <v>64</v>
      </c>
      <c r="O40" s="113" t="s">
        <v>473</v>
      </c>
      <c r="P40" s="113" t="s">
        <v>521</v>
      </c>
      <c r="Q40" s="113"/>
      <c r="R40" s="113"/>
      <c r="S40" s="113"/>
      <c r="T40" s="113" t="s">
        <v>191</v>
      </c>
      <c r="U40" s="130" t="s">
        <v>191</v>
      </c>
      <c r="V40" s="113"/>
    </row>
    <row r="41" spans="2:22" ht="28.5" x14ac:dyDescent="0.25">
      <c r="B41" s="29" t="s">
        <v>30</v>
      </c>
      <c r="C41" s="11" t="s">
        <v>183</v>
      </c>
      <c r="D41" s="115" t="s">
        <v>342</v>
      </c>
      <c r="E41" s="67" t="s">
        <v>203</v>
      </c>
      <c r="F41" s="68" t="s">
        <v>247</v>
      </c>
      <c r="G41" s="68" t="s">
        <v>390</v>
      </c>
      <c r="H41" s="118" t="s">
        <v>424</v>
      </c>
      <c r="I41" s="68" t="s">
        <v>407</v>
      </c>
      <c r="J41" s="80" t="s">
        <v>55</v>
      </c>
      <c r="K41" s="67">
        <v>28.2</v>
      </c>
      <c r="L41" s="80" t="s">
        <v>192</v>
      </c>
      <c r="M41" s="38" t="s">
        <v>192</v>
      </c>
      <c r="N41" s="29" t="s">
        <v>64</v>
      </c>
      <c r="O41" s="115" t="s">
        <v>662</v>
      </c>
      <c r="P41" s="115" t="s">
        <v>661</v>
      </c>
      <c r="Q41" s="113"/>
      <c r="R41" s="113"/>
      <c r="S41" s="113"/>
      <c r="T41" s="113" t="s">
        <v>191</v>
      </c>
      <c r="U41" s="130" t="s">
        <v>191</v>
      </c>
      <c r="V41" s="113"/>
    </row>
    <row r="42" spans="2:22" ht="28.5" x14ac:dyDescent="0.25">
      <c r="B42" s="29" t="s">
        <v>31</v>
      </c>
      <c r="C42" s="11" t="s">
        <v>171</v>
      </c>
      <c r="D42" s="113" t="s">
        <v>343</v>
      </c>
      <c r="E42" s="65" t="s">
        <v>212</v>
      </c>
      <c r="F42" s="68" t="s">
        <v>248</v>
      </c>
      <c r="G42" s="68" t="s">
        <v>219</v>
      </c>
      <c r="H42" s="68" t="s">
        <v>378</v>
      </c>
      <c r="I42" s="68" t="s">
        <v>230</v>
      </c>
      <c r="J42" s="80" t="s">
        <v>55</v>
      </c>
      <c r="K42" s="65">
        <v>33.520000000000003</v>
      </c>
      <c r="L42" s="80" t="s">
        <v>191</v>
      </c>
      <c r="M42" s="39" t="s">
        <v>572</v>
      </c>
      <c r="N42" s="29" t="s">
        <v>64</v>
      </c>
      <c r="O42" s="113" t="s">
        <v>474</v>
      </c>
      <c r="P42" s="113" t="s">
        <v>522</v>
      </c>
      <c r="Q42" s="113"/>
      <c r="R42" s="113"/>
      <c r="S42" s="113"/>
      <c r="T42" s="113" t="s">
        <v>191</v>
      </c>
      <c r="U42" s="130" t="s">
        <v>632</v>
      </c>
      <c r="V42" s="113"/>
    </row>
    <row r="43" spans="2:22" x14ac:dyDescent="0.25">
      <c r="B43" s="29" t="s">
        <v>32</v>
      </c>
      <c r="C43" s="11" t="s">
        <v>304</v>
      </c>
      <c r="D43" s="113" t="s">
        <v>344</v>
      </c>
      <c r="E43" s="65" t="s">
        <v>206</v>
      </c>
      <c r="F43" s="68" t="s">
        <v>208</v>
      </c>
      <c r="G43" s="68" t="s">
        <v>206</v>
      </c>
      <c r="H43" s="68" t="s">
        <v>199</v>
      </c>
      <c r="I43" s="68" t="s">
        <v>405</v>
      </c>
      <c r="J43" s="80" t="s">
        <v>55</v>
      </c>
      <c r="K43" s="65">
        <v>23.83</v>
      </c>
      <c r="L43" s="80" t="s">
        <v>191</v>
      </c>
      <c r="M43" s="38" t="s">
        <v>191</v>
      </c>
      <c r="N43" s="29" t="s">
        <v>63</v>
      </c>
      <c r="O43" s="113" t="s">
        <v>475</v>
      </c>
      <c r="P43" s="113" t="s">
        <v>523</v>
      </c>
      <c r="Q43" s="113"/>
      <c r="R43" s="113"/>
      <c r="S43" s="113"/>
      <c r="T43" s="113" t="s">
        <v>191</v>
      </c>
      <c r="U43" s="130">
        <v>101000</v>
      </c>
      <c r="V43" s="113"/>
    </row>
    <row r="44" spans="2:22" ht="28.5" x14ac:dyDescent="0.25">
      <c r="B44" s="29" t="s">
        <v>33</v>
      </c>
      <c r="C44" s="11" t="s">
        <v>190</v>
      </c>
      <c r="D44" s="115" t="s">
        <v>345</v>
      </c>
      <c r="E44" s="67" t="s">
        <v>215</v>
      </c>
      <c r="F44" s="68" t="s">
        <v>249</v>
      </c>
      <c r="G44" s="68" t="s">
        <v>408</v>
      </c>
      <c r="H44" s="68" t="s">
        <v>389</v>
      </c>
      <c r="I44" s="68" t="s">
        <v>607</v>
      </c>
      <c r="J44" s="80" t="s">
        <v>55</v>
      </c>
      <c r="K44" s="67">
        <v>37.1</v>
      </c>
      <c r="L44" s="80" t="s">
        <v>192</v>
      </c>
      <c r="M44" s="38" t="s">
        <v>192</v>
      </c>
      <c r="N44" s="29" t="s">
        <v>64</v>
      </c>
      <c r="O44" s="115" t="s">
        <v>476</v>
      </c>
      <c r="P44" s="115" t="s">
        <v>524</v>
      </c>
      <c r="Q44" s="113"/>
      <c r="R44" s="113"/>
      <c r="S44" s="113"/>
      <c r="T44" s="113" t="s">
        <v>191</v>
      </c>
      <c r="U44" s="130" t="s">
        <v>633</v>
      </c>
      <c r="V44" s="113"/>
    </row>
    <row r="45" spans="2:22" ht="28.5" x14ac:dyDescent="0.25">
      <c r="B45" s="29" t="s">
        <v>34</v>
      </c>
      <c r="C45" s="11" t="s">
        <v>305</v>
      </c>
      <c r="D45" s="113" t="s">
        <v>346</v>
      </c>
      <c r="E45" s="65" t="s">
        <v>196</v>
      </c>
      <c r="F45" s="68" t="s">
        <v>250</v>
      </c>
      <c r="G45" s="68" t="s">
        <v>384</v>
      </c>
      <c r="H45" s="68" t="s">
        <v>390</v>
      </c>
      <c r="I45" s="68" t="s">
        <v>246</v>
      </c>
      <c r="J45" s="80" t="s">
        <v>55</v>
      </c>
      <c r="K45" s="65">
        <v>18.88</v>
      </c>
      <c r="L45" s="80" t="s">
        <v>192</v>
      </c>
      <c r="M45" s="38" t="s">
        <v>192</v>
      </c>
      <c r="N45" s="29" t="s">
        <v>64</v>
      </c>
      <c r="O45" s="113" t="s">
        <v>477</v>
      </c>
      <c r="P45" s="113" t="s">
        <v>525</v>
      </c>
      <c r="Q45" s="113"/>
      <c r="R45" s="113"/>
      <c r="S45" s="113"/>
      <c r="T45" s="113" t="s">
        <v>191</v>
      </c>
      <c r="U45" s="130">
        <v>622000</v>
      </c>
      <c r="V45" s="113"/>
    </row>
    <row r="46" spans="2:22" ht="28.5" x14ac:dyDescent="0.25">
      <c r="B46" s="29" t="s">
        <v>35</v>
      </c>
      <c r="C46" s="11" t="s">
        <v>193</v>
      </c>
      <c r="D46" s="113" t="s">
        <v>347</v>
      </c>
      <c r="E46" s="65" t="s">
        <v>216</v>
      </c>
      <c r="F46" s="68" t="s">
        <v>251</v>
      </c>
      <c r="G46" s="68" t="s">
        <v>373</v>
      </c>
      <c r="H46" s="68" t="s">
        <v>391</v>
      </c>
      <c r="I46" s="68" t="s">
        <v>608</v>
      </c>
      <c r="J46" s="80" t="s">
        <v>55</v>
      </c>
      <c r="K46" s="65">
        <v>43.54</v>
      </c>
      <c r="L46" s="80" t="s">
        <v>192</v>
      </c>
      <c r="M46" s="38" t="s">
        <v>192</v>
      </c>
      <c r="N46" s="29" t="s">
        <v>63</v>
      </c>
      <c r="O46" s="113" t="s">
        <v>479</v>
      </c>
      <c r="P46" s="113" t="s">
        <v>526</v>
      </c>
      <c r="Q46" s="113"/>
      <c r="R46" s="113"/>
      <c r="S46" s="113"/>
      <c r="T46" s="113" t="s">
        <v>191</v>
      </c>
      <c r="U46" s="130" t="s">
        <v>634</v>
      </c>
      <c r="V46" s="113"/>
    </row>
    <row r="47" spans="2:22" ht="42.75" x14ac:dyDescent="0.25">
      <c r="B47" s="29" t="s">
        <v>36</v>
      </c>
      <c r="C47" s="11" t="s">
        <v>309</v>
      </c>
      <c r="D47" s="113" t="s">
        <v>348</v>
      </c>
      <c r="E47" s="65" t="s">
        <v>217</v>
      </c>
      <c r="F47" s="68" t="s">
        <v>252</v>
      </c>
      <c r="G47" s="68" t="s">
        <v>409</v>
      </c>
      <c r="H47" s="68" t="s">
        <v>392</v>
      </c>
      <c r="I47" s="68" t="s">
        <v>609</v>
      </c>
      <c r="J47" s="80" t="s">
        <v>55</v>
      </c>
      <c r="K47" s="65">
        <v>34.549999999999997</v>
      </c>
      <c r="L47" s="80" t="s">
        <v>192</v>
      </c>
      <c r="M47" s="38" t="s">
        <v>192</v>
      </c>
      <c r="N47" s="29" t="s">
        <v>64</v>
      </c>
      <c r="O47" s="113" t="s">
        <v>478</v>
      </c>
      <c r="P47" s="113" t="s">
        <v>527</v>
      </c>
      <c r="Q47" s="113"/>
      <c r="R47" s="113"/>
      <c r="S47" s="113"/>
      <c r="T47" s="113" t="s">
        <v>191</v>
      </c>
      <c r="U47" s="130">
        <v>385000</v>
      </c>
      <c r="V47" s="113"/>
    </row>
    <row r="48" spans="2:22" ht="28.5" x14ac:dyDescent="0.25">
      <c r="B48" s="29" t="s">
        <v>37</v>
      </c>
      <c r="C48" s="11" t="s">
        <v>306</v>
      </c>
      <c r="D48" s="114" t="s">
        <v>349</v>
      </c>
      <c r="E48" s="68" t="s">
        <v>206</v>
      </c>
      <c r="F48" s="68" t="s">
        <v>253</v>
      </c>
      <c r="G48" s="68" t="s">
        <v>374</v>
      </c>
      <c r="H48" s="68" t="s">
        <v>266</v>
      </c>
      <c r="I48" s="68" t="s">
        <v>381</v>
      </c>
      <c r="J48" s="80" t="s">
        <v>55</v>
      </c>
      <c r="K48" s="68">
        <v>23</v>
      </c>
      <c r="L48" s="80" t="s">
        <v>191</v>
      </c>
      <c r="M48" s="38" t="s">
        <v>192</v>
      </c>
      <c r="N48" s="29" t="s">
        <v>64</v>
      </c>
      <c r="O48" s="114" t="s">
        <v>480</v>
      </c>
      <c r="P48" s="114" t="s">
        <v>528</v>
      </c>
      <c r="Q48" s="113"/>
      <c r="R48" s="113"/>
      <c r="S48" s="113"/>
      <c r="T48" s="113" t="s">
        <v>191</v>
      </c>
      <c r="U48" s="130">
        <v>606000</v>
      </c>
      <c r="V48" s="113"/>
    </row>
    <row r="49" spans="2:22" ht="57" x14ac:dyDescent="0.25">
      <c r="B49" s="29" t="s">
        <v>38</v>
      </c>
      <c r="C49" s="11" t="s">
        <v>310</v>
      </c>
      <c r="D49" s="113" t="s">
        <v>350</v>
      </c>
      <c r="E49" s="65" t="s">
        <v>218</v>
      </c>
      <c r="F49" s="68" t="s">
        <v>254</v>
      </c>
      <c r="G49" s="68" t="s">
        <v>410</v>
      </c>
      <c r="H49" s="68" t="s">
        <v>220</v>
      </c>
      <c r="I49" s="68" t="s">
        <v>610</v>
      </c>
      <c r="J49" s="80" t="s">
        <v>55</v>
      </c>
      <c r="K49" s="65">
        <v>28.01</v>
      </c>
      <c r="L49" s="80" t="s">
        <v>191</v>
      </c>
      <c r="M49" s="38" t="s">
        <v>191</v>
      </c>
      <c r="N49" s="29" t="s">
        <v>64</v>
      </c>
      <c r="O49" s="113" t="s">
        <v>481</v>
      </c>
      <c r="P49" s="113" t="s">
        <v>529</v>
      </c>
      <c r="Q49" s="113"/>
      <c r="R49" s="113"/>
      <c r="S49" s="113"/>
      <c r="T49" s="113" t="s">
        <v>191</v>
      </c>
      <c r="U49" s="130" t="s">
        <v>635</v>
      </c>
      <c r="V49" s="113"/>
    </row>
    <row r="50" spans="2:22" x14ac:dyDescent="0.25">
      <c r="B50" s="29" t="s">
        <v>39</v>
      </c>
      <c r="C50" s="11" t="s">
        <v>194</v>
      </c>
      <c r="D50" s="114" t="s">
        <v>351</v>
      </c>
      <c r="E50" s="68" t="s">
        <v>196</v>
      </c>
      <c r="F50" s="68" t="s">
        <v>255</v>
      </c>
      <c r="G50" s="68" t="s">
        <v>411</v>
      </c>
      <c r="H50" s="68" t="s">
        <v>220</v>
      </c>
      <c r="I50" s="68" t="s">
        <v>611</v>
      </c>
      <c r="J50" s="80" t="s">
        <v>55</v>
      </c>
      <c r="K50" s="68">
        <v>17</v>
      </c>
      <c r="L50" s="80" t="s">
        <v>192</v>
      </c>
      <c r="M50" s="38" t="s">
        <v>192</v>
      </c>
      <c r="N50" s="29" t="s">
        <v>64</v>
      </c>
      <c r="O50" s="114" t="s">
        <v>481</v>
      </c>
      <c r="P50" s="114" t="s">
        <v>531</v>
      </c>
      <c r="Q50" s="113"/>
      <c r="R50" s="113"/>
      <c r="S50" s="113"/>
      <c r="T50" s="113" t="s">
        <v>191</v>
      </c>
      <c r="U50" s="130" t="s">
        <v>632</v>
      </c>
      <c r="V50" s="113"/>
    </row>
    <row r="51" spans="2:22" ht="57" x14ac:dyDescent="0.25">
      <c r="B51" s="29" t="s">
        <v>40</v>
      </c>
      <c r="C51" s="11" t="s">
        <v>307</v>
      </c>
      <c r="D51" s="113" t="s">
        <v>352</v>
      </c>
      <c r="E51" s="65" t="s">
        <v>219</v>
      </c>
      <c r="F51" s="68" t="s">
        <v>237</v>
      </c>
      <c r="G51" s="68" t="s">
        <v>412</v>
      </c>
      <c r="H51" s="68" t="s">
        <v>267</v>
      </c>
      <c r="I51" s="68" t="s">
        <v>419</v>
      </c>
      <c r="J51" s="80" t="s">
        <v>55</v>
      </c>
      <c r="K51" s="65">
        <v>31.13</v>
      </c>
      <c r="L51" s="80" t="s">
        <v>192</v>
      </c>
      <c r="M51" s="38" t="s">
        <v>191</v>
      </c>
      <c r="N51" s="29" t="s">
        <v>64</v>
      </c>
      <c r="O51" s="113" t="s">
        <v>481</v>
      </c>
      <c r="P51" s="113" t="s">
        <v>530</v>
      </c>
      <c r="Q51" s="113"/>
      <c r="R51" s="113"/>
      <c r="S51" s="113"/>
      <c r="T51" s="113" t="s">
        <v>191</v>
      </c>
      <c r="U51" s="130" t="s">
        <v>636</v>
      </c>
      <c r="V51" s="113"/>
    </row>
    <row r="52" spans="2:22" ht="28.5" x14ac:dyDescent="0.25">
      <c r="B52" s="29" t="s">
        <v>41</v>
      </c>
      <c r="C52" s="11" t="s">
        <v>434</v>
      </c>
      <c r="D52" s="115" t="s">
        <v>353</v>
      </c>
      <c r="E52" s="67" t="s">
        <v>215</v>
      </c>
      <c r="F52" s="68" t="s">
        <v>256</v>
      </c>
      <c r="G52" s="68" t="s">
        <v>413</v>
      </c>
      <c r="H52" s="68" t="s">
        <v>247</v>
      </c>
      <c r="I52" s="68" t="s">
        <v>612</v>
      </c>
      <c r="J52" s="80" t="s">
        <v>55</v>
      </c>
      <c r="K52" s="67">
        <v>59.3</v>
      </c>
      <c r="L52" s="80" t="s">
        <v>191</v>
      </c>
      <c r="M52" s="38" t="s">
        <v>191</v>
      </c>
      <c r="N52" s="29" t="s">
        <v>64</v>
      </c>
      <c r="O52" s="115" t="s">
        <v>482</v>
      </c>
      <c r="P52" s="115" t="s">
        <v>532</v>
      </c>
      <c r="Q52" s="113"/>
      <c r="R52" s="113"/>
      <c r="S52" s="113"/>
      <c r="T52" s="113" t="s">
        <v>191</v>
      </c>
      <c r="U52" s="130" t="s">
        <v>637</v>
      </c>
      <c r="V52" s="113"/>
    </row>
    <row r="53" spans="2:22" ht="28.5" x14ac:dyDescent="0.25">
      <c r="B53" s="29" t="s">
        <v>42</v>
      </c>
      <c r="C53" s="11" t="s">
        <v>435</v>
      </c>
      <c r="D53" s="114" t="s">
        <v>354</v>
      </c>
      <c r="E53" s="68" t="s">
        <v>206</v>
      </c>
      <c r="F53" s="68" t="s">
        <v>210</v>
      </c>
      <c r="G53" s="68" t="s">
        <v>214</v>
      </c>
      <c r="H53" s="68" t="s">
        <v>206</v>
      </c>
      <c r="I53" s="68" t="s">
        <v>613</v>
      </c>
      <c r="J53" s="80" t="s">
        <v>55</v>
      </c>
      <c r="K53" s="68">
        <v>34</v>
      </c>
      <c r="L53" s="80" t="s">
        <v>192</v>
      </c>
      <c r="M53" s="38" t="s">
        <v>192</v>
      </c>
      <c r="N53" s="29" t="s">
        <v>63</v>
      </c>
      <c r="O53" s="114" t="s">
        <v>483</v>
      </c>
      <c r="P53" s="114" t="s">
        <v>533</v>
      </c>
      <c r="Q53" s="113"/>
      <c r="R53" s="113"/>
      <c r="S53" s="113"/>
      <c r="T53" s="113" t="s">
        <v>191</v>
      </c>
      <c r="U53" s="130" t="s">
        <v>620</v>
      </c>
      <c r="V53" s="113"/>
    </row>
    <row r="54" spans="2:22" x14ac:dyDescent="0.25">
      <c r="B54" s="29" t="s">
        <v>43</v>
      </c>
      <c r="C54" s="11" t="s">
        <v>195</v>
      </c>
      <c r="D54" s="113" t="s">
        <v>355</v>
      </c>
      <c r="E54" s="65" t="s">
        <v>199</v>
      </c>
      <c r="F54" s="68" t="s">
        <v>257</v>
      </c>
      <c r="G54" s="68" t="s">
        <v>414</v>
      </c>
      <c r="H54" s="68" t="s">
        <v>370</v>
      </c>
      <c r="I54" s="68" t="s">
        <v>250</v>
      </c>
      <c r="J54" s="80" t="s">
        <v>55</v>
      </c>
      <c r="K54" s="65">
        <v>16.75</v>
      </c>
      <c r="L54" s="80" t="s">
        <v>192</v>
      </c>
      <c r="M54" s="38" t="s">
        <v>192</v>
      </c>
      <c r="N54" s="29" t="s">
        <v>64</v>
      </c>
      <c r="O54" s="113" t="s">
        <v>484</v>
      </c>
      <c r="P54" s="113" t="s">
        <v>534</v>
      </c>
      <c r="Q54" s="113"/>
      <c r="R54" s="113"/>
      <c r="S54" s="113"/>
      <c r="T54" s="113" t="s">
        <v>192</v>
      </c>
      <c r="U54" s="130" t="s">
        <v>620</v>
      </c>
      <c r="V54" s="113"/>
    </row>
    <row r="55" spans="2:22" ht="28.5" x14ac:dyDescent="0.25">
      <c r="B55" s="29" t="s">
        <v>44</v>
      </c>
      <c r="C55" s="11" t="s">
        <v>308</v>
      </c>
      <c r="D55" s="114" t="s">
        <v>356</v>
      </c>
      <c r="E55" s="68" t="s">
        <v>196</v>
      </c>
      <c r="F55" s="68" t="s">
        <v>258</v>
      </c>
      <c r="G55" s="68" t="s">
        <v>382</v>
      </c>
      <c r="H55" s="68" t="s">
        <v>380</v>
      </c>
      <c r="I55" s="68" t="s">
        <v>395</v>
      </c>
      <c r="J55" s="80" t="s">
        <v>55</v>
      </c>
      <c r="K55" s="68">
        <v>30</v>
      </c>
      <c r="L55" s="80" t="s">
        <v>191</v>
      </c>
      <c r="M55" s="38" t="s">
        <v>191</v>
      </c>
      <c r="N55" s="29" t="s">
        <v>64</v>
      </c>
      <c r="O55" s="114" t="s">
        <v>485</v>
      </c>
      <c r="P55" s="114" t="s">
        <v>535</v>
      </c>
      <c r="Q55" s="113"/>
      <c r="R55" s="113"/>
      <c r="S55" s="113"/>
      <c r="T55" s="113" t="s">
        <v>191</v>
      </c>
      <c r="U55" s="130">
        <v>43000</v>
      </c>
      <c r="V55" s="113"/>
    </row>
    <row r="56" spans="2:22" x14ac:dyDescent="0.25">
      <c r="B56" s="29" t="s">
        <v>45</v>
      </c>
      <c r="C56" s="11" t="s">
        <v>286</v>
      </c>
      <c r="D56" s="115" t="s">
        <v>357</v>
      </c>
      <c r="E56" s="67" t="s">
        <v>220</v>
      </c>
      <c r="F56" s="68" t="s">
        <v>259</v>
      </c>
      <c r="G56" s="68" t="s">
        <v>231</v>
      </c>
      <c r="H56" s="68" t="s">
        <v>267</v>
      </c>
      <c r="I56" s="68" t="s">
        <v>614</v>
      </c>
      <c r="J56" s="80" t="s">
        <v>55</v>
      </c>
      <c r="K56" s="67">
        <v>21.4</v>
      </c>
      <c r="L56" s="80" t="s">
        <v>192</v>
      </c>
      <c r="M56" s="38" t="s">
        <v>192</v>
      </c>
      <c r="N56" s="29" t="s">
        <v>64</v>
      </c>
      <c r="O56" s="115" t="s">
        <v>486</v>
      </c>
      <c r="P56" s="115" t="s">
        <v>536</v>
      </c>
      <c r="Q56" s="113"/>
      <c r="R56" s="113"/>
      <c r="S56" s="113"/>
      <c r="T56" s="113" t="s">
        <v>191</v>
      </c>
      <c r="U56" s="130" t="s">
        <v>638</v>
      </c>
      <c r="V56" s="113"/>
    </row>
    <row r="57" spans="2:22" x14ac:dyDescent="0.25">
      <c r="B57" s="29" t="s">
        <v>46</v>
      </c>
      <c r="C57" s="11" t="s">
        <v>287</v>
      </c>
      <c r="D57" s="114" t="s">
        <v>358</v>
      </c>
      <c r="E57" s="68" t="s">
        <v>221</v>
      </c>
      <c r="F57" s="68" t="s">
        <v>417</v>
      </c>
      <c r="G57" s="68" t="s">
        <v>415</v>
      </c>
      <c r="H57" s="68" t="s">
        <v>394</v>
      </c>
      <c r="I57" s="68" t="s">
        <v>615</v>
      </c>
      <c r="J57" s="80" t="s">
        <v>55</v>
      </c>
      <c r="K57" s="68">
        <v>20</v>
      </c>
      <c r="L57" s="80" t="s">
        <v>191</v>
      </c>
      <c r="M57" s="38" t="s">
        <v>192</v>
      </c>
      <c r="N57" s="29" t="s">
        <v>64</v>
      </c>
      <c r="O57" s="114" t="s">
        <v>487</v>
      </c>
      <c r="P57" s="114" t="s">
        <v>537</v>
      </c>
      <c r="Q57" s="113"/>
      <c r="R57" s="113"/>
      <c r="S57" s="113"/>
      <c r="T57" s="113" t="s">
        <v>191</v>
      </c>
      <c r="U57" s="130" t="s">
        <v>639</v>
      </c>
      <c r="V57" s="113"/>
    </row>
    <row r="58" spans="2:22" ht="28.5" x14ac:dyDescent="0.25">
      <c r="B58" s="29" t="s">
        <v>47</v>
      </c>
      <c r="C58" s="11" t="s">
        <v>311</v>
      </c>
      <c r="D58" s="113" t="s">
        <v>359</v>
      </c>
      <c r="E58" s="65" t="s">
        <v>199</v>
      </c>
      <c r="F58" s="68" t="s">
        <v>248</v>
      </c>
      <c r="G58" s="68" t="s">
        <v>378</v>
      </c>
      <c r="H58" s="68" t="s">
        <v>395</v>
      </c>
      <c r="I58" s="68" t="s">
        <v>265</v>
      </c>
      <c r="J58" s="80" t="s">
        <v>55</v>
      </c>
      <c r="K58" s="65">
        <v>29.41</v>
      </c>
      <c r="L58" s="80" t="s">
        <v>191</v>
      </c>
      <c r="M58" s="38" t="s">
        <v>191</v>
      </c>
      <c r="N58" s="29" t="s">
        <v>64</v>
      </c>
      <c r="O58" s="113" t="s">
        <v>488</v>
      </c>
      <c r="P58" s="113" t="s">
        <v>538</v>
      </c>
      <c r="Q58" s="113"/>
      <c r="R58" s="113"/>
      <c r="S58" s="113"/>
      <c r="T58" s="113" t="s">
        <v>191</v>
      </c>
      <c r="U58" s="130">
        <v>262000</v>
      </c>
      <c r="V58" s="113"/>
    </row>
    <row r="59" spans="2:22" ht="42.75" x14ac:dyDescent="0.25">
      <c r="B59" s="29" t="s">
        <v>48</v>
      </c>
      <c r="C59" s="11" t="s">
        <v>367</v>
      </c>
      <c r="D59" s="113" t="s">
        <v>360</v>
      </c>
      <c r="E59" s="65" t="s">
        <v>196</v>
      </c>
      <c r="F59" s="68" t="s">
        <v>260</v>
      </c>
      <c r="G59" s="68" t="s">
        <v>377</v>
      </c>
      <c r="H59" s="68" t="s">
        <v>382</v>
      </c>
      <c r="I59" s="68" t="s">
        <v>616</v>
      </c>
      <c r="J59" s="80" t="s">
        <v>55</v>
      </c>
      <c r="K59" s="65">
        <v>30.46</v>
      </c>
      <c r="L59" s="80" t="s">
        <v>192</v>
      </c>
      <c r="M59" s="38" t="s">
        <v>192</v>
      </c>
      <c r="N59" s="29" t="s">
        <v>63</v>
      </c>
      <c r="O59" s="113" t="s">
        <v>546</v>
      </c>
      <c r="P59" s="113" t="s">
        <v>539</v>
      </c>
      <c r="Q59" s="113"/>
      <c r="R59" s="113"/>
      <c r="S59" s="113"/>
      <c r="T59" s="113" t="s">
        <v>191</v>
      </c>
      <c r="U59" s="130" t="s">
        <v>191</v>
      </c>
      <c r="V59" s="113"/>
    </row>
    <row r="60" spans="2:22" ht="28.5" x14ac:dyDescent="0.25">
      <c r="B60" s="29" t="s">
        <v>49</v>
      </c>
      <c r="C60" s="11" t="s">
        <v>288</v>
      </c>
      <c r="D60" s="115" t="s">
        <v>102</v>
      </c>
      <c r="E60" s="67" t="s">
        <v>222</v>
      </c>
      <c r="F60" s="68" t="s">
        <v>261</v>
      </c>
      <c r="G60" s="68" t="s">
        <v>416</v>
      </c>
      <c r="H60" s="68" t="s">
        <v>396</v>
      </c>
      <c r="I60" s="68" t="s">
        <v>617</v>
      </c>
      <c r="J60" s="80" t="s">
        <v>55</v>
      </c>
      <c r="K60" s="67">
        <v>22.4</v>
      </c>
      <c r="L60" s="80" t="s">
        <v>192</v>
      </c>
      <c r="M60" s="38" t="s">
        <v>192</v>
      </c>
      <c r="N60" s="29" t="s">
        <v>64</v>
      </c>
      <c r="O60" s="115" t="s">
        <v>489</v>
      </c>
      <c r="P60" s="115" t="s">
        <v>540</v>
      </c>
      <c r="Q60" s="113"/>
      <c r="R60" s="113"/>
      <c r="S60" s="113"/>
      <c r="T60" s="113" t="s">
        <v>192</v>
      </c>
      <c r="U60" s="130">
        <v>951000</v>
      </c>
      <c r="V60" s="113"/>
    </row>
    <row r="61" spans="2:22" ht="42.75" x14ac:dyDescent="0.25">
      <c r="B61" s="29" t="s">
        <v>50</v>
      </c>
      <c r="C61" s="11" t="s">
        <v>289</v>
      </c>
      <c r="D61" s="115" t="s">
        <v>361</v>
      </c>
      <c r="E61" s="67" t="s">
        <v>220</v>
      </c>
      <c r="F61" s="68" t="s">
        <v>262</v>
      </c>
      <c r="G61" s="68" t="s">
        <v>416</v>
      </c>
      <c r="H61" s="68" t="s">
        <v>213</v>
      </c>
      <c r="I61" s="68" t="s">
        <v>618</v>
      </c>
      <c r="J61" s="80" t="s">
        <v>55</v>
      </c>
      <c r="K61" s="67">
        <v>49.4</v>
      </c>
      <c r="L61" s="80" t="s">
        <v>191</v>
      </c>
      <c r="M61" s="39" t="s">
        <v>574</v>
      </c>
      <c r="N61" s="29" t="s">
        <v>64</v>
      </c>
      <c r="O61" s="115" t="s">
        <v>490</v>
      </c>
      <c r="P61" s="115" t="s">
        <v>541</v>
      </c>
      <c r="Q61" s="113"/>
      <c r="R61" s="113"/>
      <c r="S61" s="113"/>
      <c r="T61" s="113" t="s">
        <v>191</v>
      </c>
      <c r="U61" s="130" t="s">
        <v>191</v>
      </c>
      <c r="V61" s="113"/>
    </row>
    <row r="62" spans="2:22" ht="28.5" x14ac:dyDescent="0.25">
      <c r="B62" s="29" t="s">
        <v>51</v>
      </c>
      <c r="C62" s="11" t="s">
        <v>290</v>
      </c>
      <c r="D62" s="115" t="s">
        <v>362</v>
      </c>
      <c r="E62" s="67" t="s">
        <v>214</v>
      </c>
      <c r="F62" s="68" t="s">
        <v>263</v>
      </c>
      <c r="G62" s="68" t="s">
        <v>378</v>
      </c>
      <c r="H62" s="68" t="s">
        <v>378</v>
      </c>
      <c r="I62" s="68" t="s">
        <v>597</v>
      </c>
      <c r="J62" s="80" t="s">
        <v>55</v>
      </c>
      <c r="K62" s="67">
        <v>32.200000000000003</v>
      </c>
      <c r="L62" s="80" t="s">
        <v>191</v>
      </c>
      <c r="M62" s="38" t="s">
        <v>191</v>
      </c>
      <c r="N62" s="29" t="s">
        <v>64</v>
      </c>
      <c r="O62" s="115" t="s">
        <v>491</v>
      </c>
      <c r="P62" s="115" t="s">
        <v>542</v>
      </c>
      <c r="Q62" s="113"/>
      <c r="R62" s="113"/>
      <c r="S62" s="113"/>
      <c r="T62" s="113" t="s">
        <v>191</v>
      </c>
      <c r="U62" s="130" t="s">
        <v>384</v>
      </c>
      <c r="V62" s="113"/>
    </row>
    <row r="63" spans="2:22" ht="28.5" x14ac:dyDescent="0.25">
      <c r="B63" s="29" t="s">
        <v>52</v>
      </c>
      <c r="C63" s="11" t="s">
        <v>291</v>
      </c>
      <c r="D63" s="115" t="s">
        <v>363</v>
      </c>
      <c r="E63" s="67" t="s">
        <v>197</v>
      </c>
      <c r="F63" s="68" t="s">
        <v>264</v>
      </c>
      <c r="G63" s="68" t="s">
        <v>407</v>
      </c>
      <c r="H63" s="68" t="s">
        <v>397</v>
      </c>
      <c r="I63" s="68" t="s">
        <v>619</v>
      </c>
      <c r="J63" s="80" t="s">
        <v>55</v>
      </c>
      <c r="K63" s="67">
        <v>32.9</v>
      </c>
      <c r="L63" s="80" t="s">
        <v>192</v>
      </c>
      <c r="M63" s="38" t="s">
        <v>192</v>
      </c>
      <c r="N63" s="29" t="s">
        <v>64</v>
      </c>
      <c r="O63" s="115" t="s">
        <v>492</v>
      </c>
      <c r="P63" s="115" t="s">
        <v>543</v>
      </c>
      <c r="Q63" s="113"/>
      <c r="R63" s="113"/>
      <c r="S63" s="113"/>
      <c r="T63" s="113" t="s">
        <v>192</v>
      </c>
      <c r="U63" s="130">
        <v>118000</v>
      </c>
      <c r="V63" s="113"/>
    </row>
    <row r="64" spans="2:22" ht="28.5" x14ac:dyDescent="0.25">
      <c r="B64" s="29" t="s">
        <v>53</v>
      </c>
      <c r="C64" s="11" t="s">
        <v>292</v>
      </c>
      <c r="D64" s="115" t="s">
        <v>364</v>
      </c>
      <c r="E64" s="67" t="s">
        <v>206</v>
      </c>
      <c r="F64" s="68" t="s">
        <v>265</v>
      </c>
      <c r="G64" s="68" t="s">
        <v>266</v>
      </c>
      <c r="H64" s="68" t="s">
        <v>382</v>
      </c>
      <c r="I64" s="68" t="s">
        <v>378</v>
      </c>
      <c r="J64" s="80" t="s">
        <v>55</v>
      </c>
      <c r="K64" s="67">
        <v>24</v>
      </c>
      <c r="L64" s="80" t="s">
        <v>191</v>
      </c>
      <c r="M64" s="38" t="s">
        <v>575</v>
      </c>
      <c r="N64" s="29" t="s">
        <v>64</v>
      </c>
      <c r="O64" s="115" t="s">
        <v>493</v>
      </c>
      <c r="P64" s="115" t="s">
        <v>544</v>
      </c>
      <c r="Q64" s="113"/>
      <c r="R64" s="113"/>
      <c r="S64" s="113"/>
      <c r="T64" s="113" t="s">
        <v>191</v>
      </c>
      <c r="U64" s="130" t="s">
        <v>191</v>
      </c>
      <c r="V64" s="113"/>
    </row>
    <row r="65" spans="1:22" ht="28.5" x14ac:dyDescent="0.25">
      <c r="B65" s="29" t="s">
        <v>56</v>
      </c>
      <c r="C65" s="11" t="s">
        <v>268</v>
      </c>
      <c r="D65" s="114" t="s">
        <v>56</v>
      </c>
      <c r="E65" s="68" t="s">
        <v>55</v>
      </c>
      <c r="F65" s="68" t="s">
        <v>55</v>
      </c>
      <c r="G65" s="68" t="s">
        <v>396</v>
      </c>
      <c r="H65" s="68" t="s">
        <v>231</v>
      </c>
      <c r="I65" s="68" t="s">
        <v>55</v>
      </c>
      <c r="J65" s="80" t="s">
        <v>55</v>
      </c>
      <c r="K65" s="68" t="s">
        <v>55</v>
      </c>
      <c r="L65" s="80" t="s">
        <v>55</v>
      </c>
      <c r="M65" s="38" t="s">
        <v>551</v>
      </c>
      <c r="N65" s="29" t="s">
        <v>64</v>
      </c>
      <c r="O65" s="114" t="s">
        <v>494</v>
      </c>
      <c r="P65" s="114" t="s">
        <v>545</v>
      </c>
      <c r="Q65" s="113"/>
      <c r="R65" s="113"/>
      <c r="S65" s="113"/>
      <c r="T65" s="113" t="s">
        <v>55</v>
      </c>
      <c r="U65" s="113" t="s">
        <v>55</v>
      </c>
      <c r="V65" s="113"/>
    </row>
    <row r="66" spans="1:22" x14ac:dyDescent="0.25">
      <c r="B66" s="20"/>
      <c r="C66" s="20"/>
    </row>
    <row r="67" spans="1:22" x14ac:dyDescent="0.25">
      <c r="A67" s="33" t="s">
        <v>72</v>
      </c>
      <c r="B67" s="32" t="s">
        <v>55</v>
      </c>
      <c r="C67" s="30" t="s">
        <v>54</v>
      </c>
    </row>
    <row r="68" spans="1:22" x14ac:dyDescent="0.25">
      <c r="A68" s="33"/>
      <c r="B68" s="29" t="s">
        <v>73</v>
      </c>
      <c r="C68" s="74" t="s">
        <v>162</v>
      </c>
    </row>
    <row r="69" spans="1:22" x14ac:dyDescent="0.25">
      <c r="A69" s="33"/>
      <c r="B69" s="29" t="s">
        <v>74</v>
      </c>
      <c r="C69" s="74" t="s">
        <v>78</v>
      </c>
    </row>
    <row r="70" spans="1:22" ht="29.25" x14ac:dyDescent="0.25">
      <c r="A70" s="33"/>
      <c r="B70" s="29" t="s">
        <v>59</v>
      </c>
      <c r="C70" s="74" t="s">
        <v>77</v>
      </c>
    </row>
    <row r="71" spans="1:22" x14ac:dyDescent="0.25">
      <c r="A71" s="10"/>
      <c r="B71" s="10"/>
      <c r="C71" s="10"/>
    </row>
    <row r="72" spans="1:22" x14ac:dyDescent="0.25">
      <c r="A72" s="19" t="s">
        <v>107</v>
      </c>
      <c r="B72" s="31"/>
      <c r="C72" s="24"/>
    </row>
    <row r="73" spans="1:22" x14ac:dyDescent="0.25">
      <c r="A73" s="157" t="s">
        <v>111</v>
      </c>
      <c r="B73" s="30" t="s">
        <v>55</v>
      </c>
      <c r="C73" s="78" t="s">
        <v>54</v>
      </c>
    </row>
    <row r="74" spans="1:22" x14ac:dyDescent="0.25">
      <c r="A74" s="157"/>
      <c r="B74" s="29" t="s">
        <v>57</v>
      </c>
      <c r="C74" s="11" t="s">
        <v>67</v>
      </c>
    </row>
    <row r="75" spans="1:22" ht="42.75" x14ac:dyDescent="0.25">
      <c r="A75" s="157"/>
      <c r="B75" s="29" t="s">
        <v>58</v>
      </c>
      <c r="C75" s="11" t="s">
        <v>433</v>
      </c>
    </row>
    <row r="76" spans="1:22" ht="42.75" x14ac:dyDescent="0.25">
      <c r="A76" s="157"/>
      <c r="B76" s="29" t="s">
        <v>59</v>
      </c>
      <c r="C76" s="11" t="s">
        <v>432</v>
      </c>
    </row>
    <row r="77" spans="1:22" x14ac:dyDescent="0.25">
      <c r="A77" s="156" t="s">
        <v>104</v>
      </c>
      <c r="B77" s="30" t="s">
        <v>55</v>
      </c>
      <c r="C77" s="78" t="s">
        <v>54</v>
      </c>
    </row>
    <row r="78" spans="1:22" ht="28.5" x14ac:dyDescent="0.25">
      <c r="A78" s="156"/>
      <c r="B78" s="29" t="s">
        <v>57</v>
      </c>
      <c r="C78" s="11" t="s">
        <v>68</v>
      </c>
    </row>
    <row r="79" spans="1:22" ht="28.5" x14ac:dyDescent="0.25">
      <c r="A79" s="156"/>
      <c r="B79" s="29" t="s">
        <v>58</v>
      </c>
      <c r="C79" s="11" t="s">
        <v>69</v>
      </c>
    </row>
    <row r="80" spans="1:22" ht="42.75" x14ac:dyDescent="0.25">
      <c r="A80" s="156"/>
      <c r="B80" s="29" t="s">
        <v>59</v>
      </c>
      <c r="C80" s="11" t="s">
        <v>431</v>
      </c>
    </row>
    <row r="81" spans="1:3" x14ac:dyDescent="0.25">
      <c r="A81" s="157" t="s">
        <v>109</v>
      </c>
      <c r="B81" s="30" t="s">
        <v>55</v>
      </c>
      <c r="C81" s="79" t="s">
        <v>54</v>
      </c>
    </row>
    <row r="82" spans="1:3" ht="42.75" x14ac:dyDescent="0.25">
      <c r="A82" s="157"/>
      <c r="B82" s="29" t="s">
        <v>57</v>
      </c>
      <c r="C82" s="11" t="s">
        <v>85</v>
      </c>
    </row>
    <row r="83" spans="1:3" ht="28.5" x14ac:dyDescent="0.25">
      <c r="A83" s="157"/>
      <c r="B83" s="29" t="s">
        <v>58</v>
      </c>
      <c r="C83" s="11" t="s">
        <v>86</v>
      </c>
    </row>
    <row r="84" spans="1:3" ht="42.75" x14ac:dyDescent="0.25">
      <c r="A84" s="157"/>
      <c r="B84" s="29" t="s">
        <v>59</v>
      </c>
      <c r="C84" s="11" t="s">
        <v>85</v>
      </c>
    </row>
    <row r="85" spans="1:3" x14ac:dyDescent="0.25">
      <c r="A85" s="156" t="s">
        <v>108</v>
      </c>
      <c r="B85" s="30" t="s">
        <v>55</v>
      </c>
      <c r="C85" s="78" t="s">
        <v>54</v>
      </c>
    </row>
    <row r="86" spans="1:3" ht="28.5" x14ac:dyDescent="0.25">
      <c r="A86" s="156"/>
      <c r="B86" s="29" t="s">
        <v>57</v>
      </c>
      <c r="C86" s="11" t="s">
        <v>113</v>
      </c>
    </row>
    <row r="87" spans="1:3" x14ac:dyDescent="0.25">
      <c r="A87" s="156"/>
      <c r="B87" s="29" t="s">
        <v>58</v>
      </c>
      <c r="C87" s="11" t="s">
        <v>153</v>
      </c>
    </row>
    <row r="88" spans="1:3" ht="28.5" x14ac:dyDescent="0.25">
      <c r="A88" s="156"/>
      <c r="B88" s="29" t="s">
        <v>59</v>
      </c>
      <c r="C88" s="11" t="s">
        <v>430</v>
      </c>
    </row>
    <row r="89" spans="1:3" x14ac:dyDescent="0.25">
      <c r="A89" s="157" t="s">
        <v>112</v>
      </c>
      <c r="B89" s="30" t="s">
        <v>55</v>
      </c>
      <c r="C89" s="78" t="s">
        <v>54</v>
      </c>
    </row>
    <row r="90" spans="1:3" x14ac:dyDescent="0.25">
      <c r="A90" s="157"/>
      <c r="B90" s="29" t="s">
        <v>57</v>
      </c>
      <c r="C90" s="11" t="s">
        <v>88</v>
      </c>
    </row>
    <row r="91" spans="1:3" ht="28.5" x14ac:dyDescent="0.25">
      <c r="A91" s="157"/>
      <c r="B91" s="29" t="s">
        <v>58</v>
      </c>
      <c r="C91" s="11" t="s">
        <v>87</v>
      </c>
    </row>
    <row r="92" spans="1:3" ht="28.5" x14ac:dyDescent="0.25">
      <c r="A92" s="157"/>
      <c r="B92" s="29" t="s">
        <v>59</v>
      </c>
      <c r="C92" s="11" t="s">
        <v>429</v>
      </c>
    </row>
    <row r="93" spans="1:3" x14ac:dyDescent="0.25">
      <c r="A93" s="156" t="s">
        <v>114</v>
      </c>
      <c r="B93" s="30" t="s">
        <v>55</v>
      </c>
      <c r="C93" s="79" t="s">
        <v>54</v>
      </c>
    </row>
    <row r="94" spans="1:3" ht="28.5" x14ac:dyDescent="0.25">
      <c r="A94" s="156"/>
      <c r="B94" s="29" t="s">
        <v>57</v>
      </c>
      <c r="C94" s="11" t="s">
        <v>89</v>
      </c>
    </row>
    <row r="95" spans="1:3" ht="28.5" x14ac:dyDescent="0.25">
      <c r="A95" s="156"/>
      <c r="B95" s="29" t="s">
        <v>58</v>
      </c>
      <c r="C95" s="11" t="s">
        <v>90</v>
      </c>
    </row>
    <row r="96" spans="1:3" ht="28.5" x14ac:dyDescent="0.25">
      <c r="A96" s="156"/>
      <c r="B96" s="29" t="s">
        <v>59</v>
      </c>
      <c r="C96" s="11" t="s">
        <v>89</v>
      </c>
    </row>
    <row r="97" spans="1:3" x14ac:dyDescent="0.25">
      <c r="A97" s="156" t="s">
        <v>440</v>
      </c>
      <c r="B97" s="30" t="s">
        <v>55</v>
      </c>
      <c r="C97" s="79" t="s">
        <v>54</v>
      </c>
    </row>
    <row r="98" spans="1:3" ht="28.5" x14ac:dyDescent="0.25">
      <c r="A98" s="156"/>
      <c r="B98" s="29" t="s">
        <v>57</v>
      </c>
      <c r="C98" s="11" t="s">
        <v>441</v>
      </c>
    </row>
    <row r="99" spans="1:3" ht="42.75" x14ac:dyDescent="0.25">
      <c r="A99" s="156"/>
      <c r="B99" s="29" t="s">
        <v>58</v>
      </c>
      <c r="C99" s="11" t="s">
        <v>442</v>
      </c>
    </row>
    <row r="100" spans="1:3" ht="28.5" x14ac:dyDescent="0.25">
      <c r="A100" s="156"/>
      <c r="B100" s="29" t="s">
        <v>59</v>
      </c>
      <c r="C100" s="11" t="s">
        <v>441</v>
      </c>
    </row>
    <row r="122" spans="1:3" x14ac:dyDescent="0.25">
      <c r="B122" s="20"/>
      <c r="C122" s="10"/>
    </row>
    <row r="125" spans="1:3" x14ac:dyDescent="0.25">
      <c r="A125" s="20"/>
      <c r="B125" s="20"/>
      <c r="C125" s="10"/>
    </row>
    <row r="126" spans="1:3" x14ac:dyDescent="0.25">
      <c r="B126" s="20"/>
      <c r="C126" s="10"/>
    </row>
    <row r="129" spans="1:3" x14ac:dyDescent="0.25">
      <c r="A129" s="10"/>
      <c r="B129" s="10"/>
      <c r="C129" s="10"/>
    </row>
    <row r="130" spans="1:3" x14ac:dyDescent="0.25">
      <c r="B130" s="10"/>
      <c r="C130" s="10"/>
    </row>
    <row r="132" spans="1:3" ht="14.45" customHeight="1" x14ac:dyDescent="0.25"/>
    <row r="133" spans="1:3" ht="14.45" customHeight="1" x14ac:dyDescent="0.25"/>
    <row r="134" spans="1:3" ht="14.45" customHeight="1" x14ac:dyDescent="0.25"/>
  </sheetData>
  <sortState ref="B2:B8">
    <sortCondition ref="B2"/>
  </sortState>
  <mergeCells count="7">
    <mergeCell ref="A97:A100"/>
    <mergeCell ref="A73:A76"/>
    <mergeCell ref="A77:A80"/>
    <mergeCell ref="A93:A96"/>
    <mergeCell ref="A89:A92"/>
    <mergeCell ref="A85:A88"/>
    <mergeCell ref="A81:A84"/>
  </mergeCells>
  <conditionalFormatting sqref="C72 A81 A85 A89">
    <cfRule type="cellIs" dxfId="4" priority="5" operator="equal">
      <formula>"-"</formula>
    </cfRule>
  </conditionalFormatting>
  <conditionalFormatting sqref="A73">
    <cfRule type="cellIs" dxfId="3" priority="4" operator="equal">
      <formula>"-"</formula>
    </cfRule>
  </conditionalFormatting>
  <conditionalFormatting sqref="A77">
    <cfRule type="cellIs" dxfId="2" priority="3" operator="equal">
      <formula>"-"</formula>
    </cfRule>
  </conditionalFormatting>
  <conditionalFormatting sqref="A93">
    <cfRule type="cellIs" dxfId="1" priority="2" operator="equal">
      <formula>"-"</formula>
    </cfRule>
  </conditionalFormatting>
  <conditionalFormatting sqref="A97">
    <cfRule type="cellIs" dxfId="0" priority="1" operator="equal">
      <formula>"-"</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opLeftCell="D1" workbookViewId="0">
      <pane ySplit="1" topLeftCell="A2" activePane="bottomLeft" state="frozen"/>
      <selection activeCell="B6" sqref="B6:H6"/>
      <selection pane="bottomLeft" activeCell="B6" sqref="B6:H6"/>
    </sheetView>
  </sheetViews>
  <sheetFormatPr defaultRowHeight="15" x14ac:dyDescent="0.25"/>
  <cols>
    <col min="1" max="2" width="20.7109375" customWidth="1"/>
    <col min="3" max="3" width="102.7109375" customWidth="1"/>
    <col min="4" max="4" width="21.42578125" customWidth="1"/>
    <col min="5" max="5" width="25.42578125" customWidth="1"/>
    <col min="6" max="6" width="55.7109375" customWidth="1"/>
  </cols>
  <sheetData>
    <row r="1" spans="1:6" ht="45" x14ac:dyDescent="0.25">
      <c r="A1" s="36" t="s">
        <v>110</v>
      </c>
      <c r="B1" s="62" t="s">
        <v>167</v>
      </c>
      <c r="C1" s="32" t="s">
        <v>312</v>
      </c>
      <c r="D1" s="37" t="s">
        <v>168</v>
      </c>
      <c r="E1" s="32" t="s">
        <v>105</v>
      </c>
      <c r="F1" s="32" t="s">
        <v>106</v>
      </c>
    </row>
    <row r="2" spans="1:6" x14ac:dyDescent="0.25">
      <c r="A2" s="60" t="s">
        <v>158</v>
      </c>
      <c r="B2" s="60"/>
      <c r="C2" s="60"/>
      <c r="D2" s="61"/>
      <c r="E2" s="60"/>
      <c r="F2" s="60"/>
    </row>
    <row r="3" spans="1:6" x14ac:dyDescent="0.25">
      <c r="A3" s="158" t="s">
        <v>127</v>
      </c>
      <c r="B3" s="34" t="s">
        <v>55</v>
      </c>
      <c r="C3" s="11" t="s">
        <v>55</v>
      </c>
      <c r="D3" s="38" t="s">
        <v>55</v>
      </c>
      <c r="E3" s="38" t="s">
        <v>55</v>
      </c>
      <c r="F3" s="38" t="s">
        <v>55</v>
      </c>
    </row>
    <row r="4" spans="1:6" ht="85.5" x14ac:dyDescent="0.25">
      <c r="A4" s="158"/>
      <c r="B4" s="34" t="s">
        <v>76</v>
      </c>
      <c r="C4" s="11" t="str">
        <f>CONCATENATE("CMAQ program funds are distributed to air quality “non-attainment” or “maintenance” areas. Funds are apportioned to state DOTs who then allocate them to eligible transportation projects and programs that reduce congestion and improve air quality. ",IF('Cross Modal Funding Options'!$D$14="Rural","Historically, rural areas have received only 1.5% of transferred CMAQ funding.","The majority of CMAQ funds transferred, 98%, were used for projects funded in urban areas."))</f>
        <v>CMAQ program funds are distributed to air quality “non-attainment” or “maintenance” areas. Funds are apportioned to state DOTs who then allocate them to eligible transportation projects and programs that reduce congestion and improve air quality. The majority of CMAQ funds transferred, 98%, were used for projects funded in urban areas.</v>
      </c>
      <c r="D4" s="41" t="str">
        <f>IF(VLOOKUP('Cross Modal Funding Options'!D13,'Input Responses'!B12:N65,4,FALSE)="-","$2.4B",CONCATENATE("$2.4B
",VLOOKUP('Cross Modal Funding Options'!D13,'Input Responses'!B12:N65,3,FALSE),": ",VLOOKUP('Cross Modal Funding Options'!D13,'Input Responses'!B12:N65,4,FALSE)))</f>
        <v>$2.4B</v>
      </c>
      <c r="E4" s="35" t="s">
        <v>558</v>
      </c>
      <c r="F4" s="35" t="s">
        <v>445</v>
      </c>
    </row>
    <row r="5" spans="1:6" x14ac:dyDescent="0.25">
      <c r="A5" s="158" t="s">
        <v>79</v>
      </c>
      <c r="B5" s="34" t="s">
        <v>55</v>
      </c>
      <c r="C5" s="17" t="s">
        <v>55</v>
      </c>
      <c r="D5" s="38" t="s">
        <v>55</v>
      </c>
      <c r="E5" s="38" t="s">
        <v>55</v>
      </c>
      <c r="F5" s="38" t="s">
        <v>55</v>
      </c>
    </row>
    <row r="6" spans="1:6" ht="57" x14ac:dyDescent="0.25">
      <c r="A6" s="158"/>
      <c r="B6" s="34" t="s">
        <v>76</v>
      </c>
      <c r="C6" s="11" t="str">
        <f>CONCATENATE("STBG funds are distributed to states by a formula based on lane-miles of federal-aid highways, total VMT on federal highways, and estimated contributions to the Highway Account of the Highway Trust Fund attributable to commercial vehicles. ",IF('Cross Modal Funding Options'!$D$14="Rural","Historically, rural areas have only received about 2% of funding used for transit through this program.","The majority of these funds that are used for transit, 87%, have been transferred to urban areas."))</f>
        <v>STBG funds are distributed to states by a formula based on lane-miles of federal-aid highways, total VMT on federal highways, and estimated contributions to the Highway Account of the Highway Trust Fund attributable to commercial vehicles. The majority of these funds that are used for transit, 87%, have been transferred to urban areas.</v>
      </c>
      <c r="D6" s="39" t="str">
        <f>IF(VLOOKUP('Cross Modal Funding Options'!D13,'Input Responses'!B12:N65,5,FALSE)="-","$11.4B",CONCATENATE("$11.4B
",VLOOKUP('Cross Modal Funding Options'!D13,'Input Responses'!B12:N65,3,FALSE),": ",VLOOKUP('Cross Modal Funding Options'!D13,'Input Responses'!B12:N65,5,FALSE)))</f>
        <v>$11.4B</v>
      </c>
      <c r="E6" s="35" t="s">
        <v>547</v>
      </c>
      <c r="F6" s="35" t="s">
        <v>128</v>
      </c>
    </row>
    <row r="7" spans="1:6" x14ac:dyDescent="0.25">
      <c r="A7" s="158" t="s">
        <v>93</v>
      </c>
      <c r="B7" s="34" t="s">
        <v>55</v>
      </c>
      <c r="C7" s="11" t="s">
        <v>55</v>
      </c>
      <c r="D7" s="38" t="s">
        <v>55</v>
      </c>
      <c r="E7" s="38" t="s">
        <v>55</v>
      </c>
      <c r="F7" s="38" t="s">
        <v>55</v>
      </c>
    </row>
    <row r="8" spans="1:6" ht="85.5" x14ac:dyDescent="0.25">
      <c r="A8" s="158"/>
      <c r="B8" s="34" t="s">
        <v>98</v>
      </c>
      <c r="C8" s="11" t="s">
        <v>376</v>
      </c>
      <c r="D8" s="39" t="str">
        <f>IF(VLOOKUP('Cross Modal Funding Options'!D13,'Input Responses'!B12:N65,6,FALSE)="-","$3.3B",CONCATENATE("$3.3B
",VLOOKUP('Cross Modal Funding Options'!D13,'Input Responses'!B12:N65,3,FALSE),": ",VLOOKUP('Cross Modal Funding Options'!D13,'Input Responses'!B12:N65,6,FALSE)))</f>
        <v>$3.3B</v>
      </c>
      <c r="E8" s="35" t="s">
        <v>548</v>
      </c>
      <c r="F8" s="35" t="s">
        <v>122</v>
      </c>
    </row>
    <row r="9" spans="1:6" x14ac:dyDescent="0.25">
      <c r="A9" s="158" t="s">
        <v>94</v>
      </c>
      <c r="B9" s="34" t="s">
        <v>55</v>
      </c>
      <c r="C9" s="11" t="s">
        <v>55</v>
      </c>
      <c r="D9" s="38" t="s">
        <v>55</v>
      </c>
      <c r="E9" s="38" t="s">
        <v>55</v>
      </c>
      <c r="F9" s="38" t="s">
        <v>55</v>
      </c>
    </row>
    <row r="10" spans="1:6" ht="71.25" x14ac:dyDescent="0.25">
      <c r="A10" s="158"/>
      <c r="B10" s="34" t="s">
        <v>99</v>
      </c>
      <c r="C10" s="11" t="s">
        <v>428</v>
      </c>
      <c r="D10" s="39" t="str">
        <f>IF(VLOOKUP('Cross Modal Funding Options'!D13,'Input Responses'!B12:N65,7,FALSE)="-","$3.2B",CONCATENATE("$3.2B
",VLOOKUP('Cross Modal Funding Options'!D13,'Input Responses'!B12:N65,3,FALSE),": ",VLOOKUP('Cross Modal Funding Options'!D13,'Input Responses'!B12:N65,7,FALSE)))</f>
        <v>$3.2B</v>
      </c>
      <c r="E10" s="35" t="str">
        <f>CONCATENATE("QECBs are a financing mechanism, and are not grants. ",IF(VLOOKUP('Cross Modal Funding Options'!D13,'Input Responses'!B12:T65,19,FALSE)="Y",CONCATENATE("As of January 2017, ",'Cross Modal Funding Options'!D13," is one of only four states where QEBC funds have been used for transportation.",""),IF(VLOOKUP('Cross Modal Funding Options'!D13,'Input Responses'!B12:T65,19,FALSE)="N",CONCATENATE("As of January 2017, ",'Cross Modal Funding Options'!D13," has not used QEBC funds for transportation, and only four states have."),"")))</f>
        <v xml:space="preserve">QECBs are a financing mechanism, and are not grants. </v>
      </c>
      <c r="F10" s="35" t="s">
        <v>123</v>
      </c>
    </row>
    <row r="11" spans="1:6" x14ac:dyDescent="0.25">
      <c r="A11" s="158" t="s">
        <v>95</v>
      </c>
      <c r="B11" s="34" t="s">
        <v>55</v>
      </c>
      <c r="C11" s="11" t="s">
        <v>55</v>
      </c>
      <c r="D11" s="38" t="s">
        <v>55</v>
      </c>
      <c r="E11" s="38" t="s">
        <v>55</v>
      </c>
      <c r="F11" s="38" t="s">
        <v>55</v>
      </c>
    </row>
    <row r="12" spans="1:6" ht="71.25" x14ac:dyDescent="0.25">
      <c r="A12" s="158"/>
      <c r="B12" s="35" t="s">
        <v>100</v>
      </c>
      <c r="C12" s="11" t="s">
        <v>427</v>
      </c>
      <c r="D12" s="39" t="str">
        <f>IF(VLOOKUP('Cross Modal Funding Options'!D13,'Input Responses'!B12:N65,8,FALSE)="-","$16.5B",CONCATENATE("$16.5B
",VLOOKUP('Cross Modal Funding Options'!D13,'Input Responses'!B12:N65,3,FALSE),": ",VLOOKUP('Cross Modal Funding Options'!D13,'Input Responses'!B12:N65,8,FALSE)))</f>
        <v>$16.5B</v>
      </c>
      <c r="E12" s="35" t="str">
        <f>IF(VLOOKUP('Cross Modal Funding Options'!D13,'Input Responses'!B12:V65,20,FALSE)="N",CONCATENATE("Can be used for transportation as long as the project reasonably supports a purpose of the TANF program. In FY15, none of the TANF funding received in ",'Cross Modal Funding Options'!D13," went to Work Supports, the category that includes transportation."),IF(VLOOKUP('Cross Modal Funding Options'!D13,'Input Responses'!B12:V65,20,FALSE)="-","Can be used for transportation as long as the project reasonably supports a purpose of the TANF program.",CONCATENATE("Can be used for transportation as long as the project reasonably supports a purpose of the TANF program. In FY15, ",VLOOKUP('Cross Modal Funding Options'!D13,'Input Responses'!B12:V65,20,FALSE)," of TANF funding received in ",'Cross Modal Funding Options'!D13," was for Work Supports, which includes transportation.")))</f>
        <v>Can be used for transportation as long as the project reasonably supports a purpose of the TANF program.</v>
      </c>
      <c r="F12" s="35" t="s">
        <v>124</v>
      </c>
    </row>
    <row r="13" spans="1:6" x14ac:dyDescent="0.25">
      <c r="A13" s="159" t="s">
        <v>125</v>
      </c>
      <c r="B13" s="34" t="s">
        <v>55</v>
      </c>
      <c r="C13" s="11" t="s">
        <v>55</v>
      </c>
      <c r="D13" s="38" t="s">
        <v>55</v>
      </c>
      <c r="E13" s="38" t="s">
        <v>55</v>
      </c>
      <c r="F13" s="38" t="s">
        <v>55</v>
      </c>
    </row>
    <row r="14" spans="1:6" ht="71.25" x14ac:dyDescent="0.25">
      <c r="A14" s="159"/>
      <c r="B14" s="34" t="s">
        <v>101</v>
      </c>
      <c r="C14" s="11" t="s">
        <v>366</v>
      </c>
      <c r="D14" s="39" t="str">
        <f>IF(VLOOKUP('Cross Modal Funding Options'!D13,'Input Responses'!B12:N65,9,FALSE)="-","$3.5B (CY17)",CONCATENATE("$3.5B (CY17)
",VLOOKUP('Cross Modal Funding Options'!D13,'Input Responses'!B12:N65,3,FALSE),": ",VLOOKUP('Cross Modal Funding Options'!D13,'Input Responses'!B12:N65,9,FALSE)))</f>
        <v>$3.5B (CY17)</v>
      </c>
      <c r="E14" s="35" t="s">
        <v>169</v>
      </c>
      <c r="F14" s="35" t="s">
        <v>148</v>
      </c>
    </row>
    <row r="15" spans="1:6" x14ac:dyDescent="0.25">
      <c r="A15" s="158" t="s">
        <v>96</v>
      </c>
      <c r="B15" s="34" t="s">
        <v>55</v>
      </c>
      <c r="C15" s="11" t="s">
        <v>55</v>
      </c>
      <c r="D15" s="38" t="s">
        <v>55</v>
      </c>
      <c r="E15" s="38" t="s">
        <v>55</v>
      </c>
      <c r="F15" s="38" t="s">
        <v>55</v>
      </c>
    </row>
    <row r="16" spans="1:6" ht="85.5" x14ac:dyDescent="0.25">
      <c r="A16" s="158"/>
      <c r="B16" s="34" t="s">
        <v>102</v>
      </c>
      <c r="C16" s="11" t="s">
        <v>151</v>
      </c>
      <c r="D16" s="39" t="s">
        <v>266</v>
      </c>
      <c r="E16" s="35" t="s">
        <v>165</v>
      </c>
      <c r="F16" s="35" t="s">
        <v>149</v>
      </c>
    </row>
    <row r="17" spans="1:6" x14ac:dyDescent="0.25">
      <c r="A17" s="158" t="s">
        <v>97</v>
      </c>
      <c r="B17" s="34" t="s">
        <v>55</v>
      </c>
      <c r="C17" s="11" t="s">
        <v>55</v>
      </c>
      <c r="D17" s="38" t="s">
        <v>55</v>
      </c>
      <c r="E17" s="38" t="s">
        <v>55</v>
      </c>
      <c r="F17" s="38" t="s">
        <v>55</v>
      </c>
    </row>
    <row r="18" spans="1:6" ht="57" x14ac:dyDescent="0.25">
      <c r="A18" s="158"/>
      <c r="B18" s="34" t="s">
        <v>103</v>
      </c>
      <c r="C18" s="11" t="s">
        <v>152</v>
      </c>
      <c r="D18" s="38" t="s">
        <v>267</v>
      </c>
      <c r="E18" s="35" t="s">
        <v>284</v>
      </c>
      <c r="F18" s="35" t="s">
        <v>285</v>
      </c>
    </row>
    <row r="19" spans="1:6" x14ac:dyDescent="0.25">
      <c r="A19" s="56" t="s">
        <v>157</v>
      </c>
      <c r="B19" s="57"/>
      <c r="C19" s="52"/>
      <c r="D19" s="58"/>
      <c r="E19" s="59"/>
      <c r="F19" s="55"/>
    </row>
    <row r="20" spans="1:6" x14ac:dyDescent="0.25">
      <c r="A20" s="158" t="s">
        <v>80</v>
      </c>
      <c r="B20" s="34" t="s">
        <v>55</v>
      </c>
      <c r="C20" s="17" t="s">
        <v>55</v>
      </c>
      <c r="D20" s="42" t="s">
        <v>55</v>
      </c>
      <c r="E20" s="42" t="s">
        <v>55</v>
      </c>
      <c r="F20" s="42" t="s">
        <v>55</v>
      </c>
    </row>
    <row r="21" spans="1:6" ht="114" x14ac:dyDescent="0.25">
      <c r="A21" s="158"/>
      <c r="B21" s="34" t="s">
        <v>111</v>
      </c>
      <c r="C21" s="11" t="str">
        <f>CONCATENATE("Each state sets its own state gas tax rates and legislates whether or not revenues can be used for transit and other non-highway modes. The value provided is an average across all jurisdictions within ",'Cross Modal Funding Options'!D13,".")</f>
        <v>Each state sets its own state gas tax rates and legislates whether or not revenues can be used for transit and other non-highway modes. The value provided is an average across all jurisdictions within -.</v>
      </c>
      <c r="D21" s="64" t="str">
        <f>IF(VLOOKUP('Cross Modal Funding Options'!D13,'Input Responses'!B12:N65,10,FALSE)="-","Varies",CONCATENATE("State Taxes &amp; Fees:
",VLOOKUP('Cross Modal Funding Options'!D13,'Input Responses'!B12:N65,10,FALSE)," cents per gallon"))</f>
        <v>Varies</v>
      </c>
      <c r="E21" s="35" t="str">
        <f>IF(VLOOKUP('Cross Modal Funding Options'!D13,'Input Responses'!B12:N65,11,FALSE)="Y",CONCATENATE("In ",'Cross Modal Funding Options'!D13,", fuel tax revenues can be used for other modes"),IF(VLOOKUP('Cross Modal Funding Options'!D13,'Input Responses'!B12:N65,11,FALSE)="N",CONCATENATE("In ",'Cross Modal Funding Options'!D13,", fuel tax revenues are dedicated to highways and roads"),"Some states restrict whether fuel tax revenues can be used for transit"))</f>
        <v>Some states restrict whether fuel tax revenues can be used for transit</v>
      </c>
      <c r="F21" s="35" t="str">
        <f>CONCATENATE(IF(VLOOKUP('Cross Modal Funding Options'!D13,'Input Responses'!B12:N65,11,FALSE)="Y","While your state does allow fuel tax revenues to be used for transit, there may be some restrictions or limits. ","Not all states dedicate fuel tax revenues exclusively to highways and roads, though many still specify or restrict the amount of funding and what types of projects it can be used on. "),"For example, Article 19 in the State of California allows gas tax revenues to be used for capital transit projects, specifically fixed guideways, though it also excludes the use of gas tax revenues for transit maintenance and operations.")</f>
        <v>Not all states dedicate fuel tax revenues exclusively to highways and roads, though many still specify or restrict the amount of funding and what types of projects it can be used on. For example, Article 19 in the State of California allows gas tax revenues to be used for capital transit projects, specifically fixed guideways, though it also excludes the use of gas tax revenues for transit maintenance and operations.</v>
      </c>
    </row>
    <row r="22" spans="1:6" x14ac:dyDescent="0.25">
      <c r="A22" s="159" t="s">
        <v>83</v>
      </c>
      <c r="B22" s="34" t="s">
        <v>55</v>
      </c>
      <c r="C22" s="11" t="s">
        <v>55</v>
      </c>
      <c r="D22" s="38" t="s">
        <v>55</v>
      </c>
      <c r="E22" s="38" t="s">
        <v>55</v>
      </c>
      <c r="F22" s="38" t="s">
        <v>55</v>
      </c>
    </row>
    <row r="23" spans="1:6" ht="57" x14ac:dyDescent="0.25">
      <c r="A23" s="159"/>
      <c r="B23" s="34" t="s">
        <v>111</v>
      </c>
      <c r="C23" s="11" t="s">
        <v>269</v>
      </c>
      <c r="D23" s="39" t="s">
        <v>178</v>
      </c>
      <c r="E23" s="35" t="str">
        <f>IF(VLOOKUP('Cross Modal Funding Options'!D13,'Input Responses'!B13:P65,12,FALSE)="Y",CONCATENATE("In ",'Cross Modal Funding Options'!D13,", motor vehicle fees are not specifically restricted from being used on other modes"),IF(VLOOKUP('Cross Modal Funding Options'!D13,'Input Responses'!B13:P65,12,FALSE)="N",CONCATENATE("In ",'Cross Modal Funding Options'!D13,", motor vehicle fees are dedicated to highways and roads"),VLOOKUP('Cross Modal Funding Options'!D13,'Input Responses'!B13:P65,12,FALSE)))</f>
        <v>-</v>
      </c>
      <c r="F23" s="35" t="s">
        <v>119</v>
      </c>
    </row>
    <row r="24" spans="1:6" x14ac:dyDescent="0.25">
      <c r="A24" s="158" t="s">
        <v>81</v>
      </c>
      <c r="B24" s="34" t="s">
        <v>55</v>
      </c>
      <c r="C24" s="11" t="s">
        <v>55</v>
      </c>
      <c r="D24" s="38" t="s">
        <v>55</v>
      </c>
      <c r="E24" s="38" t="s">
        <v>55</v>
      </c>
      <c r="F24" s="38" t="s">
        <v>55</v>
      </c>
    </row>
    <row r="25" spans="1:6" ht="57" x14ac:dyDescent="0.25">
      <c r="A25" s="158"/>
      <c r="B25" s="34" t="s">
        <v>111</v>
      </c>
      <c r="C25" s="11" t="s">
        <v>177</v>
      </c>
      <c r="D25" s="39" t="s">
        <v>176</v>
      </c>
      <c r="E25" s="35" t="s">
        <v>549</v>
      </c>
      <c r="F25" s="35" t="s">
        <v>121</v>
      </c>
    </row>
    <row r="26" spans="1:6" x14ac:dyDescent="0.25">
      <c r="A26" s="158" t="s">
        <v>62</v>
      </c>
      <c r="B26" s="34" t="s">
        <v>55</v>
      </c>
      <c r="C26" s="11" t="s">
        <v>55</v>
      </c>
      <c r="D26" s="38" t="s">
        <v>55</v>
      </c>
      <c r="E26" s="38" t="s">
        <v>55</v>
      </c>
      <c r="F26" s="38" t="s">
        <v>55</v>
      </c>
    </row>
    <row r="27" spans="1:6" ht="128.25" x14ac:dyDescent="0.25">
      <c r="A27" s="158"/>
      <c r="B27" s="35" t="s">
        <v>8</v>
      </c>
      <c r="C27" s="11" t="s">
        <v>150</v>
      </c>
      <c r="D27" s="39" t="s">
        <v>179</v>
      </c>
      <c r="E27" s="35" t="str">
        <f>CONCATENATE(IF(VLOOKUP('Cross Modal Funding Options'!D13,'Input Responses'!B12:N65,13,FALSE)="California","A","Not a"),"vailable in ",'Cross Modal Funding Options'!D13)</f>
        <v>Not available in -</v>
      </c>
      <c r="F27" s="35" t="s">
        <v>443</v>
      </c>
    </row>
    <row r="28" spans="1:6" ht="128.25" x14ac:dyDescent="0.25">
      <c r="A28" s="158"/>
      <c r="B28" s="35" t="s">
        <v>63</v>
      </c>
      <c r="C28" s="11" t="s">
        <v>65</v>
      </c>
      <c r="D28" s="39" t="s">
        <v>180</v>
      </c>
      <c r="E28" s="35" t="str">
        <f>IF(VLOOKUP('Cross Modal Funding Options'!D13,'Input Responses'!B12:N65,13,FALSE)="RGGI",CONCATENATE("Available in ",'Cross Modal Funding Options'!D13,", but very little has been used for transportation."),CONCATENATE("Not available in ",'Cross Modal Funding Options'!D13))</f>
        <v>Not available in -</v>
      </c>
      <c r="F28" s="35" t="s">
        <v>443</v>
      </c>
    </row>
    <row r="29" spans="1:6" ht="128.25" x14ac:dyDescent="0.25">
      <c r="A29" s="158"/>
      <c r="B29" s="35" t="s">
        <v>64</v>
      </c>
      <c r="C29" s="11" t="s">
        <v>66</v>
      </c>
      <c r="D29" s="41" t="s">
        <v>181</v>
      </c>
      <c r="E29" s="35" t="str">
        <f>IF('Cross Modal Funding Options'!D13="Other","Not currently available",CONCATENATE("Not currently available in ",'Cross Modal Funding Options'!D13))</f>
        <v>Not currently available in -</v>
      </c>
      <c r="F29" s="35" t="s">
        <v>443</v>
      </c>
    </row>
    <row r="30" spans="1:6" x14ac:dyDescent="0.25">
      <c r="A30" s="50" t="s">
        <v>446</v>
      </c>
      <c r="B30" s="51"/>
      <c r="C30" s="52"/>
      <c r="D30" s="53"/>
      <c r="E30" s="54"/>
      <c r="F30" s="55"/>
    </row>
    <row r="31" spans="1:6" x14ac:dyDescent="0.25">
      <c r="A31" s="158" t="s">
        <v>447</v>
      </c>
      <c r="B31" s="34" t="s">
        <v>55</v>
      </c>
      <c r="C31" s="17" t="s">
        <v>55</v>
      </c>
      <c r="D31" s="42" t="s">
        <v>55</v>
      </c>
      <c r="E31" s="42" t="s">
        <v>55</v>
      </c>
      <c r="F31" s="42" t="s">
        <v>55</v>
      </c>
    </row>
    <row r="32" spans="1:6" ht="57" x14ac:dyDescent="0.25">
      <c r="A32" s="158"/>
      <c r="B32" s="34" t="s">
        <v>111</v>
      </c>
      <c r="C32" s="11" t="s">
        <v>271</v>
      </c>
      <c r="D32" s="39" t="s">
        <v>283</v>
      </c>
      <c r="E32" s="35" t="s">
        <v>272</v>
      </c>
      <c r="F32" s="35" t="s">
        <v>144</v>
      </c>
    </row>
    <row r="33" spans="1:6" x14ac:dyDescent="0.25">
      <c r="A33" s="158" t="s">
        <v>448</v>
      </c>
      <c r="B33" s="34" t="s">
        <v>55</v>
      </c>
      <c r="C33" s="11" t="s">
        <v>55</v>
      </c>
      <c r="D33" s="38" t="s">
        <v>55</v>
      </c>
      <c r="E33" s="38" t="s">
        <v>55</v>
      </c>
      <c r="F33" s="38" t="s">
        <v>55</v>
      </c>
    </row>
    <row r="34" spans="1:6" ht="42.75" x14ac:dyDescent="0.25">
      <c r="A34" s="158"/>
      <c r="B34" s="34" t="s">
        <v>111</v>
      </c>
      <c r="C34" s="11" t="s">
        <v>129</v>
      </c>
      <c r="D34" s="39" t="s">
        <v>282</v>
      </c>
      <c r="E34" s="35" t="s">
        <v>280</v>
      </c>
      <c r="F34" s="35" t="s">
        <v>130</v>
      </c>
    </row>
    <row r="35" spans="1:6" x14ac:dyDescent="0.25">
      <c r="A35" s="159" t="s">
        <v>449</v>
      </c>
      <c r="B35" s="34" t="s">
        <v>55</v>
      </c>
      <c r="C35" s="11" t="s">
        <v>55</v>
      </c>
      <c r="D35" s="38" t="s">
        <v>55</v>
      </c>
      <c r="E35" s="38" t="s">
        <v>55</v>
      </c>
      <c r="F35" s="38" t="s">
        <v>55</v>
      </c>
    </row>
    <row r="36" spans="1:6" ht="42.75" x14ac:dyDescent="0.25">
      <c r="A36" s="159"/>
      <c r="B36" s="34" t="s">
        <v>111</v>
      </c>
      <c r="C36" s="11" t="s">
        <v>159</v>
      </c>
      <c r="D36" s="39" t="s">
        <v>277</v>
      </c>
      <c r="E36" s="35" t="s">
        <v>131</v>
      </c>
      <c r="F36" s="35" t="s">
        <v>163</v>
      </c>
    </row>
    <row r="37" spans="1:6" x14ac:dyDescent="0.25">
      <c r="A37" s="158" t="s">
        <v>82</v>
      </c>
      <c r="B37" s="34" t="s">
        <v>55</v>
      </c>
      <c r="C37" s="11" t="s">
        <v>55</v>
      </c>
      <c r="D37" s="38" t="s">
        <v>55</v>
      </c>
      <c r="E37" s="38" t="s">
        <v>55</v>
      </c>
      <c r="F37" s="38" t="s">
        <v>55</v>
      </c>
    </row>
    <row r="38" spans="1:6" ht="28.5" x14ac:dyDescent="0.25">
      <c r="A38" s="158"/>
      <c r="B38" s="34" t="s">
        <v>111</v>
      </c>
      <c r="C38" s="11" t="s">
        <v>143</v>
      </c>
      <c r="D38" s="38" t="s">
        <v>276</v>
      </c>
      <c r="E38" s="35" t="s">
        <v>132</v>
      </c>
      <c r="F38" s="35" t="s">
        <v>120</v>
      </c>
    </row>
    <row r="39" spans="1:6" x14ac:dyDescent="0.25">
      <c r="A39" s="159" t="s">
        <v>84</v>
      </c>
      <c r="B39" s="34" t="s">
        <v>55</v>
      </c>
      <c r="C39" s="11" t="s">
        <v>55</v>
      </c>
      <c r="D39" s="38" t="s">
        <v>55</v>
      </c>
      <c r="E39" s="38" t="s">
        <v>55</v>
      </c>
      <c r="F39" s="38" t="s">
        <v>55</v>
      </c>
    </row>
    <row r="40" spans="1:6" ht="71.25" x14ac:dyDescent="0.25">
      <c r="A40" s="159"/>
      <c r="B40" s="35" t="s">
        <v>111</v>
      </c>
      <c r="C40" s="11" t="s">
        <v>142</v>
      </c>
      <c r="D40" s="39" t="s">
        <v>275</v>
      </c>
      <c r="E40" s="35" t="s">
        <v>135</v>
      </c>
      <c r="F40" s="35" t="s">
        <v>133</v>
      </c>
    </row>
    <row r="41" spans="1:6" x14ac:dyDescent="0.25">
      <c r="A41" s="158" t="s">
        <v>156</v>
      </c>
      <c r="B41" s="34" t="s">
        <v>55</v>
      </c>
      <c r="C41" s="11" t="s">
        <v>55</v>
      </c>
      <c r="D41" s="38" t="s">
        <v>55</v>
      </c>
      <c r="E41" s="38" t="s">
        <v>55</v>
      </c>
      <c r="F41" s="38" t="s">
        <v>55</v>
      </c>
    </row>
    <row r="42" spans="1:6" ht="57" x14ac:dyDescent="0.25">
      <c r="A42" s="158"/>
      <c r="B42" s="34" t="s">
        <v>111</v>
      </c>
      <c r="C42" s="11" t="s">
        <v>136</v>
      </c>
      <c r="D42" s="39" t="s">
        <v>274</v>
      </c>
      <c r="E42" s="35" t="s">
        <v>137</v>
      </c>
      <c r="F42" s="35" t="s">
        <v>134</v>
      </c>
    </row>
    <row r="43" spans="1:6" x14ac:dyDescent="0.25">
      <c r="A43" s="159" t="s">
        <v>141</v>
      </c>
      <c r="B43" s="34" t="s">
        <v>55</v>
      </c>
      <c r="C43" s="17" t="s">
        <v>55</v>
      </c>
      <c r="D43" s="38" t="s">
        <v>55</v>
      </c>
      <c r="E43" s="38" t="s">
        <v>55</v>
      </c>
      <c r="F43" s="38" t="s">
        <v>55</v>
      </c>
    </row>
    <row r="44" spans="1:6" ht="57" x14ac:dyDescent="0.25">
      <c r="A44" s="159"/>
      <c r="B44" s="35" t="s">
        <v>112</v>
      </c>
      <c r="C44" s="11" t="s">
        <v>140</v>
      </c>
      <c r="D44" s="39" t="s">
        <v>279</v>
      </c>
      <c r="E44" s="35" t="s">
        <v>138</v>
      </c>
      <c r="F44" s="35" t="s">
        <v>118</v>
      </c>
    </row>
    <row r="45" spans="1:6" x14ac:dyDescent="0.25">
      <c r="A45" s="158" t="s">
        <v>91</v>
      </c>
      <c r="B45" s="34" t="s">
        <v>55</v>
      </c>
      <c r="C45" s="17" t="s">
        <v>55</v>
      </c>
      <c r="D45" s="38" t="s">
        <v>55</v>
      </c>
      <c r="E45" s="38" t="s">
        <v>55</v>
      </c>
      <c r="F45" s="38" t="s">
        <v>55</v>
      </c>
    </row>
    <row r="46" spans="1:6" ht="57" x14ac:dyDescent="0.25">
      <c r="A46" s="158"/>
      <c r="B46" s="34" t="s">
        <v>114</v>
      </c>
      <c r="C46" s="11" t="s">
        <v>139</v>
      </c>
      <c r="D46" s="39" t="s">
        <v>278</v>
      </c>
      <c r="E46" s="35" t="s">
        <v>145</v>
      </c>
      <c r="F46" s="35" t="s">
        <v>117</v>
      </c>
    </row>
    <row r="47" spans="1:6" x14ac:dyDescent="0.25">
      <c r="A47" s="158" t="s">
        <v>92</v>
      </c>
      <c r="B47" s="34" t="s">
        <v>55</v>
      </c>
      <c r="C47" s="17" t="s">
        <v>55</v>
      </c>
      <c r="D47" s="38" t="s">
        <v>55</v>
      </c>
      <c r="E47" s="38" t="s">
        <v>55</v>
      </c>
      <c r="F47" s="38" t="s">
        <v>55</v>
      </c>
    </row>
    <row r="48" spans="1:6" ht="57" x14ac:dyDescent="0.25">
      <c r="A48" s="158"/>
      <c r="B48" s="34" t="s">
        <v>114</v>
      </c>
      <c r="C48" s="11" t="s">
        <v>146</v>
      </c>
      <c r="D48" s="39" t="s">
        <v>273</v>
      </c>
      <c r="E48" s="35" t="s">
        <v>147</v>
      </c>
      <c r="F48" s="35" t="s">
        <v>116</v>
      </c>
    </row>
  </sheetData>
  <mergeCells count="21">
    <mergeCell ref="A37:A38"/>
    <mergeCell ref="A24:A25"/>
    <mergeCell ref="A20:A21"/>
    <mergeCell ref="A31:A32"/>
    <mergeCell ref="A35:A36"/>
    <mergeCell ref="A3:A4"/>
    <mergeCell ref="A26:A29"/>
    <mergeCell ref="A7:A8"/>
    <mergeCell ref="A47:A48"/>
    <mergeCell ref="A45:A46"/>
    <mergeCell ref="A17:A18"/>
    <mergeCell ref="A15:A16"/>
    <mergeCell ref="A13:A14"/>
    <mergeCell ref="A11:A12"/>
    <mergeCell ref="A41:A42"/>
    <mergeCell ref="A39:A40"/>
    <mergeCell ref="A22:A23"/>
    <mergeCell ref="A9:A10"/>
    <mergeCell ref="A43:A44"/>
    <mergeCell ref="A33:A34"/>
    <mergeCell ref="A5:A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Cross Modal Funding Options</vt:lpstr>
      <vt:lpstr>Input Responses</vt:lpstr>
      <vt:lpstr>Recommendation Responses</vt:lpstr>
    </vt:vector>
  </TitlesOfParts>
  <Company>Parsons Brinckerhoff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McLaughlin, Katharina (Katie)</dc:creator>
  <cp:lastModifiedBy>Claney, Ella C.</cp:lastModifiedBy>
  <dcterms:created xsi:type="dcterms:W3CDTF">2017-04-17T16:21:37Z</dcterms:created>
  <dcterms:modified xsi:type="dcterms:W3CDTF">2017-09-26T15:24:30Z</dcterms:modified>
</cp:coreProperties>
</file>