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3860" windowHeight="6120" tabRatio="869" activeTab="0"/>
  </bookViews>
  <sheets>
    <sheet name="Title Page" sheetId="1" r:id="rId1"/>
    <sheet name="Electricity Module" sheetId="2" r:id="rId2"/>
    <sheet name="Materials Module" sheetId="3" r:id="rId3"/>
    <sheet name="On-Road Module" sheetId="4" r:id="rId4"/>
    <sheet name="Off-Road Module" sheetId="5" r:id="rId5"/>
    <sheet name="Traffic Smoothing Strategies" sheetId="6" r:id="rId6"/>
    <sheet name="Onroad Strategies" sheetId="7" r:id="rId7"/>
    <sheet name="Off-Road Factors" sheetId="8" r:id="rId8"/>
    <sheet name="GGE" sheetId="9" r:id="rId9"/>
    <sheet name="Model Year Inventory" sheetId="10" r:id="rId10"/>
    <sheet name="Materials factors" sheetId="11" r:id="rId11"/>
    <sheet name="Materials transport estimator" sheetId="12" r:id="rId12"/>
    <sheet name="Electricity factors" sheetId="13" r:id="rId13"/>
    <sheet name="Conversion Factors" sheetId="14" r:id="rId14"/>
  </sheets>
  <externalReferences>
    <externalReference r:id="rId17"/>
  </externalReferences>
  <definedNames>
    <definedName name="AverageSpeed">'Traffic Smoothing Strategies'!$A$174:$A$189</definedName>
    <definedName name="BeginStrategies">'Onroad Strategies'!$A$25</definedName>
    <definedName name="CMS_Baseline">'Electricity Module'!$V$126:$V$127</definedName>
    <definedName name="CMS_Mitigated">'Electricity Module'!$W$126:$W$127</definedName>
    <definedName name="CNG_Data">'Off-Road Factors'!$B$222:$H$258</definedName>
    <definedName name="Conventional_Baseline___Fuel_Consumption" localSheetId="4">'Off-Road Module'!$B$74</definedName>
    <definedName name="Default1">'Onroad Strategies'!$C$41:$F$49</definedName>
    <definedName name="Default2">'Onroad Strategies'!$I$55:$L$63</definedName>
    <definedName name="Default3">'Onroad Strategies'!$I$70:$L$78</definedName>
    <definedName name="Default4">'Onroad Strategies'!$I$85:$L$93</definedName>
    <definedName name="Default5">'Onroad Strategies'!$I$100:$L$108</definedName>
    <definedName name="Default6">'Onroad Strategies'!$I$115:$L$123</definedName>
    <definedName name="DefaultReset1">'Onroad Strategies'!$AP$29:$AS$37</definedName>
    <definedName name="DefaultReset2">'Onroad Strategies'!$AV$29:$AY$37</definedName>
    <definedName name="DefaultReset3">'Onroad Strategies'!$BB$29:$BE$37</definedName>
    <definedName name="DefaultReset4">'Onroad Strategies'!$BH$29:$BK$37</definedName>
    <definedName name="DefaultReset5">'Onroad Strategies'!$BN$29:$BQ$37</definedName>
    <definedName name="DefaultReset6">'Onroad Strategies'!$BT$29:$BW$37</definedName>
    <definedName name="Diesel_Data" localSheetId="10">'Materials factors'!$A$5:$B$49</definedName>
    <definedName name="Diesel_Data" localSheetId="11">'Materials transport estimator'!$A$12:$B$39</definedName>
    <definedName name="Diesel_Data">'Off-Road Factors'!$B$17:$H$53</definedName>
    <definedName name="Elec_Data">'Off-Road Factors'!$B$263:$H$299</definedName>
    <definedName name="Elec_Light_Input">'Electricity Module'!$B$60:$E$68</definedName>
    <definedName name="Elec1Anchor">'Electricity Module'!$B$28</definedName>
    <definedName name="Elec2_1Anchor">'Electricity Module'!$B$38</definedName>
    <definedName name="Elec2_2Anchor">'Electricity Module'!$B$47</definedName>
    <definedName name="Elec2Anchor">'Electricity Module'!$B$47</definedName>
    <definedName name="Elec3_1Anchor">'Electricity Module'!$B$54</definedName>
    <definedName name="Elec3Anchor">'Electricity Module'!$B$52</definedName>
    <definedName name="ElecEndAnchor">'Electricity Module'!$B$145</definedName>
    <definedName name="ElecTotal_Baseline">'Electricity Module'!$D$24</definedName>
    <definedName name="ElecTotal_Mitigated">'Electricity Module'!$D$25</definedName>
    <definedName name="EndStrategies">'Onroad Strategies'!$A$127</definedName>
    <definedName name="Equip_Type" localSheetId="10">'Materials factors'!$A$5:$A$49</definedName>
    <definedName name="Equip_Type" localSheetId="11">'Materials transport estimator'!$A$12:$A$39</definedName>
    <definedName name="Equip_Type">'Off-Road Factors'!$B$17:$B$53</definedName>
    <definedName name="Final_Efficiency">'On-Road Module'!$C$77:$F$85</definedName>
    <definedName name="Fuel_Availability" localSheetId="10">'Materials factors'!$D$5:$M$46</definedName>
    <definedName name="Fuel_Availability" localSheetId="11">'Materials transport estimator'!$C$12:$C$39</definedName>
    <definedName name="Fuel_Availability">'Off-Road Factors'!$N$23:$N$53</definedName>
    <definedName name="Fuel_Data">'Off-Road Factors'!$K$16:$L$24</definedName>
    <definedName name="Fuel_Mits">'Off-Road Module'!$AQ$76:$BA$83</definedName>
    <definedName name="Gas2Str_Data">'Off-Road Factors'!$B$58:$H$94</definedName>
    <definedName name="Gas4Str_Data">'Off-Road Factors'!$B$99:$H$135</definedName>
    <definedName name="GasAve_Data">'Off-Road Factors'!$B$140:$H$176</definedName>
    <definedName name="Hybrid_Data">'Off-Road Factors'!$B$304:$H$340</definedName>
    <definedName name="Intersection_Baseline">'Electricity Module'!$V$81:$V$89</definedName>
    <definedName name="Intersection_Mitigated">'Electricity Module'!$W$81:$W$89</definedName>
    <definedName name="Lamp_Baseline">'Electricity Module'!$V$109:$V$117</definedName>
    <definedName name="Lamp_Mitigated">'Electricity Module'!$W$109:$W$117</definedName>
    <definedName name="lbs_per_kg">'Conversion Factors'!$B$2</definedName>
    <definedName name="lbsperkg">'Conversion Factors'!$B$2</definedName>
    <definedName name="Light_Default">'Electricity Module'!$E$60:$E$67</definedName>
    <definedName name="Light_Default_Reset">'Electricity Module'!$Y$20:$Y$24</definedName>
    <definedName name="Light_Default2">'Electricity Module'!$J$60:$J$67</definedName>
    <definedName name="LPG_Data">'Off-Road Factors'!$B$181:$H$217</definedName>
    <definedName name="MaterialsEnd">'Materials Module'!$A$157</definedName>
    <definedName name="MaterialsStart">'Materials Module'!$A$35</definedName>
    <definedName name="Misc_Baseline">'Electricity Module'!$V$136:$V$137</definedName>
    <definedName name="Misc_Default_2">'Electricity Module'!$I$139:$J$140</definedName>
    <definedName name="Misc_Default_Reset">'Electricity Module'!$X$29:$Y$30</definedName>
    <definedName name="Misc_Default1">'Electricity Module'!$D$139:$E$140</definedName>
    <definedName name="Misc_Mitigated">'Electricity Module'!$W$136:$W$137</definedName>
    <definedName name="Mit_Factors">'Off-Road Factors'!$J$58:$K$67</definedName>
    <definedName name="mpg_defaults" localSheetId="3">'On-Road Module'!$AB$26:$AE$34</definedName>
    <definedName name="MW_Baseline">'Electricity Module'!$D$33</definedName>
    <definedName name="MW_Baseline2">'Electricity Module'!$D$43</definedName>
    <definedName name="MW_Mitigated">'Electricity Module'!$D$34</definedName>
    <definedName name="MY_mpg">'Model Year Inventory'!$B$6:$L$30</definedName>
    <definedName name="MY_mpgs">'On-Road Module'!$AB$42:$AE$50</definedName>
    <definedName name="Off1Anchor" localSheetId="4">'Off-Road Module'!$B$29</definedName>
    <definedName name="Off2Anchor" localSheetId="4">'Off-Road Module'!$B$68</definedName>
    <definedName name="Off3Anchor" localSheetId="4">'Off-Road Module'!$B$119</definedName>
    <definedName name="OffEndAnchor">'Off-Road Module'!$B$179</definedName>
    <definedName name="OffRoadBaselineActivity" localSheetId="4">'Off-Road Module'!$B$135:$G$170</definedName>
    <definedName name="OffRoadFinal">'Off-Road Module'!$D$25:$D$26</definedName>
    <definedName name="OffroadMitigatedActivity" localSheetId="4">'Off-Road Module'!#REF!</definedName>
    <definedName name="On1Anchor">'On-Road Module'!$A$21</definedName>
    <definedName name="On2_2">'On-Road Module'!$B$91</definedName>
    <definedName name="On2Anchor">'On-Road Module'!$A$54</definedName>
    <definedName name="OnEndAnchor">'On-Road Module'!$A$118</definedName>
    <definedName name="OnroadFinal">'On-Road Module'!$C$18:$C$19</definedName>
    <definedName name="OnRoadFinal_BS">'On-Road Module'!$C$18</definedName>
    <definedName name="OnRoadFinal_Mit">'On-Road Module'!$C$19</definedName>
    <definedName name="OnRoadTier1_BS">'On-Road Module'!$U$44</definedName>
    <definedName name="OnRoadTier1_Mit">'On-Road Module'!$U$45</definedName>
    <definedName name="OnRoadTier1Final">'On-Road Module'!$U$44:$U$45</definedName>
    <definedName name="OnRoadTier2_BS">'On-Road Module'!$Y$159</definedName>
    <definedName name="OnRoadTier2_Mit">'On-Road Module'!$Y$167</definedName>
    <definedName name="OnRoadTier2Final">'On-Road Module'!$C$115:$C$116</definedName>
    <definedName name="Popular_Engines">'Off-Road Factors'!$N$17:$O$53</definedName>
    <definedName name="RoadType">'Traffic Smoothing Strategies'!$A$167:$A$170</definedName>
    <definedName name="SignalHead_Baseline">'Electricity Module'!$V$99:$V$102</definedName>
    <definedName name="SignalHead_Mitigated">'Electricity Module'!$W$99:$W$102</definedName>
    <definedName name="State_Selected">'Title Page'!$D$29</definedName>
    <definedName name="States">'Off-Road Factors'!$K$263:$K$314</definedName>
    <definedName name="States_Data">'Off-Road Factors'!$K$263:$O$314</definedName>
    <definedName name="StreetLights_Baseline">'Electricity Module'!$V$60:$V$67</definedName>
    <definedName name="StreetLights_Mitigated">'Electricity Module'!$W$60:$W$67</definedName>
    <definedName name="Tier1_5_Table">'Off-Road Module'!$B$76:$D$111</definedName>
    <definedName name="Tier1_5Final">'Off-Road Module'!$AO$89:$AO$90</definedName>
    <definedName name="Tier1Final">'Off-Road Module'!$U$61:$U$62</definedName>
    <definedName name="Tier2_Table">'Off-Road Module'!$B$135:$G$170</definedName>
    <definedName name="Tier2Final">'Off-Road Module'!$AE$163:$AE$164</definedName>
    <definedName name="Traffic1Anchor">'Electricity Module'!$B$78</definedName>
    <definedName name="Traffic2Anchor">'Electricity Module'!$B$96</definedName>
    <definedName name="Traffic3Anchor">'Electricity Module'!$B$107</definedName>
    <definedName name="TrafficEndAnchor">'Electricity Module'!$B$122</definedName>
    <definedName name="TS_Baseline">'Electricity Module'!$W$71</definedName>
    <definedName name="TS_Mitigated">'Electricity Module'!$W$72</definedName>
    <definedName name="user_choice">'On-Road Module'!$L$82</definedName>
    <definedName name="VehicleType">#REF!</definedName>
    <definedName name="Z_8F2B24E0_A6DC_4B0D_AB2B_2CE210A7336C_.wvu.Rows" localSheetId="1" hidden="1">'Electricity Module'!$28:$142</definedName>
    <definedName name="Z_8F2B24E0_A6DC_4B0D_AB2B_2CE210A7336C_.wvu.Rows" localSheetId="2" hidden="1">'Materials Module'!$134:$153</definedName>
    <definedName name="Z_8F2B24E0_A6DC_4B0D_AB2B_2CE210A7336C_.wvu.Rows" localSheetId="4" hidden="1">'Off-Road Module'!$29:$181</definedName>
    <definedName name="Z_8F2B24E0_A6DC_4B0D_AB2B_2CE210A7336C_.wvu.Rows" localSheetId="3" hidden="1">'On-Road Module'!$21:$118</definedName>
  </definedNames>
  <calcPr calcMode="manual" fullCalcOnLoad="1" calcCompleted="0" calcOnSave="0"/>
</workbook>
</file>

<file path=xl/comments11.xml><?xml version="1.0" encoding="utf-8"?>
<comments xmlns="http://schemas.openxmlformats.org/spreadsheetml/2006/main">
  <authors>
    <author>Gallivan, Frank</author>
  </authors>
  <commentList>
    <comment ref="B6" authorId="0">
      <text>
        <r>
          <rPr>
            <sz val="8"/>
            <rFont val="Tahoma"/>
            <family val="2"/>
          </rPr>
          <t xml:space="preserve">Doubled PaLATE emissions factor (which accounts for CO2 from energy use only) to account for CO2 emissions in calcination. (See Athena Institute, Cement and Structural Concrete Products: Life Cycle Inventory Update #2, 2005). 
</t>
        </r>
      </text>
    </comment>
    <comment ref="B22" authorId="0">
      <text>
        <r>
          <rPr>
            <sz val="8"/>
            <rFont val="Tahoma"/>
            <family val="2"/>
          </rPr>
          <t xml:space="preserve">GGBFS requires 90% less energy to produce than an equivalent amount of portland cement. (See Prusinski, Jan et al, Life Cycle Inventory of Slag Cement Concrete, 2004).
</t>
        </r>
      </text>
    </comment>
    <comment ref="B24" authorId="0">
      <text>
        <r>
          <rPr>
            <sz val="8"/>
            <rFont val="Tahoma"/>
            <family val="2"/>
          </rPr>
          <t xml:space="preserve">Ground Limestone reduces energy use relative to portland cement by eliminating pyro-processing, an estimated 85%. (See Athena Institute, Cement and Structural Concrete Products: Life Cycle Inventory Update #2, 2005, Tables 4.2 and 4.8). 
</t>
        </r>
      </text>
    </comment>
    <comment ref="B25" authorId="0">
      <text>
        <r>
          <rPr>
            <sz val="8"/>
            <rFont val="Tahoma"/>
            <family val="2"/>
          </rPr>
          <t xml:space="preserve">Embodied emissions accounted for under RAP above.
</t>
        </r>
      </text>
    </comment>
  </commentList>
</comments>
</file>

<file path=xl/comments13.xml><?xml version="1.0" encoding="utf-8"?>
<comments xmlns="http://schemas.openxmlformats.org/spreadsheetml/2006/main">
  <authors>
    <author>Andrew Papson</author>
    <author>Frank Gallivan</author>
  </authors>
  <commentList>
    <comment ref="A135" authorId="0">
      <text>
        <r>
          <rPr>
            <b/>
            <sz val="8"/>
            <rFont val="Tahoma"/>
            <family val="2"/>
          </rPr>
          <t>Andrew Papson:</t>
        </r>
        <r>
          <rPr>
            <sz val="8"/>
            <rFont val="Tahoma"/>
            <family val="2"/>
          </rPr>
          <t xml:space="preserve">
source: TEES 2003 ch8</t>
        </r>
      </text>
    </comment>
    <comment ref="A138" authorId="0">
      <text>
        <r>
          <rPr>
            <sz val="8"/>
            <rFont val="Tahoma"/>
            <family val="2"/>
          </rPr>
          <t xml:space="preserve">
caltrans energy conservation plan 2004, page 30</t>
        </r>
      </text>
    </comment>
    <comment ref="H136" authorId="0">
      <text>
        <r>
          <rPr>
            <sz val="8"/>
            <rFont val="Tahoma"/>
            <family val="2"/>
          </rPr>
          <t xml:space="preserve">
LF derived as follows: on average 25% of the lights are illuminated; signs operate for less than 12 hours. caltrans energy conservation plan 2004, page 30
Assume 12 hours operation to be conservative.</t>
        </r>
      </text>
    </comment>
    <comment ref="H60" authorId="1">
      <text>
        <r>
          <rPr>
            <sz val="8"/>
            <rFont val="Tahoma"/>
            <family val="2"/>
          </rPr>
          <t xml:space="preserve">
based on Caltrans intersection definitions</t>
        </r>
      </text>
    </comment>
    <comment ref="A4" authorId="1">
      <text>
        <r>
          <rPr>
            <sz val="8"/>
            <rFont val="Tahoma"/>
            <family val="2"/>
          </rPr>
          <t xml:space="preserve">
Source: Caltrans GHG Inventory 2007</t>
        </r>
      </text>
    </comment>
  </commentList>
</comments>
</file>

<file path=xl/comments8.xml><?xml version="1.0" encoding="utf-8"?>
<comments xmlns="http://schemas.openxmlformats.org/spreadsheetml/2006/main">
  <authors>
    <author>Andrew Papson</author>
    <author>Frank Gallivan</author>
    <author>Gallivan, Frank</author>
  </authors>
  <commentList>
    <comment ref="B260" authorId="0">
      <text>
        <r>
          <rPr>
            <sz val="8"/>
            <rFont val="Tahoma"/>
            <family val="2"/>
          </rPr>
          <t>Some small stationary equipment may be able to go electric. These were chosen based on available electric options in Nov 2009. HP / Activity / LF taken from gasoline equipment, since it is generally smaller than equipment powered by other fuels.
CO2 efs are looked up from the state-wide table.</t>
        </r>
      </text>
    </comment>
    <comment ref="B301" authorId="0">
      <text>
        <r>
          <rPr>
            <sz val="8"/>
            <rFont val="Tahoma"/>
            <family val="2"/>
          </rPr>
          <t>hybrid rules of thumb:
* assume any diesel equip above 100 HP can go to hybrid
* hybrid reduces emissions by 25%.
Both rules based on research into current hybrid equip and future trends.</t>
        </r>
      </text>
    </comment>
    <comment ref="B43" authorId="0">
      <text>
        <r>
          <rPr>
            <sz val="8"/>
            <rFont val="Tahoma"/>
            <family val="2"/>
          </rPr>
          <t xml:space="preserve">
The NONROAD model does not contain data on rubber tired dozers. We assume that the average horsepower and load factor of rubber tired dozers are the same as those of rubber tired loaders.</t>
        </r>
      </text>
    </comment>
    <comment ref="M262" authorId="1">
      <text>
        <r>
          <rPr>
            <sz val="8"/>
            <rFont val="Tahoma"/>
            <family val="2"/>
          </rPr>
          <t xml:space="preserve">
Source: Subregional emission factors allocated to individual states. States covered by multiple subregions are calculated using a weighted average of households connected to each grid. Drawn from latest version of EPA SIT. Consumption basis - includes grid loss factors.</t>
        </r>
      </text>
    </comment>
    <comment ref="K57" authorId="2">
      <text>
        <r>
          <rPr>
            <sz val="8"/>
            <rFont val="Tahoma"/>
            <family val="2"/>
          </rPr>
          <t xml:space="preserve">Biofuel reduction factors calculated from GREET model, using all default options. Factors represent reduction per unit of energy output (e.g. per mile of travel). Factors account for reductions on a well to wheels (full lifecycle) basis.
</t>
        </r>
      </text>
    </comment>
  </commentList>
</comments>
</file>

<file path=xl/sharedStrings.xml><?xml version="1.0" encoding="utf-8"?>
<sst xmlns="http://schemas.openxmlformats.org/spreadsheetml/2006/main" count="3937" uniqueCount="921">
  <si>
    <t xml:space="preserve">Select appropriate mitigation strategies for </t>
  </si>
  <si>
    <t>each equipment type.</t>
  </si>
  <si>
    <t>Baseline: Activity by Equipment Type</t>
  </si>
  <si>
    <t>For each equipment category, specify engine type and equipment population. The most common engine types for each equipment</t>
  </si>
  <si>
    <t>type are provided as defaults. Specify hours of operation for each equipment type. For example, to analyze emissions over a period</t>
  </si>
  <si>
    <t xml:space="preserve">each equipment. (Load factor represent the average proportion of total engine power in use at any given time). </t>
  </si>
  <si>
    <t>The user may elect to use default average values for horsepower and load factor, sourced from EPA's NONROAD model. Default load</t>
  </si>
  <si>
    <t>factors represent averages over a full day's operation, including any periods of idling. Average load factors are a significant source</t>
  </si>
  <si>
    <t>of uncertainty.</t>
  </si>
  <si>
    <t>(GreenDOT)</t>
  </si>
  <si>
    <t>Summary</t>
  </si>
  <si>
    <t>Generator Sets</t>
  </si>
  <si>
    <t>Graders</t>
  </si>
  <si>
    <t>Rollers</t>
  </si>
  <si>
    <t>Rubber Tired Loaders</t>
  </si>
  <si>
    <t>Scrapers</t>
  </si>
  <si>
    <t>Tractors/Loaders/Backhoes</t>
  </si>
  <si>
    <t>Equipment Type</t>
  </si>
  <si>
    <t>LF</t>
  </si>
  <si>
    <t>Aerial Lifts</t>
  </si>
  <si>
    <t>Air Compressors</t>
  </si>
  <si>
    <t>Bore/Drill Rigs</t>
  </si>
  <si>
    <t>Cement and Mortar Mixers</t>
  </si>
  <si>
    <t>Concrete/Industrial Saws</t>
  </si>
  <si>
    <t>Cranes</t>
  </si>
  <si>
    <t>Crawler Tractors</t>
  </si>
  <si>
    <t>Crushing/Proc. Equipment</t>
  </si>
  <si>
    <t>Dumpers/Tenders</t>
  </si>
  <si>
    <t>Excavators</t>
  </si>
  <si>
    <t>Forklifts</t>
  </si>
  <si>
    <t>Off-Highway Tractors</t>
  </si>
  <si>
    <t>Off-Highway Trucks</t>
  </si>
  <si>
    <t>Other Construction Equipment</t>
  </si>
  <si>
    <t>Other Material Handling Equipment</t>
  </si>
  <si>
    <t>Pavers</t>
  </si>
  <si>
    <t>Paving Equipment</t>
  </si>
  <si>
    <t>Plate Compactors</t>
  </si>
  <si>
    <t>Pressure Washers</t>
  </si>
  <si>
    <t>Pumps</t>
  </si>
  <si>
    <t>Rough Terrain Forklifts</t>
  </si>
  <si>
    <t>Rubber Tired Dozers</t>
  </si>
  <si>
    <t>Signal Boards</t>
  </si>
  <si>
    <t>Skid Steer Loaders</t>
  </si>
  <si>
    <t>Surfacing Equipment</t>
  </si>
  <si>
    <t>Sweepers/Scrubbers</t>
  </si>
  <si>
    <t>Trenchers</t>
  </si>
  <si>
    <t>Welders</t>
  </si>
  <si>
    <t>Water Trucks</t>
  </si>
  <si>
    <t>Load Factor</t>
  </si>
  <si>
    <t>Pop</t>
  </si>
  <si>
    <t>SCC Code</t>
  </si>
  <si>
    <t>g/hp-hr</t>
  </si>
  <si>
    <t>Ave HP</t>
  </si>
  <si>
    <t>Other General Industrial Equipment</t>
  </si>
  <si>
    <t>hp</t>
  </si>
  <si>
    <t>none</t>
  </si>
  <si>
    <t>kg CO2</t>
  </si>
  <si>
    <t>Activity Yr</t>
  </si>
  <si>
    <t>hrs / yr</t>
  </si>
  <si>
    <t>Horsepower</t>
  </si>
  <si>
    <t>Fuel Type</t>
  </si>
  <si>
    <t>Diesel</t>
  </si>
  <si>
    <t>2-Stroke Gasoline</t>
  </si>
  <si>
    <t>4-Stroke Gasoline</t>
  </si>
  <si>
    <t>Weighted Gasoline</t>
  </si>
  <si>
    <t>Liquified Propane Gas</t>
  </si>
  <si>
    <t>Compressed Natural Gas</t>
  </si>
  <si>
    <r>
      <t>CO</t>
    </r>
    <r>
      <rPr>
        <sz val="8"/>
        <rFont val="Arial"/>
        <family val="2"/>
      </rPr>
      <t>2</t>
    </r>
    <r>
      <rPr>
        <sz val="8"/>
        <color indexed="8"/>
        <rFont val="Arial"/>
        <family val="2"/>
      </rPr>
      <t xml:space="preserve"> EF</t>
    </r>
  </si>
  <si>
    <t>Does it exist? Many equipment types are not available with a particular fuel</t>
  </si>
  <si>
    <t>LPG</t>
  </si>
  <si>
    <t>CNG</t>
  </si>
  <si>
    <t>0</t>
  </si>
  <si>
    <t>Fuel</t>
  </si>
  <si>
    <t>Range Name</t>
  </si>
  <si>
    <t>Gas 2-Stroke</t>
  </si>
  <si>
    <t>Gas 4-Stroke</t>
  </si>
  <si>
    <t>Gasoline (All)</t>
  </si>
  <si>
    <t>Gas2Str_Data</t>
  </si>
  <si>
    <t>Gas4Str_Data</t>
  </si>
  <si>
    <t>GasAve_Data</t>
  </si>
  <si>
    <t>Diesel_Data</t>
  </si>
  <si>
    <t>LPG_Data</t>
  </si>
  <si>
    <t>CNG_Data</t>
  </si>
  <si>
    <t>Hybrid</t>
  </si>
  <si>
    <t>Anti-idling</t>
  </si>
  <si>
    <t>B100</t>
  </si>
  <si>
    <t>Mitigation Factors</t>
  </si>
  <si>
    <t>Strategy</t>
  </si>
  <si>
    <t>% reduction</t>
  </si>
  <si>
    <t>B20</t>
  </si>
  <si>
    <t>E10 Corn</t>
  </si>
  <si>
    <t>E10 Cellulosic</t>
  </si>
  <si>
    <t>E85 Corn</t>
  </si>
  <si>
    <t>E85 Cellulosic</t>
  </si>
  <si>
    <t>Biofuel</t>
  </si>
  <si>
    <t>Baseline</t>
  </si>
  <si>
    <t>Mitigated</t>
  </si>
  <si>
    <t>Anti-Idling</t>
  </si>
  <si>
    <t>Yes</t>
  </si>
  <si>
    <t>No</t>
  </si>
  <si>
    <t>Electricity</t>
  </si>
  <si>
    <t>Electricity EF Info</t>
  </si>
  <si>
    <t>State</t>
  </si>
  <si>
    <t>EF</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</si>
  <si>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</si>
  <si>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</si>
  <si>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</si>
  <si>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</si>
  <si>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</si>
  <si>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</si>
  <si>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</si>
  <si>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</si>
  <si>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</si>
  <si>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</si>
  <si>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</si>
  <si>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</si>
  <si>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</si>
  <si>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</si>
  <si>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</si>
  <si>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</si>
  <si>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</si>
  <si>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</si>
  <si>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</si>
  <si>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</si>
  <si>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</si>
  <si>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</si>
  <si>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</si>
  <si>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</si>
  <si>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</si>
  <si>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</si>
  <si>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</si>
  <si>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</si>
  <si>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</si>
  <si>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</si>
  <si>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</si>
  <si>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</si>
  <si>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</si>
  <si>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</si>
  <si>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</si>
  <si>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</si>
  <si>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</si>
  <si>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</si>
  <si>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</si>
  <si>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</si>
  <si>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</si>
  <si>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</si>
  <si>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</si>
  <si>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</si>
  <si>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</si>
  <si>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</si>
  <si>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</si>
  <si>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</si>
  <si>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</si>
  <si>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</si>
  <si>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</si>
  <si>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</si>
  <si>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</si>
  <si>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</si>
  <si>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</si>
  <si>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</si>
  <si>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</si>
  <si>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</si>
  <si>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</si>
  <si>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</si>
  <si>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</si>
  <si>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</si>
  <si>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</si>
  <si>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</si>
  <si>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</si>
  <si>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</si>
  <si>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</si>
  <si>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</si>
  <si>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</si>
  <si>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</si>
  <si>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</si>
  <si>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</si>
  <si>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</si>
  <si>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</si>
  <si>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</si>
  <si>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</si>
  <si>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</si>
  <si>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</si>
  <si>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</si>
  <si>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</si>
  <si>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</si>
  <si>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</si>
  <si>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</si>
  <si>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</si>
  <si>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</si>
  <si>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</si>
  <si>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</si>
  <si>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</si>
  <si>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</si>
  <si>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</si>
  <si>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</si>
  <si>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</si>
  <si>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</si>
  <si>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</si>
  <si>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</si>
  <si>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</si>
  <si>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</si>
  <si>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</si>
  <si>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</si>
  <si>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</si>
  <si>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</si>
  <si>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</si>
  <si>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Abbrev</t>
  </si>
  <si>
    <t>gCO2/hphr</t>
  </si>
  <si>
    <t>convert to HP</t>
  </si>
  <si>
    <t>Elec_Data</t>
  </si>
  <si>
    <t>A list of Fuel Types and Biofuel Mitigations</t>
  </si>
  <si>
    <t>Diesel Hybrid</t>
  </si>
  <si>
    <t>Hybrid_Data</t>
  </si>
  <si>
    <t>Prev. Maint.</t>
  </si>
  <si>
    <t/>
  </si>
  <si>
    <t>Excel Range</t>
  </si>
  <si>
    <t>Conventional Baseline</t>
  </si>
  <si>
    <t>electricity (kw-hr)</t>
  </si>
  <si>
    <t>diesel</t>
  </si>
  <si>
    <t>gasoline</t>
  </si>
  <si>
    <t>g CO2 / unit</t>
  </si>
  <si>
    <t>g CO2 / gallon</t>
  </si>
  <si>
    <t>Scenario</t>
  </si>
  <si>
    <t>Units</t>
  </si>
  <si>
    <t>Unit</t>
  </si>
  <si>
    <t>Gallon</t>
  </si>
  <si>
    <t>KW-Hr</t>
  </si>
  <si>
    <t>N/A</t>
  </si>
  <si>
    <t>Anti-Idling Options</t>
  </si>
  <si>
    <t>per KW-hr!</t>
  </si>
  <si>
    <t>Conventional Baseline Emissions</t>
  </si>
  <si>
    <t>Total Conv. Base. Emissions</t>
  </si>
  <si>
    <t>Total</t>
  </si>
  <si>
    <t>Baseline Mitigations - Percentage Change</t>
  </si>
  <si>
    <t>Total %</t>
  </si>
  <si>
    <t>Mit. Emis. Kg</t>
  </si>
  <si>
    <t>Total Mitigated Baseline Emissions</t>
  </si>
  <si>
    <t>Gasoline</t>
  </si>
  <si>
    <t>Gasoline (all)</t>
  </si>
  <si>
    <t>Fuel List</t>
  </si>
  <si>
    <t>EF gCO2/hp-hr</t>
  </si>
  <si>
    <t>List of Fuels (cells are left justified)</t>
  </si>
  <si>
    <t>Biofuel Options</t>
  </si>
  <si>
    <t>Biofuel Range</t>
  </si>
  <si>
    <t>Anti-Idling Range</t>
  </si>
  <si>
    <t>Fuel Type &amp; Units</t>
  </si>
  <si>
    <t>Vehicle Type</t>
  </si>
  <si>
    <t>Car</t>
  </si>
  <si>
    <t>Gasoline (gal)</t>
  </si>
  <si>
    <t>Diesel (gal)</t>
  </si>
  <si>
    <t>Module Name</t>
  </si>
  <si>
    <t>On-Road</t>
  </si>
  <si>
    <t>Materials</t>
  </si>
  <si>
    <t>Electricity Module</t>
  </si>
  <si>
    <t>CO2 Emissions (Metric tons)</t>
  </si>
  <si>
    <t>Light Type</t>
  </si>
  <si>
    <t>Installed Wattage</t>
  </si>
  <si>
    <t>Lumens</t>
  </si>
  <si>
    <t>Hours of Operation</t>
  </si>
  <si>
    <t>High Pressure Sodium (HPS)</t>
  </si>
  <si>
    <t>Low Pressure Sodium (LPS)</t>
  </si>
  <si>
    <t>Mercury Vapor (MV)</t>
  </si>
  <si>
    <t>LED</t>
  </si>
  <si>
    <t>Other</t>
  </si>
  <si>
    <t>Traffic Signals</t>
  </si>
  <si>
    <t>No. of Intersections</t>
  </si>
  <si>
    <t>Intersection Type</t>
  </si>
  <si>
    <t>Bulb Size</t>
  </si>
  <si>
    <t>2-phase major/minor, no turn pockets</t>
  </si>
  <si>
    <t>8"</t>
  </si>
  <si>
    <t>5-phase major minor, 2 L-turn pockets</t>
  </si>
  <si>
    <t>8 phase major major, 4 L-turn pockets</t>
  </si>
  <si>
    <t>3-phase major/minor T, 2 L-turn pockets</t>
  </si>
  <si>
    <t>12"</t>
  </si>
  <si>
    <t>No. of Signal Heads</t>
  </si>
  <si>
    <t>Signal Head Type</t>
  </si>
  <si>
    <t>RaYaGa 12"</t>
  </si>
  <si>
    <t>Pedestrian Combo</t>
  </si>
  <si>
    <t>Bulb Type</t>
  </si>
  <si>
    <t>Red Ball 12"</t>
  </si>
  <si>
    <t>Amber Ball 12"</t>
  </si>
  <si>
    <t>Green Ball 12"</t>
  </si>
  <si>
    <t>Red Ball 8"</t>
  </si>
  <si>
    <t>Amber Ball 8"</t>
  </si>
  <si>
    <t>Green Ball 8"</t>
  </si>
  <si>
    <t>Red Arrow 12"</t>
  </si>
  <si>
    <t>Amber Arrow 12"</t>
  </si>
  <si>
    <t>Green Arrow 12"</t>
  </si>
  <si>
    <t>No. of Signs</t>
  </si>
  <si>
    <t>Incandescent</t>
  </si>
  <si>
    <t>Xenon</t>
  </si>
  <si>
    <t>Installed wattage</t>
  </si>
  <si>
    <t>Average operating power (%)</t>
  </si>
  <si>
    <t>Average hours operated per year</t>
  </si>
  <si>
    <t>Fans</t>
  </si>
  <si>
    <t>Global Tool Variables</t>
  </si>
  <si>
    <t>Enter Analysis Year</t>
  </si>
  <si>
    <t>Concrete Panels</t>
  </si>
  <si>
    <t>Metric Tons</t>
  </si>
  <si>
    <t>Baseline CO2 Emissions (metric tons)</t>
  </si>
  <si>
    <t>Virgin Aggregate</t>
  </si>
  <si>
    <t>Aggregate Substitutes</t>
  </si>
  <si>
    <t>Cement</t>
  </si>
  <si>
    <t>Steel</t>
  </si>
  <si>
    <t xml:space="preserve">  Foundry Sand</t>
  </si>
  <si>
    <t>Water</t>
  </si>
  <si>
    <t xml:space="preserve">  Blast Furnace Slag</t>
  </si>
  <si>
    <t xml:space="preserve">  Coal Bottom Ash</t>
  </si>
  <si>
    <t xml:space="preserve">  Glass Cullet</t>
  </si>
  <si>
    <t>Total Aggregate Substitutes</t>
  </si>
  <si>
    <t>Cement Substitutes</t>
  </si>
  <si>
    <t xml:space="preserve">  Coal Fly Ash</t>
  </si>
  <si>
    <t>Hot Mix Asphalt</t>
  </si>
  <si>
    <t>Bitumen</t>
  </si>
  <si>
    <t xml:space="preserve">  Recycled Tires/Crumb Rubber</t>
  </si>
  <si>
    <t>Bitumen Substitutes</t>
  </si>
  <si>
    <t>Finished Material</t>
  </si>
  <si>
    <t>Base Aggregate</t>
  </si>
  <si>
    <t>Material</t>
  </si>
  <si>
    <t>Aggregate</t>
  </si>
  <si>
    <t>Timber</t>
  </si>
  <si>
    <t>Creosote</t>
  </si>
  <si>
    <t>Soil</t>
  </si>
  <si>
    <t>Materials Module</t>
  </si>
  <si>
    <t>Off-Road Module</t>
  </si>
  <si>
    <t>Mitigation Strategies</t>
  </si>
  <si>
    <t>Choice</t>
  </si>
  <si>
    <t xml:space="preserve">Baseline  </t>
  </si>
  <si>
    <t xml:space="preserve">Mitigated  </t>
  </si>
  <si>
    <t>Electricity Consumption</t>
  </si>
  <si>
    <t>On-Road Module</t>
  </si>
  <si>
    <t>Primary Materials Emissions Factors</t>
  </si>
  <si>
    <t>Mixing Ratios</t>
  </si>
  <si>
    <t>Embodied Emissions</t>
  </si>
  <si>
    <t>User Override</t>
  </si>
  <si>
    <t>Final</t>
  </si>
  <si>
    <t>metric tons CO2 per metric ton material</t>
  </si>
  <si>
    <t>Primary Material</t>
  </si>
  <si>
    <t>Value</t>
  </si>
  <si>
    <t>Conventional</t>
  </si>
  <si>
    <t>lbs/cy in place</t>
  </si>
  <si>
    <t>Alternative</t>
  </si>
  <si>
    <t>RAP</t>
  </si>
  <si>
    <t>%</t>
  </si>
  <si>
    <t>RCM</t>
  </si>
  <si>
    <t>Foundry Sand</t>
  </si>
  <si>
    <t>Blast Furnace Slag</t>
  </si>
  <si>
    <t>Coal Bottom Ash</t>
  </si>
  <si>
    <t>Glass Cullet</t>
  </si>
  <si>
    <t>Lean Cement Aggregate</t>
  </si>
  <si>
    <t>Recycled Tires/Crumb Rubber</t>
  </si>
  <si>
    <t>Coal Fly Ash</t>
  </si>
  <si>
    <t>Materials Processing Emissions Factors</t>
  </si>
  <si>
    <t>Process</t>
  </si>
  <si>
    <t>Concrete Batch Plant</t>
  </si>
  <si>
    <t>Hot Mix Asphalt Batch Plant</t>
  </si>
  <si>
    <t>Source: PaLATE</t>
  </si>
  <si>
    <t>Electricity Factors</t>
  </si>
  <si>
    <t>Factor Name</t>
  </si>
  <si>
    <t>Factor</t>
  </si>
  <si>
    <t>Streetlight Average Ballast factor</t>
  </si>
  <si>
    <t>Street Lighting</t>
  </si>
  <si>
    <t>Description</t>
  </si>
  <si>
    <t>Make &amp; Model</t>
  </si>
  <si>
    <t>Ballast 
Factor</t>
  </si>
  <si>
    <t>Load
Factor (Percentage of Time Light is On)</t>
  </si>
  <si>
    <t>High-Pressure Sodium</t>
  </si>
  <si>
    <t>Source: http://onlinemanuals.txdot.gov/txdotmanuals/hwi/index.htm</t>
  </si>
  <si>
    <t>Source: manufacturer data sheets. http://actoneled.com/ledlighting/slb_classic.htm</t>
  </si>
  <si>
    <t>equipment models chosen from Caltrans Qualified Products List:</t>
  </si>
  <si>
    <t>http://www.dot.ca.gov/hq/traffops/elecsys/QPL.htm</t>
  </si>
  <si>
    <t>Source: Caltrans CMS specifications: http://www.dot.ca.gov/hq/traffops/elecsys/TEES.htm</t>
  </si>
  <si>
    <t>average</t>
  </si>
  <si>
    <t>Low-Pressure Sodium</t>
  </si>
  <si>
    <t>Mercury Vapor</t>
  </si>
  <si>
    <t>LED Streetlights</t>
  </si>
  <si>
    <t>LED 180 Watt</t>
  </si>
  <si>
    <t>Act One SL-180B</t>
  </si>
  <si>
    <t>LED 100 Watt</t>
  </si>
  <si>
    <t>Act One SL-100B</t>
  </si>
  <si>
    <t>LED 58 Watt</t>
  </si>
  <si>
    <t>Act One SL-550B</t>
  </si>
  <si>
    <t>LED 120 Watt</t>
  </si>
  <si>
    <t>Act One LS-120A</t>
  </si>
  <si>
    <t>LED 55 Watt</t>
  </si>
  <si>
    <t>Act One LS-55A</t>
  </si>
  <si>
    <t>LED Signals</t>
  </si>
  <si>
    <t>LED Red Ball 12"</t>
  </si>
  <si>
    <t>Act One T1-12R-4</t>
  </si>
  <si>
    <t>LED Amber Ball 12"</t>
  </si>
  <si>
    <t>Act One T1-12A-1</t>
  </si>
  <si>
    <t>LED Green Ball 12"</t>
  </si>
  <si>
    <t>Act One T1-12G-1</t>
  </si>
  <si>
    <t>LED Red Ball 8"</t>
  </si>
  <si>
    <t>Act One T1-08R-4</t>
  </si>
  <si>
    <t>LED Amber Ball 8"</t>
  </si>
  <si>
    <t>Act One T1-08A-4</t>
  </si>
  <si>
    <t>LED Green Ball 8"</t>
  </si>
  <si>
    <t>Act One T1-08G-4</t>
  </si>
  <si>
    <t>LED Pedestrian Combo</t>
  </si>
  <si>
    <t>Act One TP-14WP-1</t>
  </si>
  <si>
    <t>LED Red Arrow 12"</t>
  </si>
  <si>
    <t>Act One TA-12R-4</t>
  </si>
  <si>
    <t>LED Amber Arrow 12"</t>
  </si>
  <si>
    <t>Act One TA-12A-4</t>
  </si>
  <si>
    <t>LED Green Arrow 12"</t>
  </si>
  <si>
    <t>Act One TA-12G-4</t>
  </si>
  <si>
    <t>Intersection definitions</t>
  </si>
  <si>
    <t>source: Caltrans MUTCD Page 4d-39 et. seq</t>
  </si>
  <si>
    <t>name</t>
  </si>
  <si>
    <t>description</t>
  </si>
  <si>
    <t>RYG</t>
  </si>
  <si>
    <t>RaYaGa</t>
  </si>
  <si>
    <t>Ped</t>
  </si>
  <si>
    <t>Type 1</t>
  </si>
  <si>
    <t>Type 2</t>
  </si>
  <si>
    <t>Type 3</t>
  </si>
  <si>
    <t>Type 4</t>
  </si>
  <si>
    <t>Annual kw-hr</t>
  </si>
  <si>
    <t>Per bulb:</t>
  </si>
  <si>
    <t xml:space="preserve">Inc. </t>
  </si>
  <si>
    <t>Arrow 12" average</t>
  </si>
  <si>
    <t>Per Signal Head (RYG)</t>
  </si>
  <si>
    <t>8 inch</t>
  </si>
  <si>
    <t>12 inch</t>
  </si>
  <si>
    <t>Per Typical Intersection</t>
  </si>
  <si>
    <t>Type 1 8"</t>
  </si>
  <si>
    <t>Type 2 8"</t>
  </si>
  <si>
    <t>Type 3 8"</t>
  </si>
  <si>
    <t>Type 4 8"</t>
  </si>
  <si>
    <t>Type 1 12"</t>
  </si>
  <si>
    <t>Type 2 12"</t>
  </si>
  <si>
    <t>Type 3 12"</t>
  </si>
  <si>
    <t>Type 4 12"</t>
  </si>
  <si>
    <t>Changeable Message Signs / Extinguishable Message Signs</t>
  </si>
  <si>
    <t>Pixel (bulb)</t>
  </si>
  <si>
    <t>PMM</t>
  </si>
  <si>
    <t>big sign (60 PMMs)</t>
  </si>
  <si>
    <t>small sign (30 PMMs)</t>
  </si>
  <si>
    <t xml:space="preserve">Xenon </t>
  </si>
  <si>
    <t xml:space="preserve">LED </t>
  </si>
  <si>
    <t>Pixel</t>
  </si>
  <si>
    <t>Inc.</t>
  </si>
  <si>
    <t>Per pixel:</t>
  </si>
  <si>
    <t>Per PMM:</t>
  </si>
  <si>
    <t>Per small sign</t>
  </si>
  <si>
    <t>Per large sign</t>
  </si>
  <si>
    <r>
      <t xml:space="preserve">Power
</t>
    </r>
    <r>
      <rPr>
        <i/>
        <sz val="10"/>
        <rFont val="Arial"/>
        <family val="2"/>
      </rPr>
      <t>Watts</t>
    </r>
  </si>
  <si>
    <r>
      <t xml:space="preserve">Brightness </t>
    </r>
    <r>
      <rPr>
        <i/>
        <sz val="10"/>
        <rFont val="Arial"/>
        <family val="2"/>
      </rPr>
      <t>Lumens</t>
    </r>
    <r>
      <rPr>
        <b/>
        <sz val="10"/>
        <rFont val="Arial"/>
        <family val="2"/>
      </rPr>
      <t xml:space="preserve"> </t>
    </r>
  </si>
  <si>
    <r>
      <t xml:space="preserve">Efficiency
</t>
    </r>
    <r>
      <rPr>
        <i/>
        <sz val="10"/>
        <rFont val="Arial"/>
        <family val="2"/>
      </rPr>
      <t>lumens/watt</t>
    </r>
  </si>
  <si>
    <r>
      <t xml:space="preserve">Energy Cons
</t>
    </r>
    <r>
      <rPr>
        <i/>
        <sz val="10"/>
        <rFont val="Arial"/>
        <family val="2"/>
      </rPr>
      <t>kw-hr/year</t>
    </r>
  </si>
  <si>
    <r>
      <t xml:space="preserve">Per-lumen energy cons.
</t>
    </r>
    <r>
      <rPr>
        <i/>
        <sz val="10"/>
        <rFont val="Arial"/>
        <family val="2"/>
      </rPr>
      <t>kWh/lumen/yr</t>
    </r>
  </si>
  <si>
    <t>lbs/kg</t>
  </si>
  <si>
    <t>short tons/metric tonne</t>
  </si>
  <si>
    <t>lbs/metric tonne</t>
  </si>
  <si>
    <t>Total Cement Substitutes</t>
  </si>
  <si>
    <t>Conventional component materials autopopulate based on assumed</t>
  </si>
  <si>
    <t>mixing ratios.</t>
  </si>
  <si>
    <t>Mitigated CO2 Emissions (metric tons)</t>
  </si>
  <si>
    <t>Total Bitumen Substitutes</t>
  </si>
  <si>
    <t>Baseline Scenario</t>
  </si>
  <si>
    <t>Mitigated Scenario</t>
  </si>
  <si>
    <t>Percentage</t>
  </si>
  <si>
    <t>Mitigation % by Strategy</t>
  </si>
  <si>
    <t xml:space="preserve">Source </t>
  </si>
  <si>
    <t xml:space="preserve">CO2 </t>
  </si>
  <si>
    <t xml:space="preserve">Electricity </t>
  </si>
  <si>
    <t xml:space="preserve">Natural Gas </t>
  </si>
  <si>
    <t xml:space="preserve">53.06 kg/MMBtU </t>
  </si>
  <si>
    <t xml:space="preserve">Gasoline ] passenger vehicles </t>
  </si>
  <si>
    <t xml:space="preserve">8.81 kg/gal </t>
  </si>
  <si>
    <t xml:space="preserve">Gasoline ] construction equipment </t>
  </si>
  <si>
    <t xml:space="preserve">Diesel ] construction equipment </t>
  </si>
  <si>
    <t xml:space="preserve">10.15 kg/gal </t>
  </si>
  <si>
    <t xml:space="preserve">Propane </t>
  </si>
  <si>
    <t xml:space="preserve">5.74 kg/gal </t>
  </si>
  <si>
    <t xml:space="preserve">Diesel ] ships </t>
  </si>
  <si>
    <t xml:space="preserve">Oil </t>
  </si>
  <si>
    <t xml:space="preserve">Diesel for facilities </t>
  </si>
  <si>
    <t>CNG (1000 cf)</t>
  </si>
  <si>
    <t>1000 cf</t>
  </si>
  <si>
    <t>EF kg CO2/gal</t>
  </si>
  <si>
    <t>total kg CO2</t>
  </si>
  <si>
    <t>Fuel CO2 Emission Factors From EPA</t>
  </si>
  <si>
    <t>Mit total CO2 kg</t>
  </si>
  <si>
    <t>Use Defaults?</t>
  </si>
  <si>
    <t>Average Distance Hauled</t>
  </si>
  <si>
    <t>miles</t>
  </si>
  <si>
    <t>Tons</t>
  </si>
  <si>
    <t>VMT</t>
  </si>
  <si>
    <t>Calendar Year</t>
  </si>
  <si>
    <t>Fuel type</t>
  </si>
  <si>
    <t>LD Truck</t>
  </si>
  <si>
    <t>MD Truck</t>
  </si>
  <si>
    <t>HD Truck</t>
  </si>
  <si>
    <t>Calendar Year Efficiency Formulas</t>
  </si>
  <si>
    <t>CNG (thousand cf)</t>
  </si>
  <si>
    <t>Conventional Gasoline</t>
  </si>
  <si>
    <t>Gas/ethanol FFV</t>
  </si>
  <si>
    <t>Gas-Electric Hybrid</t>
  </si>
  <si>
    <t>Gas-electric hybrid (plug-in)</t>
  </si>
  <si>
    <t>Conventional Diesel</t>
  </si>
  <si>
    <t>Diesel-Electric Hybrid</t>
  </si>
  <si>
    <t>n/a</t>
  </si>
  <si>
    <t>Diesel-Electric Hybrid (plug-in)</t>
  </si>
  <si>
    <t>Electric</t>
  </si>
  <si>
    <t>Weighted Model Year Efficiency Formulas</t>
  </si>
  <si>
    <t>Number</t>
  </si>
  <si>
    <t>Name</t>
  </si>
  <si>
    <t>Index</t>
  </si>
  <si>
    <t>Vehicle Fuel Economy (gasoline gallon equivalents) - Mitigated</t>
  </si>
  <si>
    <t>Fuel Consumption (gasoline gallon equivalents) - Baseline</t>
  </si>
  <si>
    <t>PHEV Electricity Share</t>
  </si>
  <si>
    <t>Fuel Consumption (gasoline gallon equivalents) - Mitigated</t>
  </si>
  <si>
    <t>Electricity (kWh)</t>
  </si>
  <si>
    <t>E10 (corn feedstock)</t>
  </si>
  <si>
    <t>E10 (cellulosic feedstock)</t>
  </si>
  <si>
    <t>E85 (corn feedstock)</t>
  </si>
  <si>
    <t>E85 (cellulosic feedstock)</t>
  </si>
  <si>
    <t>Gasoline Gallon Equivalent (GGE) Table</t>
  </si>
  <si>
    <t>Unit of Measure</t>
  </si>
  <si>
    <t>BTUs Per Unit</t>
  </si>
  <si>
    <t>Gallon Equivalent</t>
  </si>
  <si>
    <t>Gasoline, regular unleaded, (typical)</t>
  </si>
  <si>
    <t>gallon</t>
  </si>
  <si>
    <t>Gasoline, RFG, (10% MBTE)</t>
  </si>
  <si>
    <t>Diesel, (typical)</t>
  </si>
  <si>
    <t>Liquid natural gas (LNG), (typical)</t>
  </si>
  <si>
    <t>Compressed natural gas (CNG), (typical)</t>
  </si>
  <si>
    <t>cubic foot</t>
  </si>
  <si>
    <t>Liquefied petroleum gas (LPG or propane)</t>
  </si>
  <si>
    <t>Methanol (M-100)</t>
  </si>
  <si>
    <t>Methanol (M-85)</t>
  </si>
  <si>
    <t>Ethanol (M-100)</t>
  </si>
  <si>
    <t>Ethanol (E-85)</t>
  </si>
  <si>
    <t>Bio Diesel (B-20)</t>
  </si>
  <si>
    <t>kilowatt hour</t>
  </si>
  <si>
    <t>1. Note: BTU value of gases is based on density at one atmosphere at 60 degrees Fahrenheit.</t>
  </si>
  <si>
    <t>2. Sources:</t>
  </si>
  <si>
    <t>a. Diesel Fuels Technical Review, Chevron (FTR-2)</t>
  </si>
  <si>
    <t>b. North American Combustion Handbook, 3rd Edition</t>
  </si>
  <si>
    <t>c. Automotive Fuels Handbook, SAE</t>
  </si>
  <si>
    <t>d. Natural gas BTU values are from a Natural Gas Vehicle Coalition Energy Conversion Chart</t>
  </si>
  <si>
    <t>Source: http://www.nafa.org/Content/NavigationMenu/Resource_Center/Alternative_Fuels/Energy_Equivalents/Energy_Equivalents.htm</t>
  </si>
  <si>
    <t>Strategies to Reduce Fuel Consumption and Improve Fuel Economy in Cars and Trucks</t>
  </si>
  <si>
    <t>Anti-idling Strategies</t>
  </si>
  <si>
    <t>Per vehicle daily hours of idling reduced</t>
  </si>
  <si>
    <t>No. of Vehicles Affected</t>
  </si>
  <si>
    <t>Fuel Savings (gge)</t>
  </si>
  <si>
    <t>Fuel efficient tires</t>
  </si>
  <si>
    <t>Improvement in Fuel Economy</t>
  </si>
  <si>
    <t>Fuel Consumption Factor</t>
  </si>
  <si>
    <t>Tire inflation</t>
  </si>
  <si>
    <t>Eco-driving behavior</t>
  </si>
  <si>
    <t>Aerodynamic Improvements</t>
  </si>
  <si>
    <t>See EPA FLEET model for guidance on which specific technologies can improve fuel economy</t>
  </si>
  <si>
    <t>Maintenance (oil/lubes)</t>
  </si>
  <si>
    <t>Average Improvement in Fuel Economy (All Strategies)</t>
  </si>
  <si>
    <t>Model Year Vehicle MPG values</t>
  </si>
  <si>
    <t>Vehicle Class</t>
  </si>
  <si>
    <t>Vehicle Inventory</t>
  </si>
  <si>
    <t>Fuel-Efficient Tires</t>
  </si>
  <si>
    <t>Tire Inflation</t>
  </si>
  <si>
    <t>Eco-Driving Behavior</t>
  </si>
  <si>
    <t>Maintenance (Oil / Lubes)</t>
  </si>
  <si>
    <t>All mitigations but Anti-Idling applied</t>
  </si>
  <si>
    <t>Percent</t>
  </si>
  <si>
    <t>Gasoline options</t>
  </si>
  <si>
    <t>Diesel options</t>
  </si>
  <si>
    <t>Options for calculating fuel economy:</t>
  </si>
  <si>
    <t>Engine Type</t>
  </si>
  <si>
    <t>Preventative Maint.</t>
  </si>
  <si>
    <t>Mitigation Strategies. Which strategies are used?</t>
  </si>
  <si>
    <t>Total used in Calculations</t>
  </si>
  <si>
    <t>Total Base</t>
  </si>
  <si>
    <t>Efs</t>
  </si>
  <si>
    <t>Gasoline weighted</t>
  </si>
  <si>
    <t>Diesel weighted</t>
  </si>
  <si>
    <t>units: kg co2 / gallon</t>
  </si>
  <si>
    <t>percentages</t>
  </si>
  <si>
    <t>Total Mit</t>
  </si>
  <si>
    <t>Total fuel</t>
  </si>
  <si>
    <t>(gal or other unit)</t>
  </si>
  <si>
    <t>Emissions KG</t>
  </si>
  <si>
    <t>Weighted Efs</t>
  </si>
  <si>
    <t>total baseline emissions (MT CO2)</t>
  </si>
  <si>
    <t>mitigated emissions = fuel consumption * mitigated (biofuel-influenced) Efs * (1-mit strategy effectivenss)</t>
  </si>
  <si>
    <t>fuel cons</t>
  </si>
  <si>
    <t>Mitigated Baseline</t>
  </si>
  <si>
    <t>mit g CO2 / unit</t>
  </si>
  <si>
    <t>this looks up the EF for this equip.</t>
  </si>
  <si>
    <t>these look up the benefit factors for all mitigations</t>
  </si>
  <si>
    <t>Total Conv. Base. Emissions (kg CO2)</t>
  </si>
  <si>
    <t>Mitigations - Percentage Change</t>
  </si>
  <si>
    <t>Emissions w/ Mit (kg)</t>
  </si>
  <si>
    <t>unit = 1000 cf</t>
  </si>
  <si>
    <t>total mitigated emissions (kg CO2)</t>
  </si>
  <si>
    <t>Fuel Units</t>
  </si>
  <si>
    <t>Go Back</t>
  </si>
  <si>
    <t>Tier I: Off-Road CO2 Emissions (kg)</t>
  </si>
  <si>
    <t>Tier 1.5: Off-Road CO2 Emissions (kg)</t>
  </si>
  <si>
    <t>Tier 2: Off-Road CO2 Emissions (kg)</t>
  </si>
  <si>
    <t>Off-Road</t>
  </si>
  <si>
    <t>Tier 1 On-Road CO2 Emissions (kg)</t>
  </si>
  <si>
    <t>Greenhouse Gas Calculator for State Departments of Transportation</t>
  </si>
  <si>
    <t>Results: Total CO2 Emissions (kg)</t>
  </si>
  <si>
    <t>GreenDOT calculates carbon dioxide (CO2) emissions from the operations, construction, and maintenance activities of state Deparments of Transportation (DOTs).</t>
  </si>
  <si>
    <t>The tool consists of four modules, which calculate emissions from on-road vehicles, off-road equipment, electricity used in transportation facilities, and construction</t>
  </si>
  <si>
    <t>Project Name</t>
  </si>
  <si>
    <t>Detailed Instructions</t>
  </si>
  <si>
    <t>on how to use GreenDOT most effectively are provided below.</t>
  </si>
  <si>
    <t>materials. This sheet is both the starting point for entering information and navigating the tool and the ending point for viewing calculation results. Detailed instructions</t>
  </si>
  <si>
    <t>Getting Started</t>
  </si>
  <si>
    <t>The table below provides emissions results for each module. The user can calculate emissions using any or all modules. Begin entering data by navigating to the</t>
  </si>
  <si>
    <t>Key to Cell Colors</t>
  </si>
  <si>
    <t>Required Input Cell</t>
  </si>
  <si>
    <t>Default values are provided. The user should modify these cells if more accurate data is available.</t>
  </si>
  <si>
    <t>Do not modify these cells. They are part of the tool's calculation structure.</t>
  </si>
  <si>
    <t>Most modules provide the user with a choice of input options. Once the type of input has been selected, the user is presented with a series of input steps.</t>
  </si>
  <si>
    <t>At each step, yellow cells require input from the user. White cells should not be modified. Orange cells contain default values that can be modified at the</t>
  </si>
  <si>
    <t>discretion of the user. The table below provides a key to cell colors.</t>
  </si>
  <si>
    <t>cases, we suggest conducting multiple model runs to compare the impact of strategies. Further instructions on this topic are provided in individual modules.</t>
  </si>
  <si>
    <t>Results: On-Road CO2 Emissions (kg)</t>
  </si>
  <si>
    <t>Select calculation method:</t>
  </si>
  <si>
    <t>Medium Duty Truck</t>
  </si>
  <si>
    <t>Heavy Duty Truck</t>
  </si>
  <si>
    <t>CNG (thousand cubic feet)</t>
  </si>
  <si>
    <t>Gasoline (gallons)</t>
  </si>
  <si>
    <t>Diesel (gallons)</t>
  </si>
  <si>
    <t>Results: Off-Road CO2 Emissions (kg)</t>
  </si>
  <si>
    <t>Results: Electricity CO2 Emissions (kg)</t>
  </si>
  <si>
    <t>Results: Materials CO2 Emissions (kg)</t>
  </si>
  <si>
    <t>Modifiable Default/Optional Input</t>
  </si>
  <si>
    <t>Convert fuel usage into CO2 using fuel-based Efs. EF unit = g CO2 / gal (or other unit)</t>
  </si>
  <si>
    <t>Enter total volume of fuel used for the fleet and time period analyzed. For example, enter total fuel used in one calendar year.</t>
  </si>
  <si>
    <t>Mitigation: Biofuels</t>
  </si>
  <si>
    <t>Ethanol E10 (corn feedstock)</t>
  </si>
  <si>
    <t>Ethanol E10 (cellulosic feedstock)</t>
  </si>
  <si>
    <t>Ethanol E85 (corn feedstock)</t>
  </si>
  <si>
    <t>Ethanol E85 (cellulosic feedstock)</t>
  </si>
  <si>
    <t>Biodiesel B20</t>
  </si>
  <si>
    <t>Biodiesel B100</t>
  </si>
  <si>
    <t>Enter percentages of biofuels substituted for conventional gasoline and diesel. For example, if 10% of diesel fuel is replaced by B20, enter 10% Biodiesel B20.</t>
  </si>
  <si>
    <t>from the full lifecycle of biofuels (well to wheels basis).</t>
  </si>
  <si>
    <t>Baseline: Fuel Consumption</t>
  </si>
  <si>
    <t>Baseline: VMT</t>
  </si>
  <si>
    <t>Light Duty Truck (Van, Pickup, SUV)</t>
  </si>
  <si>
    <t>Gas/Ethanol Flex-Fuel Vehicle</t>
  </si>
  <si>
    <t>Gas-Electric Plug-in Hybrid</t>
  </si>
  <si>
    <t>Diesel-Electric Plug-in Hybrid</t>
  </si>
  <si>
    <t>Engine/Fuel Type</t>
  </si>
  <si>
    <t>For each vehicle and engine category, enter total VMT for the time period analyzed. For example, enter total VMT in conventional gasoline cars associated with a specific project.</t>
  </si>
  <si>
    <t>Enter average fuel economy in miles per gallon of gasoline equivalent for each vehicle and engine category. Two options are provided to assist the user in estimating average</t>
  </si>
  <si>
    <t>Estimate Average MPG By Vehicle Age Distribution</t>
  </si>
  <si>
    <t>Passenger Cars: Population by Model Year</t>
  </si>
  <si>
    <t>Light Trucks: Population by Model Year</t>
  </si>
  <si>
    <t>Model Year:</t>
  </si>
  <si>
    <t>Enter vehicle populations by model year. Click "Update Model Year MPGs" to return to the On Road Module.</t>
  </si>
  <si>
    <t>Baseline: Fuel Economy in Gasoline Gallons Equivalent (GGE)</t>
  </si>
  <si>
    <t>Idling Fuel Consumption (gge per hour)</t>
  </si>
  <si>
    <t>Total Fuel Consumption by fuel type (Baseline)</t>
  </si>
  <si>
    <t>Mitigation: Improving Fuel Economy of Existing Vehicles</t>
  </si>
  <si>
    <t>CO2 Emissions</t>
  </si>
  <si>
    <t>per 1000 cu. Ft.</t>
  </si>
  <si>
    <t>Fuel Consumption w/ Anti-idling (gge) and Fuel Economy Improvements</t>
  </si>
  <si>
    <t>Total Fuel Consumption by fuel type w/ Anti-idling and Fuel Economy Improvements</t>
  </si>
  <si>
    <t>Baseline CO2 Emissions</t>
  </si>
  <si>
    <t>Mitigated CO2 Emissions (Anti-Idling, Fuel Economy Improvements, Biofuels)</t>
  </si>
  <si>
    <t>GreenDOT is designed to calculate emissions for geographical areas ranging from a single project to an entire state, and over time periods ranging from one day to</t>
  </si>
  <si>
    <t>several years. The two most likely uses of the tool are:</t>
  </si>
  <si>
    <t xml:space="preserve">   1) Calculate annual agency-wide emissions</t>
  </si>
  <si>
    <t>Average Reduction</t>
  </si>
  <si>
    <t>Gallons of Fuel Saved</t>
  </si>
  <si>
    <t>Impact</t>
  </si>
  <si>
    <t>Aerodynamic Improvements (MDV/HDV only)</t>
  </si>
  <si>
    <t>Average Improvement in Fuel Economy</t>
  </si>
  <si>
    <t>fuel economy. First, the user can insert values that represent national average fuel economy for the calendar year supplied on the Title Page. (These values are initially provided</t>
  </si>
  <si>
    <t>be used estimate the impact of fleet renewal strategies on CO2 emissions. Note that changes to vehicle fuel economy in this table are reflected in the baseline.</t>
  </si>
  <si>
    <t>(Values in red)</t>
  </si>
  <si>
    <t>(Values in blue)</t>
  </si>
  <si>
    <t>No. of Days Strategy in Place</t>
  </si>
  <si>
    <t>Results/Calculations/Other (Do Not Modify)</t>
  </si>
  <si>
    <t>Results/Calculations/Other</t>
  </si>
  <si>
    <t>Light Duty Truck</t>
  </si>
  <si>
    <t>supporting sheets to view assumptions and modify default values as appropriate. Navigation buttons are provided at the relevant points in each module.</t>
  </si>
  <si>
    <t>Each module consists of one primary input sheet and one or more supporting sheets that contain background data and calculations. The user can navigate to the</t>
  </si>
  <si>
    <t>Recycled Asphalt Pavement (RAP)</t>
  </si>
  <si>
    <t>Recycled Concrete Material (RCM)</t>
  </si>
  <si>
    <t>Vehicle / fuel options marked n/a are not available for calculation. To help users estimate VMT associated with hauling of materials, a supporting calculator is provided.</t>
  </si>
  <si>
    <t>Materials Hauling</t>
  </si>
  <si>
    <t>metric tons</t>
  </si>
  <si>
    <t>Avg. Truck Capacity</t>
  </si>
  <si>
    <t>VMT from Materials Hauling</t>
  </si>
  <si>
    <t>Volumes of materials are drawn from the Materials Module. Enter average hauling distance in miles and average truck capacity in metric tons for each material. VMT associated with materials calculates below.</t>
  </si>
  <si>
    <t>Note: The user is responsible for entering total VMT calculated in the appropriate heavy duty truck category in the On Road Module. The value does not autopopulate in the On Road Module.</t>
  </si>
  <si>
    <t>Street Lights: Baseline Scenario</t>
  </si>
  <si>
    <t>Street Lights: Mitigated Scenario</t>
  </si>
  <si>
    <t>Enter installed wattage (number of lamps x average wattage) for each lamp type. Enter</t>
  </si>
  <si>
    <t xml:space="preserve">Estimate the impacts of selected strategies using the button to the right. Default values for all </t>
  </si>
  <si>
    <t>strategies are zero.</t>
  </si>
  <si>
    <t>number of hours of operation. Default hours provided represent operation for 12 hours</t>
  </si>
  <si>
    <t>Traffic Signal Totals</t>
  </si>
  <si>
    <t>Traffic Signals: Choose Input Method</t>
  </si>
  <si>
    <t>Electricity used in traffic signals can be estimated in three ways. Choose one.</t>
  </si>
  <si>
    <t>Incan.</t>
  </si>
  <si>
    <t>Traffic Signals by Intersection Type: Baseline Scenario</t>
  </si>
  <si>
    <t>Traffic Signals by Intersection Type: Mitigated Scenario</t>
  </si>
  <si>
    <t>Enter number of intersections using incandescent (Incan.) and LED bulbs for each</t>
  </si>
  <si>
    <t>combination of intersection type and bulb size.</t>
  </si>
  <si>
    <t>Traffic Signals by Signal Head Type: Baseline Scenario</t>
  </si>
  <si>
    <t>Signal Head Totals</t>
  </si>
  <si>
    <t>Traffic Signals by Signal Head Type: Mitigated Scenario</t>
  </si>
  <si>
    <t>Red-Yellow-Green (RYG) 8"</t>
  </si>
  <si>
    <t>Red-Yellow-Green (RYG) 12"</t>
  </si>
  <si>
    <t>Enter number of incandescent (Incan.) and LED signal heads for each signal</t>
  </si>
  <si>
    <t>head type.</t>
  </si>
  <si>
    <t>Red arrow-Yellow arrow-Green arrow (RaYaGa) 12"</t>
  </si>
  <si>
    <t>Traffic Signals by Lamp Type: Baseline Scenario</t>
  </si>
  <si>
    <t>Yellow Ball 12"</t>
  </si>
  <si>
    <t>Yellow Ball 8"</t>
  </si>
  <si>
    <t>Yellow Arrow 12"</t>
  </si>
  <si>
    <t>Enter number of incandescent (Incan.) and LED lamps for each bulb type.</t>
  </si>
  <si>
    <t>Traffic Signals by Lamp Type: Mitigated Scenario</t>
  </si>
  <si>
    <t>Changeable Message Signs: Baseline Scenario</t>
  </si>
  <si>
    <t>Small signs (display 6.9' x 3.6')</t>
  </si>
  <si>
    <t>Large signs (display 13.8' x 3.6')</t>
  </si>
  <si>
    <t>Changeable Message Signs: Mitigated Scenario</t>
  </si>
  <si>
    <t>Miscellaneous Appliances: Baseline Scenario</t>
  </si>
  <si>
    <t>day, 365 days a year.</t>
  </si>
  <si>
    <t>year for all fans and pumps. Default hours provided represent operation for 12 hours a</t>
  </si>
  <si>
    <t>Enter installed wattage, average operating power, and number of hours operated per</t>
  </si>
  <si>
    <t>Miscellaneous Appliances: Mitigated Scenario</t>
  </si>
  <si>
    <t>Other Raw Materials</t>
  </si>
  <si>
    <t>Recycled Component CO2 Emissions (metric tons)</t>
  </si>
  <si>
    <t>Pavement Layers</t>
  </si>
  <si>
    <t>Concrete Panels: Baseline</t>
  </si>
  <si>
    <t xml:space="preserve">Enter total amount of concrete panels in metric tons. </t>
  </si>
  <si>
    <t>assumed mixing ratios.</t>
  </si>
  <si>
    <t>Conventional component materials autopopulate based on</t>
  </si>
  <si>
    <t>Conventional component materials</t>
  </si>
  <si>
    <t>Concrete Panels: Mitigated</t>
  </si>
  <si>
    <t>Enter any materials substituted for aggregate and cement. Total substituted</t>
  </si>
  <si>
    <t>volumes should not exceed corresponding volumes of conventional</t>
  </si>
  <si>
    <t>materials.</t>
  </si>
  <si>
    <t>Asphalt: Baseline</t>
  </si>
  <si>
    <t>Substitute Raw Materials</t>
  </si>
  <si>
    <t>Finished Materials</t>
  </si>
  <si>
    <t>Asphalt</t>
  </si>
  <si>
    <t>Enter total amount of asphalt in metric tons. Conventional</t>
  </si>
  <si>
    <t>component materials autopopulate based on assumed</t>
  </si>
  <si>
    <t>Enter any materials substituted for aggregate and bitumen. Total substituted</t>
  </si>
  <si>
    <t>Cement Treated Aggregate: Baseline</t>
  </si>
  <si>
    <t>Asphalt: Mitigated</t>
  </si>
  <si>
    <t>Cement Treated Agg</t>
  </si>
  <si>
    <t>Enter total amount of cement treated aggregate in metric tons.</t>
  </si>
  <si>
    <t>Cement Treated Aggregate: Mitigated</t>
  </si>
  <si>
    <t xml:space="preserve">  Recycled Asphalt Pavement (RAP)</t>
  </si>
  <si>
    <t xml:space="preserve">  Recycled Concrete Material (RCM)</t>
  </si>
  <si>
    <t>Enter total amount of base aggregate in metric tons. Conventional</t>
  </si>
  <si>
    <t>materials autopopulate based on assumed mixing ratios.</t>
  </si>
  <si>
    <t>Base Aggregate: Baseline</t>
  </si>
  <si>
    <t>Base Aggregate: Mitigated</t>
  </si>
  <si>
    <t>Enter any materials substituted for aggregate. Total substituted volumes</t>
  </si>
  <si>
    <t>should not exceed corresponding volumes of conventional materials.</t>
  </si>
  <si>
    <t>Enter any additional raw materials used in infrastructure. No substitute materials are provided. Emissions from</t>
  </si>
  <si>
    <t>Raw Material</t>
  </si>
  <si>
    <t>materials entered here will appear in both the baseline and mitigated totals. Note that any emissions produced</t>
  </si>
  <si>
    <t>in manufacturing finished materials from these raw materials are not included.</t>
  </si>
  <si>
    <t>Select Calculation Method:</t>
  </si>
  <si>
    <t>Enter total volume of fuel used for each equipment type for the time period analyzed. Select the</t>
  </si>
  <si>
    <t>engine type for each equipment type. The most common engine types are provided as defaults.</t>
  </si>
  <si>
    <t>Fuel Consumption</t>
  </si>
  <si>
    <t>Mitigation: Biofuels, Anti-Idling, Preventative Maintenance</t>
  </si>
  <si>
    <t>Select appropriate mitigation strategies for each equipment type.</t>
  </si>
  <si>
    <t>Hours of Operation per Equipment</t>
  </si>
  <si>
    <t>Biofuels</t>
  </si>
  <si>
    <t>Mitigation: Biofuels, Anti-Idling, Preventative</t>
  </si>
  <si>
    <t>Maintenance</t>
  </si>
  <si>
    <t>Equipment Population</t>
  </si>
  <si>
    <t>Defaults:</t>
  </si>
  <si>
    <t xml:space="preserve">   2) Calculate emissions related to a specific project, covering a period of days or years</t>
  </si>
  <si>
    <t>removed "gaoline (all)"</t>
  </si>
  <si>
    <t>Equipment, Fuel, and Activity Data (Source: EPA NONROAD)</t>
  </si>
  <si>
    <t>types of strategies, including strategies that reduce vehicle activity or change vehicle types, will be reflected directly in the baseline values. In these</t>
  </si>
  <si>
    <t>Note: Factors include raw material extraction, transporation, and production (cradle to</t>
  </si>
  <si>
    <t>gate)</t>
  </si>
  <si>
    <t>per day, 365 days per year.  Do not enter lamps powered by solar/renewable energy.</t>
  </si>
  <si>
    <t>signs powered by solar/renewable energy.</t>
  </si>
  <si>
    <t>Enter number of incandescent (Incan.), Xenon, and LED signs of each size. Do not enter</t>
  </si>
  <si>
    <t>gCO2/kWh</t>
  </si>
  <si>
    <t>Note: The tool credits DOTs with emissions reduced</t>
  </si>
  <si>
    <t>On2_2</t>
  </si>
  <si>
    <t>module of your choice. Two emissions results are calculated for each module: (1) the baseline scenario, or unmitigated emissons and (2) the mitigated scenario,</t>
  </si>
  <si>
    <t>which includes the impacts of various mitigation measures.</t>
  </si>
  <si>
    <t>The user must enter data in these cells in order to estimate emissions. Leave cells blank if value or category does not apply.</t>
  </si>
  <si>
    <t>Note: Emissions from asphalt batch plants and cement mixers are included in</t>
  </si>
  <si>
    <t>embodied emissions (Materials Module).</t>
  </si>
  <si>
    <t>mixing ratios. Baseline assumes hot mix asphalt.</t>
  </si>
  <si>
    <t>Warm mix asphalt</t>
  </si>
  <si>
    <t>Source: FHWA, "Warm Mix Asphalt Technologies and Research," website</t>
  </si>
  <si>
    <t>Warm Mix Asphalt</t>
  </si>
  <si>
    <t>Energy Savings</t>
  </si>
  <si>
    <t>% Reduction from HMA</t>
  </si>
  <si>
    <t>Warm Mix Asphalt Energy Savings</t>
  </si>
  <si>
    <t>materials. Specify percentage of warm-mix asphalt.</t>
  </si>
  <si>
    <t>% of total asphalt</t>
  </si>
  <si>
    <t>Alternate mixing process</t>
  </si>
  <si>
    <t>Ground Limestone</t>
  </si>
  <si>
    <t>Sources: PaLATE, unless otherwise specified. Timber - from UK Highways Agency</t>
  </si>
  <si>
    <t>Emissions Calculated from Total Electricity Consumption</t>
  </si>
  <si>
    <t>Emissions Calculated from Number, Type, and Activity of Appliances</t>
  </si>
  <si>
    <t>B5</t>
  </si>
  <si>
    <t>Biodiesel B5</t>
  </si>
  <si>
    <t>Test</t>
  </si>
  <si>
    <t>Convert from therms to 1000 cf: multiply by 100</t>
  </si>
  <si>
    <t>Convert from GGE to 1000 cf: multiply by 127</t>
  </si>
  <si>
    <t>Convert from GGE to gallons: multiply by 1.39</t>
  </si>
  <si>
    <t xml:space="preserve"> electrical equipment is run off of generators then don't include it in these calculations.</t>
  </si>
  <si>
    <t>Note: "Grid Electricity" only applies to electricity from the utility grid. If your</t>
  </si>
  <si>
    <t>Grid Electricity</t>
  </si>
  <si>
    <t>Fuel Economy in GGE (use defaults or override with new values)</t>
  </si>
  <si>
    <t>Metal Halide Lighting</t>
  </si>
  <si>
    <t>Induction Lighting</t>
  </si>
  <si>
    <t>Plasma Lighting</t>
  </si>
  <si>
    <t>Lighting: MH, induction, plasma.</t>
  </si>
  <si>
    <t>MH</t>
  </si>
  <si>
    <t>HPS</t>
  </si>
  <si>
    <t>watts</t>
  </si>
  <si>
    <t>lumens</t>
  </si>
  <si>
    <t>Ballast factor</t>
  </si>
  <si>
    <t>lamp watt</t>
  </si>
  <si>
    <t>rated watt</t>
  </si>
  <si>
    <t>mh</t>
  </si>
  <si>
    <t>lumens/lamp watt</t>
  </si>
  <si>
    <t>Ballast efficiency</t>
  </si>
  <si>
    <t>Plasma</t>
  </si>
  <si>
    <t>Induction</t>
  </si>
  <si>
    <t>Metal Halide</t>
  </si>
  <si>
    <r>
      <t xml:space="preserve">MH source: NEMA Standards Publication LE 5B-1998, </t>
    </r>
    <r>
      <rPr>
        <i/>
        <sz val="10"/>
        <rFont val="Arial"/>
        <family val="2"/>
      </rPr>
      <t>Procedure for Determining Luminaire Efficacy Ratings for High-Intensity Discharge Industrial Luminaires</t>
    </r>
    <r>
      <rPr>
        <sz val="10"/>
        <rFont val="Arial"/>
        <family val="2"/>
      </rPr>
      <t>, 1998. Tables 5-1 and A-2.</t>
    </r>
  </si>
  <si>
    <t>* assume induction ballast is same as flourescent ballast.</t>
  </si>
  <si>
    <t>lighting reference guide</t>
  </si>
  <si>
    <t>http://oee.nrcan.gc.ca/publications/equipment/lighting/section10.cfm?attr=0#Other</t>
  </si>
  <si>
    <t>http://en.wikipedia.org/wiki/Plasma_lamp#Heat_and_power</t>
  </si>
  <si>
    <t>from wikipedia</t>
  </si>
  <si>
    <t>US</t>
  </si>
  <si>
    <t>Other Industrial Waste Products (little to no processing required)</t>
  </si>
  <si>
    <t>Carbon Calculator.</t>
  </si>
  <si>
    <t xml:space="preserve">  Ground Granulated Blast Furnace Slag (GGBFS)</t>
  </si>
  <si>
    <t xml:space="preserve">  Other Waste Products (no processing required)</t>
  </si>
  <si>
    <t xml:space="preserve">  Ground Limestone</t>
  </si>
  <si>
    <t xml:space="preserve">  Recycled Bitumen from RAP</t>
  </si>
  <si>
    <t>Recycled Bitumen from RAP</t>
  </si>
  <si>
    <t>Note: Macros must be enabled for GreenDOT to work properly.</t>
  </si>
  <si>
    <t>Comparing the baseline scenario and mitigated scenario, the user can determine the impact of mitigation strategies on emissions. Some</t>
  </si>
  <si>
    <t>Traffic Smoothing Strategies</t>
  </si>
  <si>
    <t>Step 1. Select road type</t>
  </si>
  <si>
    <t>Road Type:</t>
  </si>
  <si>
    <t>Urban Unrestricted Access</t>
  </si>
  <si>
    <t>Step 2. Determine Total VMT, average speed, and VMT share for each vehicle type for Baseline and Project Scenarios</t>
  </si>
  <si>
    <t>Project</t>
  </si>
  <si>
    <t>Traffic Volume on Link (veh/hour):</t>
  </si>
  <si>
    <t>Link Length (miles):</t>
  </si>
  <si>
    <t>Average speed (mph):</t>
  </si>
  <si>
    <t>VMT Shares:</t>
  </si>
  <si>
    <t>Passenger Car</t>
  </si>
  <si>
    <t>Passenger Truck</t>
  </si>
  <si>
    <t>Motorcycle</t>
  </si>
  <si>
    <t>Transit Bus</t>
  </si>
  <si>
    <t>Intercity Bus</t>
  </si>
  <si>
    <t>School Bus</t>
  </si>
  <si>
    <t>Light Commercial Truck</t>
  </si>
  <si>
    <t>Single Unit Short-haul Truck</t>
  </si>
  <si>
    <t>Single Unit Long-haul Truck</t>
  </si>
  <si>
    <t>Combination Short-haul Truck</t>
  </si>
  <si>
    <t>Combination Long-haul Truck</t>
  </si>
  <si>
    <t>Motor Home</t>
  </si>
  <si>
    <t>Refuse Truck</t>
  </si>
  <si>
    <t>Step 3. Confirm that VMT shares add up to 100%</t>
  </si>
  <si>
    <t>Sum of VMT Shares:</t>
  </si>
  <si>
    <t>Step 4. Obtain results</t>
  </si>
  <si>
    <t>Total VMT</t>
  </si>
  <si>
    <t>Average Emission Rate (kg/mile)</t>
  </si>
  <si>
    <t>CO2 Emissions (metric tons)</t>
  </si>
  <si>
    <t>Average Speed (mph)</t>
  </si>
  <si>
    <t>Road Type</t>
  </si>
  <si>
    <t>Rural Restricted Access</t>
  </si>
  <si>
    <t>Rural Unrestricted Access</t>
  </si>
  <si>
    <t>Urban Restricted Access</t>
  </si>
  <si>
    <t>GreenDOT includes an auxiliary calculator tool to help DOTs estimate the GHG impacts of strategies that smooth traffic flow on state highways. DOTs are</t>
  </si>
  <si>
    <t>generally not considered responsible for GHG emissions from private vehicles, but the agencies can reduce those emissions by implementing strategies</t>
  </si>
  <si>
    <t>that reduce traffic congestion, such as incident management programs and ramp metering. The auxiliary calculator estimates changes in GHG emissions on</t>
  </si>
  <si>
    <t>a roadway segment based on changes in average traffic speed.</t>
  </si>
  <si>
    <t>Auxiliary Calculator: Traffic Smoothing Strategies</t>
  </si>
  <si>
    <t>a product of NCHRP Project 25-25/Task 58 and ICF International</t>
  </si>
  <si>
    <t>Geography</t>
  </si>
  <si>
    <t>UNITED STATES</t>
  </si>
  <si>
    <t xml:space="preserve">Begin by naming the project, system, or scenario being evaluated. Next select the geography--either United States or a specific state--and year of evaluation. When </t>
  </si>
  <si>
    <t>evaluating a project that lasts multiple years, enter the midpoint year.</t>
  </si>
  <si>
    <t>MWh</t>
  </si>
  <si>
    <t>Emissions Calculated from Vehicle Miles Traveled (VMT)</t>
  </si>
  <si>
    <t xml:space="preserve">Emissions Calculated from Fuel Use </t>
  </si>
  <si>
    <t>CNG Unit Conversion Factors</t>
  </si>
  <si>
    <t xml:space="preserve">as defaults.) Second, for conventionally fueled cars and light trucks only, the user can estimate average fuel economy based on the age of the DOT's vehicles. The second option can </t>
  </si>
  <si>
    <t>Grid Electricity (kWh)</t>
  </si>
  <si>
    <t>LPG Unit Conversion Factors</t>
  </si>
  <si>
    <t>LPG (gallons)</t>
  </si>
  <si>
    <t>Include any ethanol used in the gasoline total, in gasoline gallon equivalents. Include any biodiesel used in the diesel total, in diesel gallon equivalents.</t>
  </si>
  <si>
    <t>Input Aggregate Data on Fuel Use</t>
  </si>
  <si>
    <t>Input Data on Fuel Use Disaggregated by Equipment Type</t>
  </si>
  <si>
    <t>Off2Anchor</t>
  </si>
  <si>
    <t>Input Detailed Data on Activity by Equipment Type</t>
  </si>
  <si>
    <t>of one working day, enter 8 hours of operation for each piece of equipment. Enter average horsepower and load factor for</t>
  </si>
  <si>
    <t>Most Common Engine Types</t>
  </si>
  <si>
    <t>Source: Values derived from AEO 2009 and EPA, Light-Duty Automotive Technology, Carbon Dioxide Emissions, and Fuel Economy Trends: 1975 Through 2009</t>
  </si>
  <si>
    <t>Calendar Year MPG Values (Source: L. Browning, “VMT Projections for Alternative Fueled and Advanced Technology Vehicles through 2025,” 13th CRC On-Road Vehicle Emissions Workshop, April 2003)</t>
  </si>
  <si>
    <t>version 1.5 beta</t>
  </si>
  <si>
    <t>Materials Totals</t>
  </si>
  <si>
    <t>Ground Granulated Blast Furnace Slag (GGBFS)</t>
  </si>
  <si>
    <t>lb CO2/MWh</t>
  </si>
  <si>
    <t>Default Value</t>
  </si>
  <si>
    <t>Percentage of Fleet VMT</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</si>
</sst>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000000"/>
    <numFmt numFmtId="166" formatCode="0.00000000000E+00"/>
    <numFmt numFmtId="167" formatCode="0.000000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_(* \(#,##0.0\);_(* &quot;-&quot;??_);_(@_)"/>
    <numFmt numFmtId="175" formatCode="_(* #,##0_);_(* \(#,##0\);_(* &quot;-&quot;??_);_(@_)"/>
    <numFmt numFmtId="176" formatCode="_(* #,##0.000_);_(* \(#,##0.000\);_(* &quot;-&quot;??_);_(@_)"/>
    <numFmt numFmtId="177" formatCode="#,##0.0_);\(#,##0.0\)"/>
    <numFmt numFmtId="178" formatCode="#,##0.000_);\(#,##0.000\)"/>
    <numFmt numFmtId="179" formatCode="0.00000000"/>
    <numFmt numFmtId="180" formatCode="0.0000000"/>
    <numFmt numFmtId="181" formatCode="0.00000"/>
    <numFmt numFmtId="182" formatCode="0.0000"/>
    <numFmt numFmtId="183" formatCode="0.000"/>
    <numFmt numFmtId="184" formatCode="0.0%"/>
    <numFmt numFmtId="185" formatCode="_(* #,##0.0_);_(* \(#,##0.0\);_(* &quot;-&quot;?_);_(@_)"/>
    <numFmt numFmtId="186" formatCode="_(&quot;$&quot;* #,##0.000_);_(&quot;$&quot;* \(#,##0.000\);_(&quot;$&quot;* &quot;-&quot;??_);_(@_)"/>
    <numFmt numFmtId="187" formatCode="_(&quot;$&quot;* #,##0.0_);_(&quot;$&quot;* \(#,##0.0\);_(&quot;$&quot;* &quot;-&quot;??_);_(@_)"/>
    <numFmt numFmtId="188" formatCode="_(&quot;$&quot;* #,##0_);_(&quot;$&quot;* \(#,##0\);_(&quot;$&quot;* &quot;-&quot;??_);_(@_)"/>
    <numFmt numFmtId="189" formatCode="_(* #,##0.0000_);_(* \(#,##0.0000\);_(* &quot;-&quot;??_);_(@_)"/>
    <numFmt numFmtId="190" formatCode="#,##0;[Red]#,##0"/>
    <numFmt numFmtId="191" formatCode="&quot;$&quot;#,##0.000_);[Red]\(&quot;$&quot;#,##0.000\)"/>
    <numFmt numFmtId="192" formatCode="&quot;$&quot;#,##0;[Red]&quot;$&quot;#,##0"/>
    <numFmt numFmtId="193" formatCode="&quot;$&quot;#,##0"/>
    <numFmt numFmtId="194" formatCode="&quot;$&quot;#,##0.00"/>
    <numFmt numFmtId="195" formatCode="&quot;$&quot;#,##0.0"/>
    <numFmt numFmtId="196" formatCode="#,##0.000"/>
    <numFmt numFmtId="197" formatCode="#,##0.0;[Red]#,##0.0"/>
    <numFmt numFmtId="198" formatCode="#,##0.00;[Red]#,##0.00"/>
    <numFmt numFmtId="199" formatCode="&quot;$&quot;#,##0.000"/>
    <numFmt numFmtId="200" formatCode="#,##0.0000_);[Red]\(#,##0.0000\)"/>
    <numFmt numFmtId="201" formatCode="#,##0.000;[Red]#,##0.000"/>
    <numFmt numFmtId="202" formatCode="&quot;$&quot;#,##0.00;[Red]&quot;$&quot;#,##0.00"/>
    <numFmt numFmtId="203" formatCode="_(&quot;$&quot;* #,##0.0000_);_(&quot;$&quot;* \(#,##0.0000\);_(&quot;$&quot;* &quot;-&quot;????_);_(@_)"/>
    <numFmt numFmtId="204" formatCode="#,##0.00000_);\(#,##0.00000\)"/>
    <numFmt numFmtId="205" formatCode="_(* #,##0.00000_);_(* \(#,##0.00000\);_(* &quot;-&quot;?????_);_(@_)"/>
    <numFmt numFmtId="206" formatCode="&quot;$&quot;#,##0.0000"/>
    <numFmt numFmtId="207" formatCode="#,##0.0000_);\(#,##0.0000\)"/>
    <numFmt numFmtId="208" formatCode="_(* #,##0.0000_);_(* \(#,##0.0000\);_(* &quot;-&quot;????_);_(@_)"/>
    <numFmt numFmtId="209" formatCode="#,##0.0000"/>
    <numFmt numFmtId="210" formatCode="0_);\(0\)"/>
    <numFmt numFmtId="211" formatCode="_(* #,##0.000_);_(* \(#,##0.000\);_(* &quot;-&quot;???_);_(@_)"/>
    <numFmt numFmtId="212" formatCode="&quot;$&quot;#,##0.0000_);\(&quot;$&quot;#,##0.0000\)"/>
    <numFmt numFmtId="213" formatCode="#,##0.00000"/>
    <numFmt numFmtId="214" formatCode="_(* #,##0.000000_);_(* \(#,##0.000000\);_(* &quot;-&quot;??????_);_(@_)"/>
    <numFmt numFmtId="215" formatCode="_(* #,##0.0000000_);_(* \(#,##0.0000000\);_(* &quot;-&quot;???????_);_(@_)"/>
    <numFmt numFmtId="216" formatCode="#,##0.000000"/>
    <numFmt numFmtId="217" formatCode="0.0000000000"/>
    <numFmt numFmtId="218" formatCode="0.000000000"/>
    <numFmt numFmtId="219" formatCode="0.000%"/>
    <numFmt numFmtId="220" formatCode="0.0000%"/>
    <numFmt numFmtId="221" formatCode="[$-409]dddd\,\ mmmm\ dd\,\ yyyy"/>
    <numFmt numFmtId="222" formatCode="[$-409]h:mm:ss\ AM/PM"/>
  </numFmts>
  <fonts count="8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Calibri"/>
      <family val="2"/>
    </font>
    <font>
      <b/>
      <sz val="8"/>
      <color indexed="9"/>
      <name val="Arial"/>
      <family val="2"/>
    </font>
    <font>
      <i/>
      <sz val="8"/>
      <name val="Arial"/>
      <family val="2"/>
    </font>
    <font>
      <sz val="8"/>
      <color indexed="8"/>
      <name val="Arial"/>
      <family val="2"/>
    </font>
    <font>
      <sz val="8"/>
      <name val="Arial"/>
      <family val="2"/>
    </font>
    <font>
      <b/>
      <sz val="10"/>
      <color indexed="8"/>
      <name val="Arial"/>
      <family val="2"/>
    </font>
    <font>
      <b/>
      <sz val="11"/>
      <color indexed="8"/>
      <name val="Arial"/>
      <family val="2"/>
    </font>
    <font>
      <sz val="11"/>
      <color indexed="8"/>
      <name val="Arial"/>
      <family val="2"/>
    </font>
    <font>
      <sz val="8"/>
      <color indexed="8"/>
      <name val="Arial Unicode MS"/>
      <family val="2"/>
    </font>
    <font>
      <u val="single"/>
      <sz val="10"/>
      <color indexed="12"/>
      <name val="Arial"/>
      <family val="2"/>
    </font>
    <font>
      <b/>
      <sz val="10"/>
      <name val="Arial"/>
      <family val="2"/>
    </font>
    <font>
      <i/>
      <sz val="11"/>
      <color indexed="8"/>
      <name val="Arial"/>
      <family val="2"/>
    </font>
    <font>
      <sz val="14"/>
      <color indexed="9"/>
      <name val="Calibri"/>
      <family val="2"/>
    </font>
    <font>
      <u val="single"/>
      <sz val="8"/>
      <name val="Arial"/>
      <family val="2"/>
    </font>
    <font>
      <i/>
      <sz val="10"/>
      <name val="Arial"/>
      <family val="2"/>
    </font>
    <font>
      <b/>
      <sz val="9"/>
      <name val="Arial"/>
      <family val="2"/>
    </font>
    <font>
      <sz val="9"/>
      <name val="Arial"/>
      <family val="2"/>
    </font>
    <font>
      <i/>
      <sz val="9"/>
      <name val="Arial"/>
      <family val="2"/>
    </font>
    <font>
      <b/>
      <sz val="15.15"/>
      <color indexed="8"/>
      <name val="Arial"/>
      <family val="2"/>
    </font>
    <font>
      <sz val="8"/>
      <color indexed="10"/>
      <name val="Arial"/>
      <family val="2"/>
    </font>
    <font>
      <b/>
      <sz val="10"/>
      <color indexed="9"/>
      <name val="Arial"/>
      <family val="2"/>
    </font>
    <font>
      <sz val="10"/>
      <color indexed="10"/>
      <name val="Arial"/>
      <family val="2"/>
    </font>
    <font>
      <sz val="10"/>
      <color indexed="8"/>
      <name val="Arial"/>
      <family val="2"/>
    </font>
    <font>
      <b/>
      <i/>
      <sz val="10"/>
      <name val="Arial"/>
      <family val="2"/>
    </font>
    <font>
      <sz val="10"/>
      <color indexed="12"/>
      <name val="Arial"/>
      <family val="2"/>
    </font>
    <font>
      <b/>
      <sz val="14"/>
      <color indexed="9"/>
      <name val="Calibri"/>
      <family val="2"/>
    </font>
    <font>
      <b/>
      <sz val="8"/>
      <color indexed="8"/>
      <name val="Arial"/>
      <family val="2"/>
    </font>
    <font>
      <sz val="14"/>
      <color indexed="8"/>
      <name val="Arial"/>
      <family val="2"/>
    </font>
    <font>
      <sz val="10"/>
      <color indexed="9"/>
      <name val="Arial"/>
      <family val="2"/>
    </font>
    <font>
      <sz val="20"/>
      <color indexed="9"/>
      <name val="Arial"/>
      <family val="2"/>
    </font>
    <font>
      <sz val="11"/>
      <name val="Arial"/>
      <family val="2"/>
    </font>
    <font>
      <sz val="14"/>
      <color indexed="9"/>
      <name val="Arial"/>
      <family val="2"/>
    </font>
    <font>
      <sz val="8"/>
      <color indexed="9"/>
      <name val="Arial"/>
      <family val="2"/>
    </font>
    <font>
      <b/>
      <sz val="11"/>
      <color indexed="9"/>
      <name val="Arial"/>
      <family val="2"/>
    </font>
    <font>
      <i/>
      <sz val="8"/>
      <color indexed="8"/>
      <name val="Arial"/>
      <family val="2"/>
    </font>
    <font>
      <i/>
      <sz val="11"/>
      <color indexed="62"/>
      <name val="Arial"/>
      <family val="2"/>
    </font>
    <font>
      <sz val="14"/>
      <name val="Arial"/>
      <family val="2"/>
    </font>
    <font>
      <i/>
      <sz val="10"/>
      <color indexed="8"/>
      <name val="Arial"/>
      <family val="2"/>
    </font>
    <font>
      <b/>
      <u val="single"/>
      <sz val="10"/>
      <name val="Arial"/>
      <family val="2"/>
    </font>
    <font>
      <b/>
      <i/>
      <sz val="10"/>
      <color indexed="9"/>
      <name val="Arial"/>
      <family val="2"/>
    </font>
    <font>
      <b/>
      <u val="single"/>
      <sz val="10"/>
      <color indexed="8"/>
      <name val="Arial"/>
      <family val="2"/>
    </font>
    <font>
      <u val="single"/>
      <sz val="10"/>
      <color indexed="8"/>
      <name val="Arial"/>
      <family val="2"/>
    </font>
    <font>
      <u val="single"/>
      <sz val="10"/>
      <name val="Arial"/>
      <family val="2"/>
    </font>
    <font>
      <i/>
      <sz val="10"/>
      <color indexed="62"/>
      <name val="Arial"/>
      <family val="2"/>
    </font>
    <font>
      <sz val="10"/>
      <color indexed="62"/>
      <name val="Arial"/>
      <family val="2"/>
    </font>
    <font>
      <i/>
      <sz val="11"/>
      <name val="Arial"/>
      <family val="2"/>
    </font>
    <font>
      <sz val="8"/>
      <name val="Tahoma"/>
      <family val="2"/>
    </font>
    <font>
      <b/>
      <sz val="8"/>
      <name val="Tahoma"/>
      <family val="2"/>
    </font>
    <font>
      <b/>
      <sz val="11"/>
      <color indexed="10"/>
      <name val="Arial"/>
      <family val="2"/>
    </font>
    <font>
      <b/>
      <sz val="16"/>
      <color indexed="9"/>
      <name val="Calibri"/>
      <family val="2"/>
    </font>
    <font>
      <sz val="16"/>
      <color indexed="9"/>
      <name val="Calibri"/>
      <family val="2"/>
    </font>
    <font>
      <i/>
      <sz val="11"/>
      <color indexed="8"/>
      <name val="Calibri"/>
      <family val="2"/>
    </font>
    <font>
      <sz val="11"/>
      <color indexed="12"/>
      <name val="Calibri"/>
      <family val="2"/>
    </font>
    <font>
      <sz val="11"/>
      <color indexed="22"/>
      <name val="Calibri"/>
      <family val="2"/>
    </font>
    <font>
      <sz val="11"/>
      <name val="Calibri"/>
      <family val="2"/>
    </font>
    <font>
      <sz val="10"/>
      <color indexed="8"/>
      <name val="Calibri"/>
      <family val="0"/>
    </font>
    <font>
      <sz val="8"/>
      <color indexed="8"/>
      <name val="Calibri"/>
      <family val="0"/>
    </font>
    <font>
      <sz val="11"/>
      <color theme="1"/>
      <name val="Calibri"/>
      <family val="2"/>
    </font>
    <font>
      <b/>
      <sz val="11"/>
      <color rgb="FFFF0000"/>
      <name val="Arial"/>
      <family val="2"/>
    </font>
    <font>
      <b/>
      <sz val="16"/>
      <color theme="0"/>
      <name val="Calibri"/>
      <family val="2"/>
    </font>
    <font>
      <sz val="16"/>
      <color theme="0"/>
      <name val="Calibri"/>
      <family val="2"/>
    </font>
    <font>
      <b/>
      <sz val="11"/>
      <color theme="1"/>
      <name val="Calibri"/>
      <family val="2"/>
    </font>
    <font>
      <i/>
      <sz val="11"/>
      <color theme="1"/>
      <name val="Calibri"/>
      <family val="2"/>
    </font>
    <font>
      <b/>
      <sz val="11"/>
      <color theme="0"/>
      <name val="Calibri"/>
      <family val="2"/>
    </font>
    <font>
      <sz val="11"/>
      <color rgb="FF0000FF"/>
      <name val="Calibri"/>
      <family val="2"/>
    </font>
    <font>
      <sz val="11"/>
      <color theme="0" tint="-0.1499900072813034"/>
      <name val="Calibri"/>
      <family val="2"/>
    </font>
    <font>
      <sz val="11"/>
      <color theme="0"/>
      <name val="Calibri"/>
      <family val="2"/>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58"/>
        <bgColor indexed="64"/>
      </patternFill>
    </fill>
    <fill>
      <patternFill patternType="solid">
        <fgColor indexed="12"/>
        <bgColor indexed="64"/>
      </patternFill>
    </fill>
    <fill>
      <patternFill patternType="solid">
        <fgColor theme="9" tint="0.5999600291252136"/>
        <bgColor indexed="64"/>
      </patternFill>
    </fill>
    <fill>
      <patternFill patternType="solid">
        <fgColor theme="0"/>
        <bgColor indexed="64"/>
      </patternFill>
    </fill>
    <fill>
      <patternFill patternType="solid">
        <fgColor theme="8" tint="-0.24997000396251678"/>
        <bgColor indexed="64"/>
      </patternFill>
    </fill>
    <fill>
      <patternFill patternType="solid">
        <fgColor theme="0" tint="-0.3499799966812134"/>
        <bgColor indexed="64"/>
      </patternFill>
    </fill>
    <fill>
      <patternFill patternType="solid">
        <fgColor theme="8" tint="-0.24997000396251678"/>
        <bgColor indexed="64"/>
      </patternFill>
    </fill>
    <fill>
      <patternFill patternType="solid">
        <fgColor rgb="FFFFFF99"/>
        <bgColor indexed="64"/>
      </patternFill>
    </fill>
    <fill>
      <patternFill patternType="solid">
        <fgColor indexed="60"/>
        <bgColor indexed="64"/>
      </patternFill>
    </fill>
    <fill>
      <patternFill patternType="solid">
        <fgColor rgb="FFFFCC99"/>
        <bgColor indexed="64"/>
      </patternFill>
    </fill>
    <fill>
      <patternFill patternType="solid">
        <fgColor indexed="17"/>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top>
        <color indexed="63"/>
      </top>
      <bottom style="thin">
        <color indexed="22"/>
      </botto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22"/>
      </bottom>
    </border>
    <border>
      <left>
        <color indexed="63"/>
      </left>
      <right style="medium"/>
      <top>
        <color indexed="63"/>
      </top>
      <bottom style="thin">
        <color indexed="22"/>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color indexed="22"/>
      </right>
      <top>
        <color indexed="63"/>
      </top>
      <bottom style="medium"/>
    </border>
    <border>
      <left style="medium"/>
      <right style="medium"/>
      <top>
        <color indexed="63"/>
      </top>
      <bottom style="thin">
        <color indexed="22"/>
      </bottom>
    </border>
    <border>
      <left style="medium"/>
      <right style="medium"/>
      <top style="thin">
        <color indexed="22"/>
      </top>
      <bottom style="thin">
        <color indexed="22"/>
      </bottom>
    </border>
    <border>
      <left style="medium"/>
      <right style="medium"/>
      <top style="thin">
        <color indexed="22"/>
      </top>
      <bottom style="medium"/>
    </border>
    <border>
      <left>
        <color indexed="63"/>
      </left>
      <right style="medium"/>
      <top style="medium"/>
      <bottom style="medium"/>
    </border>
    <border>
      <left>
        <color indexed="63"/>
      </left>
      <right>
        <color indexed="63"/>
      </right>
      <top>
        <color indexed="63"/>
      </top>
      <bottom style="thin"/>
    </border>
    <border>
      <left style="medium"/>
      <right style="thin">
        <color indexed="22"/>
      </right>
      <top style="medium"/>
      <bottom style="thin">
        <color indexed="22"/>
      </bottom>
    </border>
    <border>
      <left style="thin">
        <color indexed="22"/>
      </left>
      <right style="medium"/>
      <top style="medium"/>
      <bottom style="thin">
        <color indexed="22"/>
      </bottom>
    </border>
    <border>
      <left style="medium"/>
      <right style="medium"/>
      <top>
        <color indexed="63"/>
      </top>
      <bottom>
        <color indexed="63"/>
      </bottom>
    </border>
    <border>
      <left style="thin">
        <color indexed="22"/>
      </left>
      <right style="thin">
        <color indexed="22"/>
      </right>
      <top style="medium"/>
      <bottom style="thin">
        <color indexed="22"/>
      </bottom>
    </border>
    <border>
      <left style="medium"/>
      <right style="thin">
        <color indexed="22"/>
      </right>
      <top style="medium"/>
      <bottom style="medium"/>
    </border>
    <border>
      <left style="medium"/>
      <right style="thin">
        <color indexed="22"/>
      </right>
      <top style="thin"/>
      <bottom style="thin">
        <color indexed="22"/>
      </bottom>
    </border>
    <border>
      <left style="thin">
        <color indexed="22"/>
      </left>
      <right style="medium"/>
      <top style="thin"/>
      <bottom style="thin">
        <color indexed="2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color indexed="22"/>
      </left>
      <right style="thin">
        <color indexed="22"/>
      </right>
      <top>
        <color indexed="63"/>
      </top>
      <bottom style="medium"/>
    </border>
    <border>
      <left style="medium"/>
      <right style="medium"/>
      <top>
        <color indexed="63"/>
      </top>
      <bottom style="medium"/>
    </border>
    <border>
      <left style="thin">
        <color indexed="22"/>
      </left>
      <right style="medium"/>
      <top>
        <color indexed="63"/>
      </top>
      <bottom style="medium"/>
    </border>
    <border>
      <left>
        <color indexed="63"/>
      </left>
      <right>
        <color indexed="63"/>
      </right>
      <top>
        <color indexed="63"/>
      </top>
      <bottom style="thin">
        <color theme="0" tint="-0.149959996342659"/>
      </bottom>
    </border>
    <border>
      <left style="medium"/>
      <right>
        <color indexed="63"/>
      </right>
      <top style="thin">
        <color theme="0" tint="-0.149959996342659"/>
      </top>
      <bottom style="medium"/>
    </border>
    <border>
      <left>
        <color indexed="63"/>
      </left>
      <right>
        <color indexed="63"/>
      </right>
      <top style="thin">
        <color theme="0" tint="-0.149959996342659"/>
      </top>
      <bottom style="medium"/>
    </border>
    <border>
      <left>
        <color indexed="63"/>
      </left>
      <right style="medium"/>
      <top style="thin">
        <color theme="0" tint="-0.149959996342659"/>
      </top>
      <bottom style="medium"/>
    </border>
    <border>
      <left style="medium"/>
      <right>
        <color indexed="63"/>
      </right>
      <top>
        <color indexed="63"/>
      </top>
      <bottom style="thin">
        <color theme="0" tint="-0.149959996342659"/>
      </bottom>
    </border>
    <border>
      <left>
        <color indexed="63"/>
      </left>
      <right style="medium"/>
      <top>
        <color indexed="63"/>
      </top>
      <bottom style="thin">
        <color theme="0" tint="-0.149959996342659"/>
      </bottom>
    </border>
    <border>
      <left style="medium"/>
      <right style="thin">
        <color indexed="22"/>
      </right>
      <top style="thin">
        <color indexed="22"/>
      </top>
      <bottom>
        <color indexed="63"/>
      </bottom>
    </border>
    <border>
      <left>
        <color indexed="63"/>
      </left>
      <right>
        <color indexed="63"/>
      </right>
      <top>
        <color indexed="63"/>
      </top>
      <bottom style="thick">
        <color theme="8" tint="-0.24993999302387238"/>
      </bottom>
    </border>
    <border>
      <left style="medium"/>
      <right style="thin">
        <color theme="0" tint="-0.3499799966812134"/>
      </right>
      <top style="thin"/>
      <bottom style="thin">
        <color theme="0" tint="-0.3499799966812134"/>
      </bottom>
    </border>
    <border>
      <left style="medium"/>
      <right style="thin">
        <color theme="0" tint="-0.3499799966812134"/>
      </right>
      <top style="thin">
        <color theme="0" tint="-0.3499799966812134"/>
      </top>
      <bottom style="medium"/>
    </border>
    <border>
      <left style="medium"/>
      <right style="thin">
        <color indexed="22"/>
      </right>
      <top>
        <color indexed="63"/>
      </top>
      <bottom style="thin">
        <color theme="0" tint="-0.24993999302387238"/>
      </bottom>
    </border>
    <border>
      <left style="medium"/>
      <right style="thin">
        <color indexed="22"/>
      </right>
      <top style="thin">
        <color theme="0" tint="-0.24993999302387238"/>
      </top>
      <bottom style="medium"/>
    </border>
    <border>
      <left style="thin">
        <color indexed="22"/>
      </left>
      <right style="medium"/>
      <top style="medium"/>
      <bottom style="medium"/>
    </border>
    <border>
      <left style="thin">
        <color indexed="22"/>
      </left>
      <right style="medium"/>
      <top style="thin">
        <color indexed="22"/>
      </top>
      <bottom>
        <color indexed="63"/>
      </bottom>
    </border>
    <border>
      <left style="medium"/>
      <right style="thin">
        <color indexed="22"/>
      </right>
      <top style="thin">
        <color theme="0" tint="-0.24993999302387238"/>
      </top>
      <bottom style="thin">
        <color theme="0" tint="-0.24993999302387238"/>
      </bottom>
    </border>
    <border>
      <left style="thin">
        <color indexed="22"/>
      </left>
      <right>
        <color indexed="63"/>
      </right>
      <top>
        <color indexed="63"/>
      </top>
      <bottom style="thin">
        <color indexed="22"/>
      </bottom>
    </border>
    <border>
      <left style="thin">
        <color indexed="22"/>
      </left>
      <right>
        <color indexed="63"/>
      </right>
      <top>
        <color indexed="63"/>
      </top>
      <bottom style="medium"/>
    </border>
    <border>
      <left style="thin">
        <color indexed="22"/>
      </left>
      <right>
        <color indexed="63"/>
      </right>
      <top style="thin">
        <color indexed="22"/>
      </top>
      <bottom style="medium"/>
    </border>
    <border>
      <left>
        <color indexed="63"/>
      </left>
      <right style="medium"/>
      <top style="thin">
        <color indexed="22"/>
      </top>
      <bottom style="medium"/>
    </border>
    <border>
      <left style="thin">
        <color indexed="22"/>
      </left>
      <right>
        <color indexed="63"/>
      </right>
      <top style="medium"/>
      <bottom style="medium"/>
    </border>
    <border>
      <left style="thin">
        <color indexed="22"/>
      </left>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thin">
        <color indexed="22"/>
      </top>
      <bottom style="thin">
        <color indexed="22"/>
      </bottom>
    </border>
    <border>
      <left>
        <color indexed="63"/>
      </left>
      <right style="thin">
        <color indexed="22"/>
      </right>
      <top style="thin">
        <color indexed="22"/>
      </top>
      <bottom style="thin">
        <color indexed="22"/>
      </bottom>
    </border>
    <border>
      <left style="medium"/>
      <right>
        <color indexed="63"/>
      </right>
      <top style="medium"/>
      <bottom style="thin">
        <color indexed="22"/>
      </bottom>
    </border>
    <border>
      <left>
        <color indexed="63"/>
      </left>
      <right style="thin">
        <color indexed="22"/>
      </right>
      <top style="medium"/>
      <bottom style="thin">
        <color indexed="22"/>
      </bottom>
    </border>
    <border>
      <left style="medium"/>
      <right>
        <color indexed="63"/>
      </right>
      <top style="thin">
        <color indexed="22"/>
      </top>
      <bottom style="medium"/>
    </border>
    <border>
      <left>
        <color indexed="63"/>
      </left>
      <right style="thin">
        <color indexed="22"/>
      </right>
      <top style="thin">
        <color indexed="22"/>
      </top>
      <bottom style="mediu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medium"/>
      <top style="thin"/>
      <bottom style="thin">
        <color theme="0" tint="-0.3499799966812134"/>
      </bottom>
    </border>
    <border>
      <left style="thin">
        <color theme="0" tint="-0.3499799966812134"/>
      </left>
      <right style="thin">
        <color theme="0" tint="-0.3499799966812134"/>
      </right>
      <top style="thin">
        <color theme="0" tint="-0.3499799966812134"/>
      </top>
      <bottom style="medium"/>
    </border>
    <border>
      <left style="thin">
        <color theme="0" tint="-0.3499799966812134"/>
      </left>
      <right style="medium"/>
      <top style="thin">
        <color theme="0" tint="-0.3499799966812134"/>
      </top>
      <bottom style="medium"/>
    </border>
    <border>
      <left style="thin">
        <color indexed="22"/>
      </left>
      <right>
        <color indexed="63"/>
      </right>
      <top style="medium"/>
      <bottom style="thin">
        <color theme="0" tint="-0.24993999302387238"/>
      </bottom>
    </border>
    <border>
      <left>
        <color indexed="63"/>
      </left>
      <right style="medium"/>
      <top style="medium"/>
      <bottom style="thin">
        <color theme="0" tint="-0.24993999302387238"/>
      </bottom>
    </border>
    <border>
      <left style="thin">
        <color indexed="22"/>
      </left>
      <right>
        <color indexed="63"/>
      </right>
      <top style="thin">
        <color theme="0" tint="-0.24993999302387238"/>
      </top>
      <bottom style="medium"/>
    </border>
    <border>
      <left>
        <color indexed="63"/>
      </left>
      <right style="medium"/>
      <top style="thin">
        <color theme="0" tint="-0.24993999302387238"/>
      </top>
      <bottom style="medium"/>
    </border>
    <border>
      <left style="medium"/>
      <right>
        <color indexed="63"/>
      </right>
      <top style="medium"/>
      <bottom style="thin">
        <color theme="0" tint="-0.24993999302387238"/>
      </bottom>
    </border>
    <border>
      <left>
        <color indexed="63"/>
      </left>
      <right>
        <color indexed="63"/>
      </right>
      <top style="medium"/>
      <bottom style="thin">
        <color theme="0" tint="-0.24993999302387238"/>
      </bottom>
    </border>
    <border>
      <left style="thin">
        <color indexed="22"/>
      </left>
      <right>
        <color indexed="63"/>
      </right>
      <top style="thin">
        <color theme="0" tint="-0.24993999302387238"/>
      </top>
      <bottom style="thin">
        <color theme="0" tint="-0.24993999302387238"/>
      </bottom>
    </border>
    <border>
      <left>
        <color indexed="63"/>
      </left>
      <right style="medium"/>
      <top style="thin">
        <color theme="0" tint="-0.24993999302387238"/>
      </top>
      <bottom style="thin">
        <color theme="0" tint="-0.24993999302387238"/>
      </bottom>
    </border>
    <border>
      <left style="medium"/>
      <right>
        <color indexed="63"/>
      </right>
      <top style="medium"/>
      <bottom style="thin">
        <color theme="0" tint="-0.149959996342659"/>
      </bottom>
    </border>
    <border>
      <left>
        <color indexed="63"/>
      </left>
      <right>
        <color indexed="63"/>
      </right>
      <top style="medium"/>
      <bottom style="thin">
        <color theme="0" tint="-0.149959996342659"/>
      </bottom>
    </border>
    <border>
      <left>
        <color indexed="63"/>
      </left>
      <right style="medium"/>
      <top style="medium"/>
      <bottom style="thin">
        <color theme="0" tint="-0.149959996342659"/>
      </bottom>
    </border>
  </borders>
  <cellStyleXfs count="84">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7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9" fillId="0" borderId="0">
      <alignment/>
      <protection/>
    </xf>
    <xf numFmtId="0" fontId="77"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xf numFmtId="0" fontId="42"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lignment/>
      <protection/>
    </xf>
  </cellStyleXfs>
  <cellXfs count="1092">
    <xf numFmtId="0" fontId="0" fillId="0" borderId="0" xfId="0" applyAlignment="1">
      <alignment/>
    </xf>
    <xf numFmtId="0" fontId="23" fillId="5" borderId="10" xfId="0" applyFont="1" applyFill="1" applyBorder="1" applyAlignment="1">
      <alignment/>
    </xf>
    <xf numFmtId="0" fontId="23" fillId="5" borderId="11" xfId="0" applyFont="1" applyFill="1" applyBorder="1" applyAlignment="1">
      <alignment/>
    </xf>
    <xf numFmtId="0" fontId="23" fillId="24" borderId="0" xfId="0" applyFont="1" applyFill="1" applyBorder="1" applyAlignment="1">
      <alignment/>
    </xf>
    <xf numFmtId="0" fontId="25" fillId="24" borderId="0" xfId="0" applyFont="1" applyFill="1" applyBorder="1" applyAlignment="1">
      <alignment/>
    </xf>
    <xf numFmtId="0" fontId="23" fillId="24" borderId="0" xfId="0" applyFont="1" applyFill="1" applyBorder="1" applyAlignment="1">
      <alignment horizontal="right" indent="2"/>
    </xf>
    <xf numFmtId="0" fontId="23" fillId="7" borderId="12" xfId="0" applyFont="1" applyFill="1" applyBorder="1" applyAlignment="1">
      <alignment horizontal="center"/>
    </xf>
    <xf numFmtId="0" fontId="23" fillId="7" borderId="13" xfId="0" applyFont="1" applyFill="1" applyBorder="1" applyAlignment="1">
      <alignment horizontal="center"/>
    </xf>
    <xf numFmtId="0" fontId="23" fillId="7" borderId="14" xfId="0" applyFont="1" applyFill="1" applyBorder="1" applyAlignment="1">
      <alignment horizontal="center"/>
    </xf>
    <xf numFmtId="0" fontId="22" fillId="7" borderId="15" xfId="0" applyFont="1" applyFill="1" applyBorder="1" applyAlignment="1">
      <alignment horizontal="center"/>
    </xf>
    <xf numFmtId="0" fontId="22" fillId="7" borderId="7" xfId="0" applyFont="1" applyFill="1" applyBorder="1" applyAlignment="1">
      <alignment horizontal="center"/>
    </xf>
    <xf numFmtId="0" fontId="22" fillId="7" borderId="7" xfId="0" applyFont="1" applyFill="1" applyBorder="1" applyAlignment="1" quotePrefix="1">
      <alignment horizontal="center"/>
    </xf>
    <xf numFmtId="0" fontId="22" fillId="7" borderId="16" xfId="0" applyFont="1" applyFill="1" applyBorder="1" applyAlignment="1" quotePrefix="1">
      <alignment horizontal="center"/>
    </xf>
    <xf numFmtId="0" fontId="24" fillId="24" borderId="15" xfId="62" applyFont="1" applyFill="1" applyBorder="1" applyAlignment="1">
      <alignment horizontal="left"/>
      <protection/>
    </xf>
    <xf numFmtId="0" fontId="23" fillId="24" borderId="7" xfId="0" applyFont="1" applyFill="1" applyBorder="1" applyAlignment="1">
      <alignment/>
    </xf>
    <xf numFmtId="0" fontId="23" fillId="24" borderId="16" xfId="0" applyFont="1" applyFill="1" applyBorder="1" applyAlignment="1">
      <alignment/>
    </xf>
    <xf numFmtId="0" fontId="24" fillId="24" borderId="15" xfId="62" applyFont="1" applyFill="1" applyBorder="1">
      <alignment/>
      <protection/>
    </xf>
    <xf numFmtId="1" fontId="23" fillId="24" borderId="7" xfId="0" applyNumberFormat="1" applyFont="1" applyFill="1" applyBorder="1" applyAlignment="1">
      <alignment/>
    </xf>
    <xf numFmtId="173" fontId="23" fillId="24" borderId="7" xfId="0" applyNumberFormat="1" applyFont="1" applyFill="1" applyBorder="1" applyAlignment="1">
      <alignment horizontal="right"/>
    </xf>
    <xf numFmtId="4" fontId="23" fillId="24" borderId="7" xfId="0" applyNumberFormat="1" applyFont="1" applyFill="1" applyBorder="1" applyAlignment="1">
      <alignment horizontal="right"/>
    </xf>
    <xf numFmtId="3" fontId="23" fillId="24" borderId="7" xfId="0" applyNumberFormat="1" applyFont="1" applyFill="1" applyBorder="1" applyAlignment="1">
      <alignment horizontal="right"/>
    </xf>
    <xf numFmtId="3" fontId="23" fillId="24" borderId="16" xfId="0" applyNumberFormat="1" applyFont="1" applyFill="1" applyBorder="1" applyAlignment="1">
      <alignment horizontal="right"/>
    </xf>
    <xf numFmtId="0" fontId="24" fillId="24" borderId="17" xfId="62" applyFont="1" applyFill="1" applyBorder="1">
      <alignment/>
      <protection/>
    </xf>
    <xf numFmtId="1" fontId="23" fillId="24" borderId="18" xfId="0" applyNumberFormat="1" applyFont="1" applyFill="1" applyBorder="1" applyAlignment="1">
      <alignment/>
    </xf>
    <xf numFmtId="173" fontId="23" fillId="24" borderId="18" xfId="0" applyNumberFormat="1" applyFont="1" applyFill="1" applyBorder="1" applyAlignment="1">
      <alignment horizontal="right"/>
    </xf>
    <xf numFmtId="4" fontId="23" fillId="24" borderId="18" xfId="0" applyNumberFormat="1" applyFont="1" applyFill="1" applyBorder="1" applyAlignment="1">
      <alignment horizontal="right"/>
    </xf>
    <xf numFmtId="3" fontId="23" fillId="24" borderId="18" xfId="0" applyNumberFormat="1" applyFont="1" applyFill="1" applyBorder="1" applyAlignment="1">
      <alignment horizontal="right"/>
    </xf>
    <xf numFmtId="3" fontId="23" fillId="24" borderId="19" xfId="0" applyNumberFormat="1" applyFont="1" applyFill="1" applyBorder="1" applyAlignment="1">
      <alignment horizontal="right"/>
    </xf>
    <xf numFmtId="0" fontId="23" fillId="4" borderId="12" xfId="0" applyFont="1" applyFill="1" applyBorder="1" applyAlignment="1">
      <alignment horizontal="center"/>
    </xf>
    <xf numFmtId="0" fontId="23" fillId="4" borderId="13" xfId="0" applyFont="1" applyFill="1" applyBorder="1" applyAlignment="1">
      <alignment horizontal="center"/>
    </xf>
    <xf numFmtId="0" fontId="23" fillId="4" borderId="14" xfId="0" applyFont="1" applyFill="1" applyBorder="1" applyAlignment="1">
      <alignment horizontal="center"/>
    </xf>
    <xf numFmtId="0" fontId="22" fillId="4" borderId="15" xfId="0" applyFont="1" applyFill="1" applyBorder="1" applyAlignment="1">
      <alignment horizontal="center"/>
    </xf>
    <xf numFmtId="0" fontId="22" fillId="4" borderId="7" xfId="0" applyFont="1" applyFill="1" applyBorder="1" applyAlignment="1">
      <alignment horizontal="center"/>
    </xf>
    <xf numFmtId="0" fontId="23" fillId="4" borderId="7" xfId="0" applyFont="1" applyFill="1" applyBorder="1" applyAlignment="1">
      <alignment horizontal="center"/>
    </xf>
    <xf numFmtId="0" fontId="23" fillId="4" borderId="16" xfId="0" applyFont="1" applyFill="1" applyBorder="1" applyAlignment="1">
      <alignment horizontal="center"/>
    </xf>
    <xf numFmtId="0" fontId="23" fillId="24" borderId="15" xfId="0" applyFont="1" applyFill="1" applyBorder="1" applyAlignment="1">
      <alignment/>
    </xf>
    <xf numFmtId="0" fontId="28" fillId="24" borderId="15" xfId="0" applyFont="1" applyFill="1" applyBorder="1" applyAlignment="1">
      <alignment/>
    </xf>
    <xf numFmtId="0" fontId="28" fillId="24" borderId="17" xfId="0" applyFont="1" applyFill="1" applyBorder="1" applyAlignment="1">
      <alignment/>
    </xf>
    <xf numFmtId="0" fontId="23" fillId="24" borderId="18" xfId="0" applyFont="1" applyFill="1" applyBorder="1" applyAlignment="1">
      <alignment/>
    </xf>
    <xf numFmtId="0" fontId="23" fillId="24" borderId="19" xfId="0" applyFont="1" applyFill="1" applyBorder="1" applyAlignment="1">
      <alignment/>
    </xf>
    <xf numFmtId="0" fontId="23" fillId="8" borderId="12" xfId="0" applyFont="1" applyFill="1" applyBorder="1" applyAlignment="1">
      <alignment/>
    </xf>
    <xf numFmtId="0" fontId="23" fillId="8" borderId="14" xfId="0" applyFont="1" applyFill="1" applyBorder="1" applyAlignment="1">
      <alignment/>
    </xf>
    <xf numFmtId="0" fontId="23" fillId="8" borderId="15" xfId="0" applyFont="1" applyFill="1" applyBorder="1" applyAlignment="1">
      <alignment/>
    </xf>
    <xf numFmtId="0" fontId="23" fillId="8" borderId="16" xfId="0" applyFont="1" applyFill="1" applyBorder="1" applyAlignment="1">
      <alignment/>
    </xf>
    <xf numFmtId="9" fontId="23" fillId="24" borderId="16" xfId="77" applyFont="1" applyFill="1" applyBorder="1" applyAlignment="1">
      <alignment/>
    </xf>
    <xf numFmtId="0" fontId="23" fillId="24" borderId="17" xfId="0" applyFont="1" applyFill="1" applyBorder="1" applyAlignment="1">
      <alignment/>
    </xf>
    <xf numFmtId="0" fontId="23" fillId="0" borderId="20" xfId="0" applyFont="1" applyFill="1" applyBorder="1" applyAlignment="1">
      <alignment/>
    </xf>
    <xf numFmtId="2" fontId="24" fillId="0" borderId="21" xfId="0" applyNumberFormat="1" applyFont="1" applyFill="1" applyBorder="1" applyAlignment="1">
      <alignment/>
    </xf>
    <xf numFmtId="0" fontId="23" fillId="0" borderId="10" xfId="0" applyFont="1" applyFill="1" applyBorder="1" applyAlignment="1">
      <alignment/>
    </xf>
    <xf numFmtId="43" fontId="23" fillId="0" borderId="11" xfId="42" applyFont="1" applyFill="1" applyBorder="1" applyAlignment="1">
      <alignment/>
    </xf>
    <xf numFmtId="0" fontId="26" fillId="24" borderId="0" xfId="0" applyFont="1" applyFill="1" applyAlignment="1">
      <alignment/>
    </xf>
    <xf numFmtId="0" fontId="27" fillId="24" borderId="0" xfId="0" applyFont="1" applyFill="1" applyAlignment="1">
      <alignment/>
    </xf>
    <xf numFmtId="0" fontId="31" fillId="24" borderId="0" xfId="0" applyFont="1" applyFill="1" applyAlignment="1" applyProtection="1">
      <alignment/>
      <protection locked="0"/>
    </xf>
    <xf numFmtId="0" fontId="32" fillId="25" borderId="0" xfId="0" applyFont="1" applyFill="1" applyAlignment="1">
      <alignment vertical="center"/>
    </xf>
    <xf numFmtId="0" fontId="27" fillId="24" borderId="0" xfId="0" applyFont="1" applyFill="1" applyBorder="1" applyAlignment="1">
      <alignment/>
    </xf>
    <xf numFmtId="172" fontId="27" fillId="24" borderId="0" xfId="0" applyNumberFormat="1" applyFont="1" applyFill="1" applyBorder="1" applyAlignment="1">
      <alignment/>
    </xf>
    <xf numFmtId="0" fontId="26" fillId="24" borderId="0" xfId="0" applyFont="1" applyFill="1" applyBorder="1" applyAlignment="1">
      <alignment/>
    </xf>
    <xf numFmtId="0" fontId="37" fillId="0" borderId="0" xfId="64" applyFont="1" applyAlignment="1">
      <alignment horizontal="center"/>
      <protection/>
    </xf>
    <xf numFmtId="0" fontId="23" fillId="0" borderId="0" xfId="0" applyFont="1" applyBorder="1" applyAlignment="1">
      <alignment/>
    </xf>
    <xf numFmtId="0" fontId="23" fillId="7" borderId="10" xfId="0" applyFont="1" applyFill="1" applyBorder="1" applyAlignment="1">
      <alignment horizontal="center"/>
    </xf>
    <xf numFmtId="0" fontId="23" fillId="7" borderId="11" xfId="0" applyFont="1" applyFill="1" applyBorder="1" applyAlignment="1">
      <alignment horizontal="center"/>
    </xf>
    <xf numFmtId="0" fontId="23" fillId="26" borderId="10" xfId="0" applyFont="1" applyFill="1" applyBorder="1" applyAlignment="1">
      <alignment/>
    </xf>
    <xf numFmtId="0" fontId="23" fillId="26" borderId="0" xfId="0" applyFont="1" applyFill="1" applyBorder="1" applyAlignment="1">
      <alignment/>
    </xf>
    <xf numFmtId="0" fontId="23" fillId="26" borderId="0" xfId="0" applyFont="1" applyFill="1" applyBorder="1" applyAlignment="1">
      <alignment horizontal="center"/>
    </xf>
    <xf numFmtId="0" fontId="23" fillId="26" borderId="11" xfId="0" applyFont="1" applyFill="1" applyBorder="1" applyAlignment="1">
      <alignment/>
    </xf>
    <xf numFmtId="0" fontId="22" fillId="7" borderId="10" xfId="0" applyFont="1" applyFill="1" applyBorder="1" applyAlignment="1">
      <alignment horizontal="center"/>
    </xf>
    <xf numFmtId="0" fontId="22" fillId="7" borderId="11" xfId="0" applyFont="1" applyFill="1" applyBorder="1" applyAlignment="1">
      <alignment horizontal="center"/>
    </xf>
    <xf numFmtId="0" fontId="23" fillId="26" borderId="10" xfId="0" applyFont="1" applyFill="1" applyBorder="1" applyAlignment="1">
      <alignment horizontal="center"/>
    </xf>
    <xf numFmtId="0" fontId="23" fillId="26" borderId="11" xfId="0" applyFont="1" applyFill="1" applyBorder="1" applyAlignment="1">
      <alignment horizontal="center"/>
    </xf>
    <xf numFmtId="0" fontId="33" fillId="0" borderId="10" xfId="0" applyFont="1" applyFill="1" applyBorder="1" applyAlignment="1">
      <alignment horizontal="left"/>
    </xf>
    <xf numFmtId="0" fontId="22" fillId="0" borderId="11" xfId="0" applyFont="1" applyFill="1" applyBorder="1" applyAlignment="1">
      <alignment horizontal="center"/>
    </xf>
    <xf numFmtId="0" fontId="24" fillId="0" borderId="10" xfId="62" applyFont="1" applyBorder="1" applyAlignment="1">
      <alignment horizontal="left"/>
      <protection/>
    </xf>
    <xf numFmtId="183" fontId="23" fillId="0" borderId="11" xfId="0" applyNumberFormat="1" applyFont="1" applyBorder="1" applyAlignment="1">
      <alignment/>
    </xf>
    <xf numFmtId="0" fontId="23" fillId="0" borderId="0" xfId="0" applyFont="1" applyBorder="1" applyAlignment="1">
      <alignment horizontal="right" indent="2"/>
    </xf>
    <xf numFmtId="0" fontId="23" fillId="0" borderId="11" xfId="0" applyFont="1" applyBorder="1" applyAlignment="1">
      <alignment horizontal="right" indent="2"/>
    </xf>
    <xf numFmtId="0" fontId="24" fillId="0" borderId="10" xfId="62" applyFont="1" applyBorder="1">
      <alignment/>
      <protection/>
    </xf>
    <xf numFmtId="0" fontId="23" fillId="0" borderId="0" xfId="0" applyFont="1" applyBorder="1" applyAlignment="1">
      <alignment horizontal="left"/>
    </xf>
    <xf numFmtId="180" fontId="23" fillId="0" borderId="11" xfId="0" applyNumberFormat="1" applyFont="1" applyBorder="1" applyAlignment="1">
      <alignment/>
    </xf>
    <xf numFmtId="182" fontId="23" fillId="0" borderId="11" xfId="0" applyNumberFormat="1" applyFont="1" applyBorder="1" applyAlignment="1">
      <alignment/>
    </xf>
    <xf numFmtId="0" fontId="33" fillId="0" borderId="10" xfId="62" applyFont="1" applyBorder="1">
      <alignment/>
      <protection/>
    </xf>
    <xf numFmtId="0" fontId="23" fillId="0" borderId="0" xfId="0" applyFont="1" applyFill="1" applyBorder="1" applyAlignment="1">
      <alignment horizontal="right" indent="2"/>
    </xf>
    <xf numFmtId="1" fontId="23" fillId="0" borderId="11" xfId="0" applyNumberFormat="1" applyFont="1" applyBorder="1" applyAlignment="1">
      <alignment/>
    </xf>
    <xf numFmtId="0" fontId="24" fillId="0" borderId="20" xfId="62" applyFont="1" applyBorder="1">
      <alignment/>
      <protection/>
    </xf>
    <xf numFmtId="1" fontId="23" fillId="0" borderId="21" xfId="0" applyNumberFormat="1" applyFont="1" applyBorder="1" applyAlignment="1">
      <alignment/>
    </xf>
    <xf numFmtId="1" fontId="23" fillId="0" borderId="0" xfId="0" applyNumberFormat="1" applyFont="1" applyBorder="1" applyAlignment="1">
      <alignment/>
    </xf>
    <xf numFmtId="0" fontId="23" fillId="4" borderId="10" xfId="0" applyFont="1" applyFill="1" applyBorder="1" applyAlignment="1">
      <alignment horizontal="center"/>
    </xf>
    <xf numFmtId="0" fontId="23" fillId="4" borderId="0" xfId="0" applyFont="1" applyFill="1" applyBorder="1" applyAlignment="1">
      <alignment horizontal="center"/>
    </xf>
    <xf numFmtId="0" fontId="23" fillId="0" borderId="22" xfId="0" applyFont="1" applyBorder="1" applyAlignment="1">
      <alignment horizontal="right" indent="2"/>
    </xf>
    <xf numFmtId="0" fontId="23" fillId="0" borderId="21" xfId="0" applyFont="1" applyBorder="1" applyAlignment="1">
      <alignment horizontal="right" indent="2"/>
    </xf>
    <xf numFmtId="0" fontId="22" fillId="4" borderId="10" xfId="0" applyFont="1" applyFill="1" applyBorder="1" applyAlignment="1">
      <alignment horizontal="center"/>
    </xf>
    <xf numFmtId="0" fontId="22" fillId="4" borderId="0" xfId="0" applyFont="1" applyFill="1" applyBorder="1" applyAlignment="1">
      <alignment horizontal="center"/>
    </xf>
    <xf numFmtId="172" fontId="23" fillId="0" borderId="0" xfId="0" applyNumberFormat="1" applyFont="1" applyBorder="1" applyAlignment="1">
      <alignment/>
    </xf>
    <xf numFmtId="0" fontId="19" fillId="0" borderId="0" xfId="63">
      <alignment/>
      <protection/>
    </xf>
    <xf numFmtId="0" fontId="30" fillId="4" borderId="0" xfId="63" applyFont="1" applyFill="1">
      <alignment/>
      <protection/>
    </xf>
    <xf numFmtId="0" fontId="19" fillId="4" borderId="0" xfId="63" applyFill="1">
      <alignment/>
      <protection/>
    </xf>
    <xf numFmtId="0" fontId="30" fillId="4" borderId="0" xfId="63" applyFont="1" applyFill="1" applyAlignment="1">
      <alignment wrapText="1"/>
      <protection/>
    </xf>
    <xf numFmtId="0" fontId="30" fillId="0" borderId="0" xfId="63" applyFont="1" applyFill="1" applyAlignment="1">
      <alignment wrapText="1"/>
      <protection/>
    </xf>
    <xf numFmtId="3" fontId="19" fillId="0" borderId="0" xfId="63" applyNumberFormat="1">
      <alignment/>
      <protection/>
    </xf>
    <xf numFmtId="39" fontId="19" fillId="0" borderId="0" xfId="42" applyNumberFormat="1" applyFont="1" applyFill="1" applyAlignment="1">
      <alignment/>
    </xf>
    <xf numFmtId="0" fontId="30" fillId="0" borderId="0" xfId="63" applyFont="1">
      <alignment/>
      <protection/>
    </xf>
    <xf numFmtId="3" fontId="19" fillId="10" borderId="0" xfId="63" applyNumberFormat="1" applyFill="1">
      <alignment/>
      <protection/>
    </xf>
    <xf numFmtId="39" fontId="19" fillId="10" borderId="0" xfId="42" applyNumberFormat="1" applyFont="1" applyFill="1" applyAlignment="1">
      <alignment/>
    </xf>
    <xf numFmtId="196" fontId="19" fillId="0" borderId="0" xfId="63" applyNumberFormat="1">
      <alignment/>
      <protection/>
    </xf>
    <xf numFmtId="0" fontId="19" fillId="10" borderId="0" xfId="63" applyFill="1">
      <alignment/>
      <protection/>
    </xf>
    <xf numFmtId="0" fontId="19" fillId="27" borderId="0" xfId="63" applyFill="1">
      <alignment/>
      <protection/>
    </xf>
    <xf numFmtId="0" fontId="29" fillId="0" borderId="0" xfId="56" applyAlignment="1" applyProtection="1">
      <alignment/>
      <protection/>
    </xf>
    <xf numFmtId="0" fontId="19" fillId="28" borderId="0" xfId="63" applyFill="1">
      <alignment/>
      <protection/>
    </xf>
    <xf numFmtId="4" fontId="30" fillId="0" borderId="0" xfId="63" applyNumberFormat="1" applyFont="1">
      <alignment/>
      <protection/>
    </xf>
    <xf numFmtId="196" fontId="30" fillId="0" borderId="0" xfId="63" applyNumberFormat="1" applyFont="1">
      <alignment/>
      <protection/>
    </xf>
    <xf numFmtId="3" fontId="19" fillId="27" borderId="0" xfId="63" applyNumberFormat="1" applyFill="1">
      <alignment/>
      <protection/>
    </xf>
    <xf numFmtId="173" fontId="19" fillId="0" borderId="0" xfId="42" applyNumberFormat="1" applyFont="1" applyAlignment="1">
      <alignment/>
    </xf>
    <xf numFmtId="4" fontId="19" fillId="0" borderId="0" xfId="63" applyNumberFormat="1">
      <alignment/>
      <protection/>
    </xf>
    <xf numFmtId="173" fontId="19" fillId="0" borderId="0" xfId="63" applyNumberFormat="1">
      <alignment/>
      <protection/>
    </xf>
    <xf numFmtId="173" fontId="0" fillId="0" borderId="0" xfId="42" applyNumberFormat="1" applyAlignment="1">
      <alignment/>
    </xf>
    <xf numFmtId="4" fontId="0" fillId="0" borderId="0" xfId="0" applyNumberFormat="1" applyAlignment="1">
      <alignment/>
    </xf>
    <xf numFmtId="173" fontId="0" fillId="0" borderId="0" xfId="0" applyNumberFormat="1" applyAlignment="1">
      <alignment/>
    </xf>
    <xf numFmtId="173" fontId="19" fillId="27" borderId="0" xfId="63" applyNumberFormat="1" applyFill="1">
      <alignment/>
      <protection/>
    </xf>
    <xf numFmtId="0" fontId="0" fillId="27" borderId="0" xfId="0" applyFill="1" applyAlignment="1">
      <alignment/>
    </xf>
    <xf numFmtId="173" fontId="0" fillId="27" borderId="0" xfId="0" applyNumberFormat="1" applyFill="1" applyAlignment="1">
      <alignment/>
    </xf>
    <xf numFmtId="0" fontId="35" fillId="4" borderId="0" xfId="64" applyFont="1" applyFill="1">
      <alignment/>
      <protection/>
    </xf>
    <xf numFmtId="0" fontId="36" fillId="4" borderId="0" xfId="64" applyFont="1" applyFill="1">
      <alignment/>
      <protection/>
    </xf>
    <xf numFmtId="0" fontId="36" fillId="0" borderId="0" xfId="64" applyFont="1">
      <alignment/>
      <protection/>
    </xf>
    <xf numFmtId="0" fontId="35" fillId="0" borderId="0" xfId="64" applyFont="1">
      <alignment/>
      <protection/>
    </xf>
    <xf numFmtId="0" fontId="37" fillId="0" borderId="0" xfId="64" applyFont="1" applyAlignment="1">
      <alignment horizontal="right"/>
      <protection/>
    </xf>
    <xf numFmtId="3" fontId="36" fillId="0" borderId="0" xfId="64" applyNumberFormat="1" applyFont="1">
      <alignment/>
      <protection/>
    </xf>
    <xf numFmtId="173" fontId="36" fillId="0" borderId="0" xfId="64" applyNumberFormat="1" applyFont="1">
      <alignment/>
      <protection/>
    </xf>
    <xf numFmtId="173" fontId="19" fillId="28" borderId="0" xfId="63" applyNumberFormat="1" applyFill="1">
      <alignment/>
      <protection/>
    </xf>
    <xf numFmtId="0" fontId="37" fillId="0" borderId="0" xfId="64" applyFont="1" applyAlignment="1">
      <alignment horizontal="center" wrapText="1"/>
      <protection/>
    </xf>
    <xf numFmtId="0" fontId="37" fillId="0" borderId="0" xfId="64" applyFont="1">
      <alignment/>
      <protection/>
    </xf>
    <xf numFmtId="3" fontId="36" fillId="0" borderId="0" xfId="64" applyNumberFormat="1" applyFont="1" applyAlignment="1">
      <alignment horizontal="right"/>
      <protection/>
    </xf>
    <xf numFmtId="0" fontId="38" fillId="0" borderId="0" xfId="0" applyFont="1" applyAlignment="1">
      <alignment/>
    </xf>
    <xf numFmtId="0" fontId="24" fillId="0" borderId="0" xfId="62" applyFont="1" applyBorder="1">
      <alignment/>
      <protection/>
    </xf>
    <xf numFmtId="0" fontId="24" fillId="4" borderId="7" xfId="0" applyFont="1" applyFill="1" applyBorder="1" applyAlignment="1">
      <alignment horizontal="center"/>
    </xf>
    <xf numFmtId="3" fontId="23" fillId="0" borderId="7" xfId="0" applyNumberFormat="1" applyFont="1" applyFill="1" applyBorder="1" applyAlignment="1">
      <alignment horizontal="right"/>
    </xf>
    <xf numFmtId="3" fontId="23" fillId="0" borderId="18" xfId="0" applyNumberFormat="1" applyFont="1" applyFill="1" applyBorder="1" applyAlignment="1">
      <alignment horizontal="right"/>
    </xf>
    <xf numFmtId="0" fontId="30" fillId="0" borderId="0" xfId="0" applyFont="1" applyAlignment="1">
      <alignment/>
    </xf>
    <xf numFmtId="0" fontId="23" fillId="24" borderId="10" xfId="0" applyFont="1" applyFill="1" applyBorder="1" applyAlignment="1">
      <alignment/>
    </xf>
    <xf numFmtId="43" fontId="23" fillId="24" borderId="11" xfId="0" applyNumberFormat="1" applyFont="1" applyFill="1" applyBorder="1" applyAlignment="1">
      <alignment/>
    </xf>
    <xf numFmtId="0" fontId="22" fillId="0" borderId="0" xfId="0" applyFont="1" applyFill="1" applyBorder="1" applyAlignment="1">
      <alignment horizontal="center"/>
    </xf>
    <xf numFmtId="0" fontId="39" fillId="0" borderId="0" xfId="0" applyFont="1" applyBorder="1" applyAlignment="1">
      <alignment/>
    </xf>
    <xf numFmtId="0" fontId="19" fillId="24" borderId="0" xfId="60" applyFill="1">
      <alignment/>
      <protection/>
    </xf>
    <xf numFmtId="0" fontId="30" fillId="24" borderId="0" xfId="60" applyFont="1" applyFill="1">
      <alignment/>
      <protection/>
    </xf>
    <xf numFmtId="0" fontId="24" fillId="24" borderId="0" xfId="60" applyFont="1" applyFill="1">
      <alignment/>
      <protection/>
    </xf>
    <xf numFmtId="0" fontId="19" fillId="0" borderId="23" xfId="60" applyFill="1" applyBorder="1">
      <alignment/>
      <protection/>
    </xf>
    <xf numFmtId="0" fontId="19" fillId="0" borderId="20" xfId="60" applyFill="1" applyBorder="1">
      <alignment/>
      <protection/>
    </xf>
    <xf numFmtId="0" fontId="19" fillId="0" borderId="10" xfId="60" applyFont="1" applyFill="1" applyBorder="1">
      <alignment/>
      <protection/>
    </xf>
    <xf numFmtId="0" fontId="40" fillId="29" borderId="23" xfId="60" applyFont="1" applyFill="1" applyBorder="1" applyAlignment="1">
      <alignment horizontal="left"/>
      <protection/>
    </xf>
    <xf numFmtId="0" fontId="40" fillId="29" borderId="24" xfId="60" applyFont="1" applyFill="1" applyBorder="1" applyAlignment="1">
      <alignment horizontal="center"/>
      <protection/>
    </xf>
    <xf numFmtId="0" fontId="40" fillId="29" borderId="25" xfId="60" applyFont="1" applyFill="1" applyBorder="1" applyAlignment="1">
      <alignment horizontal="center"/>
      <protection/>
    </xf>
    <xf numFmtId="0" fontId="30" fillId="4" borderId="20" xfId="60" applyFont="1" applyFill="1" applyBorder="1" applyAlignment="1">
      <alignment wrapText="1"/>
      <protection/>
    </xf>
    <xf numFmtId="0" fontId="30" fillId="4" borderId="22" xfId="60" applyFont="1" applyFill="1" applyBorder="1" applyAlignment="1">
      <alignment horizontal="center" wrapText="1"/>
      <protection/>
    </xf>
    <xf numFmtId="0" fontId="30" fillId="4" borderId="21" xfId="60" applyFont="1" applyFill="1" applyBorder="1" applyAlignment="1">
      <alignment horizontal="center" wrapText="1"/>
      <protection/>
    </xf>
    <xf numFmtId="0" fontId="19" fillId="0" borderId="20" xfId="60" applyFont="1" applyFill="1" applyBorder="1">
      <alignment/>
      <protection/>
    </xf>
    <xf numFmtId="0" fontId="19" fillId="0" borderId="23" xfId="60" applyFont="1" applyFill="1" applyBorder="1">
      <alignment/>
      <protection/>
    </xf>
    <xf numFmtId="0" fontId="19" fillId="0" borderId="10" xfId="60" applyFill="1" applyBorder="1">
      <alignment/>
      <protection/>
    </xf>
    <xf numFmtId="0" fontId="19" fillId="24" borderId="0" xfId="60" applyFill="1" applyBorder="1">
      <alignment/>
      <protection/>
    </xf>
    <xf numFmtId="0" fontId="40" fillId="29" borderId="10" xfId="60" applyFont="1" applyFill="1" applyBorder="1" applyAlignment="1">
      <alignment horizontal="center"/>
      <protection/>
    </xf>
    <xf numFmtId="0" fontId="40" fillId="29" borderId="0" xfId="60" applyFont="1" applyFill="1" applyBorder="1" applyAlignment="1">
      <alignment horizontal="center"/>
      <protection/>
    </xf>
    <xf numFmtId="0" fontId="40" fillId="29" borderId="11" xfId="60" applyFont="1" applyFill="1" applyBorder="1" applyAlignment="1">
      <alignment horizontal="center"/>
      <protection/>
    </xf>
    <xf numFmtId="0" fontId="41" fillId="24" borderId="0" xfId="60" applyFont="1" applyFill="1">
      <alignment/>
      <protection/>
    </xf>
    <xf numFmtId="0" fontId="30" fillId="8" borderId="20" xfId="60" applyFont="1" applyFill="1" applyBorder="1" applyAlignment="1">
      <alignment wrapText="1"/>
      <protection/>
    </xf>
    <xf numFmtId="0" fontId="30" fillId="8" borderId="22" xfId="60" applyFont="1" applyFill="1" applyBorder="1" applyAlignment="1">
      <alignment horizontal="center" wrapText="1"/>
      <protection/>
    </xf>
    <xf numFmtId="0" fontId="30" fillId="8" borderId="21" xfId="60" applyFont="1" applyFill="1" applyBorder="1" applyAlignment="1">
      <alignment horizontal="center" wrapText="1"/>
      <protection/>
    </xf>
    <xf numFmtId="0" fontId="40" fillId="17" borderId="23" xfId="60" applyFont="1" applyFill="1" applyBorder="1" applyAlignment="1">
      <alignment horizontal="left"/>
      <protection/>
    </xf>
    <xf numFmtId="0" fontId="40" fillId="17" borderId="24" xfId="60" applyFont="1" applyFill="1" applyBorder="1" applyAlignment="1">
      <alignment horizontal="left"/>
      <protection/>
    </xf>
    <xf numFmtId="0" fontId="40" fillId="17" borderId="25" xfId="60" applyFont="1" applyFill="1" applyBorder="1" applyAlignment="1">
      <alignment horizontal="left"/>
      <protection/>
    </xf>
    <xf numFmtId="0" fontId="19" fillId="7" borderId="10" xfId="60" applyFill="1" applyBorder="1">
      <alignment/>
      <protection/>
    </xf>
    <xf numFmtId="0" fontId="19" fillId="7" borderId="0" xfId="60" applyFill="1" applyBorder="1">
      <alignment/>
      <protection/>
    </xf>
    <xf numFmtId="0" fontId="19" fillId="0" borderId="0" xfId="60" applyFill="1" applyBorder="1">
      <alignment/>
      <protection/>
    </xf>
    <xf numFmtId="174" fontId="19" fillId="24" borderId="0" xfId="60" applyNumberFormat="1" applyFill="1">
      <alignment/>
      <protection/>
    </xf>
    <xf numFmtId="0" fontId="19" fillId="0" borderId="0" xfId="60" applyFont="1" applyFill="1" applyBorder="1">
      <alignment/>
      <protection/>
    </xf>
    <xf numFmtId="0" fontId="30" fillId="24" borderId="0" xfId="60" applyFont="1" applyFill="1" applyBorder="1" applyAlignment="1">
      <alignment horizontal="center" wrapText="1"/>
      <protection/>
    </xf>
    <xf numFmtId="0" fontId="30" fillId="0" borderId="0" xfId="60" applyFont="1" applyAlignment="1">
      <alignment horizontal="center"/>
      <protection/>
    </xf>
    <xf numFmtId="0" fontId="19" fillId="0" borderId="0" xfId="60">
      <alignment/>
      <protection/>
    </xf>
    <xf numFmtId="0" fontId="19" fillId="0" borderId="0" xfId="60" applyAlignment="1">
      <alignment horizontal="center"/>
      <protection/>
    </xf>
    <xf numFmtId="0" fontId="30" fillId="24" borderId="0" xfId="60" applyFont="1" applyFill="1" applyAlignment="1">
      <alignment horizontal="center" vertical="top" wrapText="1"/>
      <protection/>
    </xf>
    <xf numFmtId="0" fontId="19" fillId="24" borderId="0" xfId="60" applyFill="1" applyAlignment="1">
      <alignment vertical="top" wrapText="1"/>
      <protection/>
    </xf>
    <xf numFmtId="0" fontId="19" fillId="24" borderId="0" xfId="60" applyFill="1" applyAlignment="1">
      <alignment horizontal="center" vertical="top" wrapText="1"/>
      <protection/>
    </xf>
    <xf numFmtId="3" fontId="19" fillId="24" borderId="0" xfId="60" applyNumberFormat="1" applyFill="1" applyAlignment="1">
      <alignment horizontal="center" vertical="top" wrapText="1"/>
      <protection/>
    </xf>
    <xf numFmtId="2" fontId="19" fillId="24" borderId="0" xfId="60" applyNumberFormat="1" applyFill="1" applyAlignment="1">
      <alignment horizontal="center" vertical="top" wrapText="1"/>
      <protection/>
    </xf>
    <xf numFmtId="0" fontId="19" fillId="0" borderId="0" xfId="60" applyAlignment="1">
      <alignment horizontal="left" indent="1"/>
      <protection/>
    </xf>
    <xf numFmtId="0" fontId="40" fillId="25" borderId="0" xfId="60" applyFont="1" applyFill="1">
      <alignment/>
      <protection/>
    </xf>
    <xf numFmtId="0" fontId="19" fillId="25" borderId="0" xfId="60" applyFill="1">
      <alignment/>
      <protection/>
    </xf>
    <xf numFmtId="9" fontId="19" fillId="0" borderId="24" xfId="78" applyFill="1" applyBorder="1" applyAlignment="1">
      <alignment/>
    </xf>
    <xf numFmtId="9" fontId="19" fillId="0" borderId="25" xfId="78" applyFill="1" applyBorder="1" applyAlignment="1">
      <alignment/>
    </xf>
    <xf numFmtId="9" fontId="19" fillId="0" borderId="0" xfId="78" applyFill="1" applyBorder="1" applyAlignment="1">
      <alignment/>
    </xf>
    <xf numFmtId="9" fontId="19" fillId="0" borderId="0" xfId="78" applyFont="1" applyFill="1" applyBorder="1" applyAlignment="1">
      <alignment/>
    </xf>
    <xf numFmtId="9" fontId="19" fillId="0" borderId="11" xfId="78" applyFont="1" applyFill="1" applyBorder="1" applyAlignment="1">
      <alignment/>
    </xf>
    <xf numFmtId="9" fontId="19" fillId="0" borderId="11" xfId="78" applyFill="1" applyBorder="1" applyAlignment="1">
      <alignment/>
    </xf>
    <xf numFmtId="9" fontId="19" fillId="0" borderId="22" xfId="78" applyFill="1" applyBorder="1" applyAlignment="1">
      <alignment/>
    </xf>
    <xf numFmtId="9" fontId="19" fillId="0" borderId="22" xfId="78" applyFont="1" applyFill="1" applyBorder="1" applyAlignment="1">
      <alignment/>
    </xf>
    <xf numFmtId="9" fontId="19" fillId="0" borderId="21" xfId="78" applyFont="1" applyFill="1" applyBorder="1" applyAlignment="1">
      <alignment/>
    </xf>
    <xf numFmtId="9" fontId="19" fillId="0" borderId="21" xfId="78" applyFill="1" applyBorder="1" applyAlignment="1">
      <alignment/>
    </xf>
    <xf numFmtId="9" fontId="19" fillId="0" borderId="24" xfId="78" applyFont="1" applyFill="1" applyBorder="1" applyAlignment="1">
      <alignment/>
    </xf>
    <xf numFmtId="0" fontId="19" fillId="7" borderId="0" xfId="60" applyFont="1" applyFill="1" applyBorder="1">
      <alignment/>
      <protection/>
    </xf>
    <xf numFmtId="0" fontId="19" fillId="7" borderId="11" xfId="60" applyFont="1" applyFill="1" applyBorder="1">
      <alignment/>
      <protection/>
    </xf>
    <xf numFmtId="172" fontId="19" fillId="0" borderId="0" xfId="60" applyNumberFormat="1" applyFont="1" applyFill="1" applyBorder="1">
      <alignment/>
      <protection/>
    </xf>
    <xf numFmtId="172" fontId="19" fillId="24" borderId="0" xfId="60" applyNumberFormat="1" applyFont="1" applyFill="1" applyBorder="1">
      <alignment/>
      <protection/>
    </xf>
    <xf numFmtId="172" fontId="19" fillId="24" borderId="11" xfId="60" applyNumberFormat="1" applyFont="1" applyFill="1" applyBorder="1">
      <alignment/>
      <protection/>
    </xf>
    <xf numFmtId="0" fontId="19" fillId="0" borderId="22" xfId="60" applyFont="1" applyFill="1" applyBorder="1">
      <alignment/>
      <protection/>
    </xf>
    <xf numFmtId="0" fontId="19" fillId="0" borderId="22" xfId="60" applyFill="1" applyBorder="1">
      <alignment/>
      <protection/>
    </xf>
    <xf numFmtId="172" fontId="19" fillId="0" borderId="22" xfId="60" applyNumberFormat="1" applyFont="1" applyFill="1" applyBorder="1">
      <alignment/>
      <protection/>
    </xf>
    <xf numFmtId="172" fontId="19" fillId="24" borderId="22" xfId="60" applyNumberFormat="1" applyFont="1" applyFill="1" applyBorder="1">
      <alignment/>
      <protection/>
    </xf>
    <xf numFmtId="172" fontId="19" fillId="24" borderId="21" xfId="60" applyNumberFormat="1" applyFont="1" applyFill="1" applyBorder="1">
      <alignment/>
      <protection/>
    </xf>
    <xf numFmtId="0" fontId="40" fillId="25" borderId="23" xfId="60" applyFont="1" applyFill="1" applyBorder="1" applyAlignment="1">
      <alignment horizontal="left"/>
      <protection/>
    </xf>
    <xf numFmtId="0" fontId="40" fillId="25" borderId="24" xfId="60" applyFont="1" applyFill="1" applyBorder="1" applyAlignment="1">
      <alignment horizontal="left"/>
      <protection/>
    </xf>
    <xf numFmtId="0" fontId="40" fillId="25" borderId="25" xfId="60" applyFont="1" applyFill="1" applyBorder="1" applyAlignment="1">
      <alignment horizontal="left"/>
      <protection/>
    </xf>
    <xf numFmtId="0" fontId="19" fillId="8" borderId="10" xfId="60" applyFill="1" applyBorder="1">
      <alignment/>
      <protection/>
    </xf>
    <xf numFmtId="0" fontId="19" fillId="8" borderId="0" xfId="60" applyFill="1" applyBorder="1">
      <alignment/>
      <protection/>
    </xf>
    <xf numFmtId="0" fontId="19" fillId="8" borderId="0" xfId="60" applyFont="1" applyFill="1" applyBorder="1">
      <alignment/>
      <protection/>
    </xf>
    <xf numFmtId="0" fontId="19" fillId="8" borderId="11" xfId="60" applyFont="1" applyFill="1" applyBorder="1">
      <alignment/>
      <protection/>
    </xf>
    <xf numFmtId="1" fontId="19" fillId="0" borderId="0" xfId="60" applyNumberFormat="1" applyFont="1" applyFill="1" applyBorder="1">
      <alignment/>
      <protection/>
    </xf>
    <xf numFmtId="1" fontId="19" fillId="24" borderId="0" xfId="60" applyNumberFormat="1" applyFont="1" applyFill="1" applyBorder="1">
      <alignment/>
      <protection/>
    </xf>
    <xf numFmtId="1" fontId="19" fillId="24" borderId="11" xfId="60" applyNumberFormat="1" applyFont="1" applyFill="1" applyBorder="1">
      <alignment/>
      <protection/>
    </xf>
    <xf numFmtId="1" fontId="19" fillId="24" borderId="0" xfId="60" applyNumberFormat="1" applyFill="1">
      <alignment/>
      <protection/>
    </xf>
    <xf numFmtId="1" fontId="19" fillId="0" borderId="22" xfId="60" applyNumberFormat="1" applyFont="1" applyFill="1" applyBorder="1">
      <alignment/>
      <protection/>
    </xf>
    <xf numFmtId="1" fontId="19" fillId="24" borderId="22" xfId="60" applyNumberFormat="1" applyFont="1" applyFill="1" applyBorder="1">
      <alignment/>
      <protection/>
    </xf>
    <xf numFmtId="1" fontId="19" fillId="24" borderId="21" xfId="60" applyNumberFormat="1" applyFont="1" applyFill="1" applyBorder="1">
      <alignment/>
      <protection/>
    </xf>
    <xf numFmtId="0" fontId="19" fillId="24" borderId="0" xfId="60" applyFont="1" applyFill="1">
      <alignment/>
      <protection/>
    </xf>
    <xf numFmtId="0" fontId="40" fillId="25" borderId="23" xfId="60" applyFont="1" applyFill="1" applyBorder="1" applyAlignment="1">
      <alignment wrapText="1"/>
      <protection/>
    </xf>
    <xf numFmtId="0" fontId="40" fillId="25" borderId="24" xfId="60" applyFont="1" applyFill="1" applyBorder="1" applyAlignment="1">
      <alignment horizontal="center" wrapText="1"/>
      <protection/>
    </xf>
    <xf numFmtId="0" fontId="40" fillId="25" borderId="25" xfId="60" applyFont="1" applyFill="1" applyBorder="1" applyAlignment="1">
      <alignment horizontal="center" wrapText="1"/>
      <protection/>
    </xf>
    <xf numFmtId="0" fontId="19" fillId="24" borderId="0" xfId="60" applyFont="1" applyFill="1">
      <alignment/>
      <protection/>
    </xf>
    <xf numFmtId="0" fontId="19" fillId="0" borderId="15" xfId="60" applyFont="1" applyFill="1" applyBorder="1">
      <alignment/>
      <protection/>
    </xf>
    <xf numFmtId="0" fontId="19" fillId="0" borderId="17" xfId="60" applyFont="1" applyFill="1" applyBorder="1">
      <alignment/>
      <protection/>
    </xf>
    <xf numFmtId="0" fontId="43" fillId="24" borderId="26" xfId="60" applyFont="1" applyFill="1" applyBorder="1" applyAlignment="1">
      <alignment horizontal="left"/>
      <protection/>
    </xf>
    <xf numFmtId="9" fontId="34" fillId="24" borderId="27" xfId="77" applyFont="1" applyFill="1" applyBorder="1" applyAlignment="1">
      <alignment horizontal="right"/>
    </xf>
    <xf numFmtId="0" fontId="19" fillId="24" borderId="12" xfId="60" applyFont="1" applyFill="1" applyBorder="1">
      <alignment/>
      <protection/>
    </xf>
    <xf numFmtId="0" fontId="19" fillId="24" borderId="15" xfId="60" applyFont="1" applyFill="1" applyBorder="1">
      <alignment/>
      <protection/>
    </xf>
    <xf numFmtId="0" fontId="19" fillId="24" borderId="17" xfId="60" applyFont="1" applyFill="1" applyBorder="1">
      <alignment/>
      <protection/>
    </xf>
    <xf numFmtId="0" fontId="19" fillId="0" borderId="15" xfId="60" applyFill="1" applyBorder="1">
      <alignment/>
      <protection/>
    </xf>
    <xf numFmtId="0" fontId="19" fillId="22" borderId="7" xfId="60" applyFill="1" applyBorder="1">
      <alignment/>
      <protection/>
    </xf>
    <xf numFmtId="0" fontId="19" fillId="22" borderId="16" xfId="60" applyFill="1" applyBorder="1">
      <alignment/>
      <protection/>
    </xf>
    <xf numFmtId="0" fontId="19" fillId="0" borderId="17" xfId="60" applyFill="1" applyBorder="1">
      <alignment/>
      <protection/>
    </xf>
    <xf numFmtId="0" fontId="19" fillId="22" borderId="18" xfId="60" applyFill="1" applyBorder="1">
      <alignment/>
      <protection/>
    </xf>
    <xf numFmtId="0" fontId="41" fillId="24" borderId="0" xfId="60" applyFont="1" applyFill="1">
      <alignment/>
      <protection/>
    </xf>
    <xf numFmtId="0" fontId="44" fillId="24" borderId="0" xfId="60" applyFont="1" applyFill="1">
      <alignment/>
      <protection/>
    </xf>
    <xf numFmtId="0" fontId="45" fillId="25" borderId="0" xfId="0" applyFont="1" applyFill="1" applyAlignment="1">
      <alignment vertical="center"/>
    </xf>
    <xf numFmtId="0" fontId="30" fillId="8" borderId="15" xfId="60" applyFont="1" applyFill="1" applyBorder="1" applyAlignment="1">
      <alignment wrapText="1"/>
      <protection/>
    </xf>
    <xf numFmtId="0" fontId="30" fillId="8" borderId="7" xfId="60" applyFont="1" applyFill="1" applyBorder="1" applyAlignment="1">
      <alignment horizontal="center" wrapText="1"/>
      <protection/>
    </xf>
    <xf numFmtId="0" fontId="30" fillId="8" borderId="16" xfId="60" applyFont="1" applyFill="1" applyBorder="1" applyAlignment="1">
      <alignment horizontal="center" wrapText="1"/>
      <protection/>
    </xf>
    <xf numFmtId="174" fontId="19" fillId="0" borderId="7" xfId="44" applyNumberFormat="1" applyFont="1" applyFill="1" applyBorder="1" applyAlignment="1">
      <alignment horizontal="right"/>
    </xf>
    <xf numFmtId="174" fontId="19" fillId="0" borderId="16" xfId="44" applyNumberFormat="1" applyFont="1" applyFill="1" applyBorder="1" applyAlignment="1">
      <alignment horizontal="right"/>
    </xf>
    <xf numFmtId="174" fontId="19" fillId="0" borderId="18" xfId="44" applyNumberFormat="1" applyFont="1" applyFill="1" applyBorder="1" applyAlignment="1">
      <alignment horizontal="right"/>
    </xf>
    <xf numFmtId="174" fontId="19" fillId="0" borderId="19" xfId="44" applyNumberFormat="1" applyFont="1" applyFill="1" applyBorder="1" applyAlignment="1">
      <alignment horizontal="right"/>
    </xf>
    <xf numFmtId="9" fontId="19" fillId="24" borderId="0" xfId="78" applyFill="1" applyBorder="1" applyAlignment="1">
      <alignment/>
    </xf>
    <xf numFmtId="9" fontId="42" fillId="7" borderId="16" xfId="77" applyFont="1" applyFill="1" applyBorder="1" applyAlignment="1">
      <alignment/>
    </xf>
    <xf numFmtId="9" fontId="19" fillId="7" borderId="7" xfId="77" applyFont="1" applyFill="1" applyBorder="1" applyAlignment="1">
      <alignment/>
    </xf>
    <xf numFmtId="9" fontId="42" fillId="7" borderId="7" xfId="77" applyFont="1" applyFill="1" applyBorder="1" applyAlignment="1">
      <alignment/>
    </xf>
    <xf numFmtId="9" fontId="19" fillId="7" borderId="18" xfId="77" applyFont="1" applyFill="1" applyBorder="1" applyAlignment="1">
      <alignment/>
    </xf>
    <xf numFmtId="0" fontId="30" fillId="0" borderId="0" xfId="60" applyFont="1" applyFill="1" applyBorder="1" applyAlignment="1">
      <alignment horizontal="center"/>
      <protection/>
    </xf>
    <xf numFmtId="0" fontId="30" fillId="0" borderId="0" xfId="60" applyFont="1" applyFill="1" applyBorder="1" applyAlignment="1">
      <alignment/>
      <protection/>
    </xf>
    <xf numFmtId="0" fontId="30" fillId="0" borderId="0" xfId="60" applyFont="1" applyFill="1" applyBorder="1" applyAlignment="1">
      <alignment wrapText="1"/>
      <protection/>
    </xf>
    <xf numFmtId="0" fontId="30" fillId="0" borderId="0" xfId="60" applyFont="1" applyFill="1" applyBorder="1" applyAlignment="1">
      <alignment horizontal="center" wrapText="1"/>
      <protection/>
    </xf>
    <xf numFmtId="0" fontId="40" fillId="29" borderId="23" xfId="60" applyFont="1" applyFill="1" applyBorder="1" applyAlignment="1">
      <alignment wrapText="1"/>
      <protection/>
    </xf>
    <xf numFmtId="0" fontId="40" fillId="29" borderId="24" xfId="60" applyFont="1" applyFill="1" applyBorder="1" applyAlignment="1">
      <alignment horizontal="center" wrapText="1"/>
      <protection/>
    </xf>
    <xf numFmtId="0" fontId="40" fillId="29" borderId="25" xfId="60" applyFont="1" applyFill="1" applyBorder="1" applyAlignment="1">
      <alignment horizontal="center" wrapText="1"/>
      <protection/>
    </xf>
    <xf numFmtId="0" fontId="40" fillId="29" borderId="28" xfId="60" applyFont="1" applyFill="1" applyBorder="1" applyAlignment="1">
      <alignment horizontal="center" wrapText="1"/>
      <protection/>
    </xf>
    <xf numFmtId="0" fontId="40" fillId="29" borderId="29" xfId="60" applyFont="1" applyFill="1" applyBorder="1">
      <alignment/>
      <protection/>
    </xf>
    <xf numFmtId="0" fontId="40" fillId="29" borderId="30" xfId="60" applyFont="1" applyFill="1" applyBorder="1">
      <alignment/>
      <protection/>
    </xf>
    <xf numFmtId="0" fontId="43" fillId="24" borderId="12" xfId="60" applyFont="1" applyFill="1" applyBorder="1" applyAlignment="1">
      <alignment horizontal="left"/>
      <protection/>
    </xf>
    <xf numFmtId="175" fontId="34" fillId="24" borderId="13" xfId="42" applyNumberFormat="1" applyFont="1" applyFill="1" applyBorder="1" applyAlignment="1">
      <alignment horizontal="right"/>
    </xf>
    <xf numFmtId="9" fontId="34" fillId="24" borderId="14" xfId="77" applyFont="1" applyFill="1" applyBorder="1" applyAlignment="1">
      <alignment horizontal="right"/>
    </xf>
    <xf numFmtId="0" fontId="43" fillId="24" borderId="15" xfId="60" applyFont="1" applyFill="1" applyBorder="1" applyAlignment="1">
      <alignment horizontal="left"/>
      <protection/>
    </xf>
    <xf numFmtId="175" fontId="34" fillId="24" borderId="7" xfId="42" applyNumberFormat="1" applyFont="1" applyFill="1" applyBorder="1" applyAlignment="1">
      <alignment horizontal="right"/>
    </xf>
    <xf numFmtId="9" fontId="34" fillId="24" borderId="16" xfId="77" applyFont="1" applyFill="1" applyBorder="1" applyAlignment="1">
      <alignment horizontal="right"/>
    </xf>
    <xf numFmtId="0" fontId="19" fillId="0" borderId="10" xfId="65" applyFont="1" applyFill="1" applyBorder="1">
      <alignment/>
      <protection/>
    </xf>
    <xf numFmtId="0" fontId="19" fillId="0" borderId="20" xfId="65" applyFont="1" applyFill="1" applyBorder="1">
      <alignment/>
      <protection/>
    </xf>
    <xf numFmtId="0" fontId="30" fillId="24" borderId="0" xfId="60" applyFont="1" applyFill="1" applyBorder="1">
      <alignment/>
      <protection/>
    </xf>
    <xf numFmtId="0" fontId="30" fillId="8" borderId="12" xfId="60" applyFont="1" applyFill="1" applyBorder="1" applyAlignment="1">
      <alignment horizontal="right" wrapText="1"/>
      <protection/>
    </xf>
    <xf numFmtId="0" fontId="30" fillId="8" borderId="13" xfId="60" applyFont="1" applyFill="1" applyBorder="1" applyAlignment="1">
      <alignment wrapText="1"/>
      <protection/>
    </xf>
    <xf numFmtId="0" fontId="30" fillId="8" borderId="14" xfId="60" applyFont="1" applyFill="1" applyBorder="1" applyAlignment="1">
      <alignment wrapText="1"/>
      <protection/>
    </xf>
    <xf numFmtId="0" fontId="19" fillId="0" borderId="15" xfId="60" applyFont="1" applyFill="1" applyBorder="1" applyAlignment="1">
      <alignment horizontal="left"/>
      <protection/>
    </xf>
    <xf numFmtId="0" fontId="30" fillId="8" borderId="7" xfId="60" applyFont="1" applyFill="1" applyBorder="1" applyAlignment="1">
      <alignment wrapText="1"/>
      <protection/>
    </xf>
    <xf numFmtId="0" fontId="30" fillId="8" borderId="16" xfId="60" applyFont="1" applyFill="1" applyBorder="1" applyAlignment="1">
      <alignment wrapText="1"/>
      <protection/>
    </xf>
    <xf numFmtId="0" fontId="19" fillId="0" borderId="17" xfId="60" applyFont="1" applyFill="1" applyBorder="1" applyAlignment="1">
      <alignment horizontal="left"/>
      <protection/>
    </xf>
    <xf numFmtId="0" fontId="19" fillId="22" borderId="19" xfId="60" applyFill="1" applyBorder="1">
      <alignment/>
      <protection/>
    </xf>
    <xf numFmtId="0" fontId="40" fillId="0" borderId="0" xfId="66" applyFont="1" applyFill="1" applyBorder="1" applyAlignment="1">
      <alignment/>
      <protection/>
    </xf>
    <xf numFmtId="0" fontId="19" fillId="24" borderId="0" xfId="66" applyFill="1" applyBorder="1">
      <alignment/>
      <protection/>
    </xf>
    <xf numFmtId="0" fontId="19" fillId="24" borderId="0" xfId="66" applyFill="1">
      <alignment/>
      <protection/>
    </xf>
    <xf numFmtId="0" fontId="30" fillId="8" borderId="15" xfId="66" applyFont="1" applyFill="1" applyBorder="1" applyAlignment="1">
      <alignment wrapText="1"/>
      <protection/>
    </xf>
    <xf numFmtId="0" fontId="30" fillId="8" borderId="7" xfId="66" applyFont="1" applyFill="1" applyBorder="1" applyAlignment="1">
      <alignment horizontal="center" wrapText="1"/>
      <protection/>
    </xf>
    <xf numFmtId="0" fontId="30" fillId="8" borderId="16" xfId="66" applyFont="1" applyFill="1" applyBorder="1" applyAlignment="1">
      <alignment horizontal="center" wrapText="1"/>
      <protection/>
    </xf>
    <xf numFmtId="0" fontId="19" fillId="0" borderId="15" xfId="66" applyFill="1" applyBorder="1">
      <alignment/>
      <protection/>
    </xf>
    <xf numFmtId="174" fontId="19" fillId="24" borderId="7" xfId="42" applyNumberFormat="1" applyFont="1" applyFill="1" applyBorder="1" applyAlignment="1">
      <alignment/>
    </xf>
    <xf numFmtId="174" fontId="42" fillId="24" borderId="7" xfId="42" applyNumberFormat="1" applyFont="1" applyFill="1" applyBorder="1" applyAlignment="1">
      <alignment/>
    </xf>
    <xf numFmtId="174" fontId="42" fillId="24" borderId="16" xfId="42" applyNumberFormat="1" applyFont="1" applyFill="1" applyBorder="1" applyAlignment="1">
      <alignment/>
    </xf>
    <xf numFmtId="0" fontId="19" fillId="0" borderId="17" xfId="66" applyFill="1" applyBorder="1">
      <alignment/>
      <protection/>
    </xf>
    <xf numFmtId="174" fontId="19" fillId="24" borderId="18" xfId="42" applyNumberFormat="1" applyFont="1" applyFill="1" applyBorder="1" applyAlignment="1">
      <alignment/>
    </xf>
    <xf numFmtId="174" fontId="42" fillId="24" borderId="18" xfId="42" applyNumberFormat="1" applyFont="1" applyFill="1" applyBorder="1" applyAlignment="1">
      <alignment/>
    </xf>
    <xf numFmtId="174" fontId="42" fillId="24" borderId="19" xfId="42" applyNumberFormat="1" applyFont="1" applyFill="1" applyBorder="1" applyAlignment="1">
      <alignment/>
    </xf>
    <xf numFmtId="0" fontId="40" fillId="17" borderId="23" xfId="0" applyFont="1" applyFill="1" applyBorder="1" applyAlignment="1">
      <alignment horizontal="left"/>
    </xf>
    <xf numFmtId="0" fontId="40" fillId="17" borderId="24" xfId="0" applyFont="1" applyFill="1" applyBorder="1" applyAlignment="1">
      <alignment horizontal="left"/>
    </xf>
    <xf numFmtId="0" fontId="40" fillId="17" borderId="25" xfId="0" applyFont="1" applyFill="1" applyBorder="1" applyAlignment="1">
      <alignment horizontal="left"/>
    </xf>
    <xf numFmtId="0" fontId="19" fillId="0" borderId="10" xfId="0" applyFont="1" applyFill="1" applyBorder="1" applyAlignment="1">
      <alignment/>
    </xf>
    <xf numFmtId="1" fontId="23" fillId="24" borderId="16" xfId="0" applyNumberFormat="1" applyFont="1" applyFill="1" applyBorder="1" applyAlignment="1">
      <alignment/>
    </xf>
    <xf numFmtId="1" fontId="23" fillId="24" borderId="19" xfId="0" applyNumberFormat="1" applyFont="1" applyFill="1" applyBorder="1" applyAlignment="1">
      <alignment/>
    </xf>
    <xf numFmtId="0" fontId="46" fillId="24" borderId="0" xfId="0" applyFont="1" applyFill="1" applyBorder="1" applyAlignment="1">
      <alignment/>
    </xf>
    <xf numFmtId="0" fontId="40" fillId="25" borderId="29" xfId="60" applyFont="1" applyFill="1" applyBorder="1" applyAlignment="1">
      <alignment wrapText="1"/>
      <protection/>
    </xf>
    <xf numFmtId="0" fontId="42" fillId="7" borderId="10" xfId="0" applyFont="1" applyFill="1" applyBorder="1" applyAlignment="1">
      <alignment/>
    </xf>
    <xf numFmtId="0" fontId="42" fillId="0" borderId="20" xfId="0" applyFont="1" applyFill="1" applyBorder="1" applyAlignment="1">
      <alignment/>
    </xf>
    <xf numFmtId="0" fontId="40" fillId="25" borderId="0" xfId="60" applyFont="1" applyFill="1" applyBorder="1" applyAlignment="1">
      <alignment horizontal="center" wrapText="1"/>
      <protection/>
    </xf>
    <xf numFmtId="0" fontId="40" fillId="25" borderId="10" xfId="60" applyFont="1" applyFill="1" applyBorder="1" applyAlignment="1">
      <alignment wrapText="1"/>
      <protection/>
    </xf>
    <xf numFmtId="0" fontId="40" fillId="25" borderId="11" xfId="60" applyFont="1" applyFill="1" applyBorder="1" applyAlignment="1">
      <alignment horizontal="center" wrapText="1"/>
      <protection/>
    </xf>
    <xf numFmtId="0" fontId="21" fillId="30" borderId="23" xfId="0" applyFont="1" applyFill="1" applyBorder="1" applyAlignment="1">
      <alignment/>
    </xf>
    <xf numFmtId="0" fontId="21" fillId="30" borderId="24" xfId="0" applyFont="1" applyFill="1" applyBorder="1" applyAlignment="1">
      <alignment/>
    </xf>
    <xf numFmtId="0" fontId="21" fillId="30" borderId="25" xfId="0" applyFont="1" applyFill="1" applyBorder="1" applyAlignment="1">
      <alignment/>
    </xf>
    <xf numFmtId="0" fontId="23" fillId="7" borderId="0" xfId="0" applyFont="1" applyFill="1" applyBorder="1" applyAlignment="1">
      <alignment horizontal="right" indent="2"/>
    </xf>
    <xf numFmtId="0" fontId="40" fillId="24" borderId="0" xfId="60" applyFont="1" applyFill="1" applyBorder="1" applyAlignment="1">
      <alignment horizontal="center" wrapText="1"/>
      <protection/>
    </xf>
    <xf numFmtId="0" fontId="40" fillId="17" borderId="0" xfId="60" applyFont="1" applyFill="1">
      <alignment/>
      <protection/>
    </xf>
    <xf numFmtId="0" fontId="40" fillId="24" borderId="10" xfId="60" applyFont="1" applyFill="1" applyBorder="1" applyAlignment="1">
      <alignment horizontal="left"/>
      <protection/>
    </xf>
    <xf numFmtId="0" fontId="40" fillId="24" borderId="0" xfId="60" applyFont="1" applyFill="1" applyBorder="1" applyAlignment="1">
      <alignment horizontal="center"/>
      <protection/>
    </xf>
    <xf numFmtId="0" fontId="40" fillId="24" borderId="11" xfId="60" applyFont="1" applyFill="1" applyBorder="1" applyAlignment="1">
      <alignment horizontal="center"/>
      <protection/>
    </xf>
    <xf numFmtId="0" fontId="40" fillId="17" borderId="10" xfId="0" applyFont="1" applyFill="1" applyBorder="1" applyAlignment="1">
      <alignment horizontal="left"/>
    </xf>
    <xf numFmtId="0" fontId="40" fillId="17" borderId="0" xfId="0" applyFont="1" applyFill="1" applyBorder="1" applyAlignment="1">
      <alignment horizontal="left"/>
    </xf>
    <xf numFmtId="0" fontId="40" fillId="17" borderId="11" xfId="0" applyFont="1" applyFill="1" applyBorder="1" applyAlignment="1">
      <alignment horizontal="left"/>
    </xf>
    <xf numFmtId="0" fontId="42" fillId="24" borderId="0" xfId="0" applyFont="1" applyFill="1" applyBorder="1" applyAlignment="1">
      <alignment/>
    </xf>
    <xf numFmtId="0" fontId="40" fillId="24" borderId="0" xfId="60" applyFont="1" applyFill="1" applyBorder="1" applyAlignment="1">
      <alignment wrapText="1"/>
      <protection/>
    </xf>
    <xf numFmtId="174" fontId="19" fillId="7" borderId="7" xfId="42" applyNumberFormat="1" applyFont="1" applyFill="1" applyBorder="1" applyAlignment="1">
      <alignment/>
    </xf>
    <xf numFmtId="174" fontId="42" fillId="7" borderId="7" xfId="42" applyNumberFormat="1" applyFont="1" applyFill="1" applyBorder="1" applyAlignment="1">
      <alignment/>
    </xf>
    <xf numFmtId="174" fontId="42" fillId="7" borderId="16" xfId="42" applyNumberFormat="1" applyFont="1" applyFill="1" applyBorder="1" applyAlignment="1">
      <alignment/>
    </xf>
    <xf numFmtId="9" fontId="19" fillId="24" borderId="0" xfId="60" applyNumberFormat="1" applyFill="1">
      <alignment/>
      <protection/>
    </xf>
    <xf numFmtId="0" fontId="49" fillId="25" borderId="0" xfId="0" applyFont="1" applyFill="1" applyAlignment="1">
      <alignment vertical="center"/>
    </xf>
    <xf numFmtId="0" fontId="27" fillId="25" borderId="0" xfId="0" applyFont="1" applyFill="1" applyAlignment="1">
      <alignment/>
    </xf>
    <xf numFmtId="0" fontId="19" fillId="8" borderId="24" xfId="60" applyFont="1" applyFill="1" applyBorder="1">
      <alignment/>
      <protection/>
    </xf>
    <xf numFmtId="0" fontId="19" fillId="8" borderId="25" xfId="60" applyFont="1" applyFill="1" applyBorder="1">
      <alignment/>
      <protection/>
    </xf>
    <xf numFmtId="0" fontId="19" fillId="8" borderId="22" xfId="60" applyFont="1" applyFill="1" applyBorder="1">
      <alignment/>
      <protection/>
    </xf>
    <xf numFmtId="0" fontId="19" fillId="8" borderId="21" xfId="60" applyFont="1" applyFill="1" applyBorder="1">
      <alignment/>
      <protection/>
    </xf>
    <xf numFmtId="0" fontId="19" fillId="24" borderId="0" xfId="60" applyFont="1" applyFill="1" applyBorder="1">
      <alignment/>
      <protection/>
    </xf>
    <xf numFmtId="0" fontId="24" fillId="24" borderId="0" xfId="60" applyFont="1" applyFill="1">
      <alignment/>
      <protection/>
    </xf>
    <xf numFmtId="0" fontId="27" fillId="24" borderId="12" xfId="0" applyFont="1" applyFill="1" applyBorder="1" applyAlignment="1">
      <alignment/>
    </xf>
    <xf numFmtId="175" fontId="50" fillId="24" borderId="14" xfId="42" applyNumberFormat="1" applyFont="1" applyFill="1" applyBorder="1" applyAlignment="1">
      <alignment horizontal="right"/>
    </xf>
    <xf numFmtId="0" fontId="27" fillId="24" borderId="31" xfId="0" applyFont="1" applyFill="1" applyBorder="1" applyAlignment="1">
      <alignment/>
    </xf>
    <xf numFmtId="175" fontId="50" fillId="24" borderId="19" xfId="42" applyNumberFormat="1" applyFont="1" applyFill="1" applyBorder="1" applyAlignment="1">
      <alignment horizontal="right"/>
    </xf>
    <xf numFmtId="0" fontId="51" fillId="25" borderId="0" xfId="0" applyFont="1" applyFill="1" applyAlignment="1">
      <alignment vertical="center"/>
    </xf>
    <xf numFmtId="0" fontId="19" fillId="25" borderId="0" xfId="60" applyFont="1" applyFill="1">
      <alignment/>
      <protection/>
    </xf>
    <xf numFmtId="0" fontId="51" fillId="24" borderId="0" xfId="0" applyFont="1" applyFill="1" applyAlignment="1">
      <alignment vertical="center"/>
    </xf>
    <xf numFmtId="0" fontId="48" fillId="24" borderId="0" xfId="60" applyFont="1" applyFill="1">
      <alignment/>
      <protection/>
    </xf>
    <xf numFmtId="0" fontId="52" fillId="24" borderId="0" xfId="60" applyFont="1" applyFill="1">
      <alignment/>
      <protection/>
    </xf>
    <xf numFmtId="0" fontId="19" fillId="24" borderId="0" xfId="60" applyFont="1" applyFill="1" applyAlignment="1">
      <alignment wrapText="1"/>
      <protection/>
    </xf>
    <xf numFmtId="0" fontId="24" fillId="24" borderId="0" xfId="60" applyFont="1" applyFill="1" applyAlignment="1">
      <alignment wrapText="1"/>
      <protection/>
    </xf>
    <xf numFmtId="0" fontId="19" fillId="24" borderId="0" xfId="60" applyFont="1" applyFill="1" applyAlignment="1" quotePrefix="1">
      <alignment horizontal="center"/>
      <protection/>
    </xf>
    <xf numFmtId="174" fontId="19" fillId="0" borderId="24" xfId="44" applyNumberFormat="1" applyFont="1" applyFill="1" applyBorder="1" applyAlignment="1">
      <alignment/>
    </xf>
    <xf numFmtId="174" fontId="19" fillId="0" borderId="25" xfId="44" applyNumberFormat="1" applyFont="1" applyFill="1" applyBorder="1" applyAlignment="1">
      <alignment/>
    </xf>
    <xf numFmtId="174" fontId="19" fillId="0" borderId="0" xfId="44" applyNumberFormat="1" applyFont="1" applyFill="1" applyBorder="1" applyAlignment="1">
      <alignment/>
    </xf>
    <xf numFmtId="174" fontId="19" fillId="0" borderId="11" xfId="44" applyNumberFormat="1" applyFont="1" applyFill="1" applyBorder="1" applyAlignment="1">
      <alignment/>
    </xf>
    <xf numFmtId="175" fontId="27" fillId="24" borderId="0" xfId="44" applyNumberFormat="1" applyFont="1" applyFill="1" applyBorder="1" applyAlignment="1">
      <alignment/>
    </xf>
    <xf numFmtId="175" fontId="27" fillId="24" borderId="13" xfId="44" applyNumberFormat="1" applyFont="1" applyFill="1" applyBorder="1" applyAlignment="1">
      <alignment/>
    </xf>
    <xf numFmtId="175" fontId="27" fillId="24" borderId="14" xfId="44" applyNumberFormat="1" applyFont="1" applyFill="1" applyBorder="1" applyAlignment="1">
      <alignment/>
    </xf>
    <xf numFmtId="175" fontId="27" fillId="24" borderId="32" xfId="44" applyNumberFormat="1" applyFont="1" applyFill="1" applyBorder="1" applyAlignment="1">
      <alignment/>
    </xf>
    <xf numFmtId="0" fontId="19" fillId="24" borderId="0" xfId="60" applyFont="1" applyFill="1" applyBorder="1" applyAlignment="1">
      <alignment wrapText="1"/>
      <protection/>
    </xf>
    <xf numFmtId="175" fontId="27" fillId="24" borderId="7" xfId="44" applyNumberFormat="1" applyFont="1" applyFill="1" applyBorder="1" applyAlignment="1">
      <alignment/>
    </xf>
    <xf numFmtId="175" fontId="27" fillId="24" borderId="16" xfId="44" applyNumberFormat="1" applyFont="1" applyFill="1" applyBorder="1" applyAlignment="1">
      <alignment/>
    </xf>
    <xf numFmtId="175" fontId="27" fillId="24" borderId="33" xfId="44" applyNumberFormat="1" applyFont="1" applyFill="1" applyBorder="1" applyAlignment="1">
      <alignment/>
    </xf>
    <xf numFmtId="175" fontId="27" fillId="24" borderId="18" xfId="44" applyNumberFormat="1" applyFont="1" applyFill="1" applyBorder="1" applyAlignment="1">
      <alignment/>
    </xf>
    <xf numFmtId="175" fontId="27" fillId="24" borderId="19" xfId="44" applyNumberFormat="1" applyFont="1" applyFill="1" applyBorder="1" applyAlignment="1">
      <alignment/>
    </xf>
    <xf numFmtId="175" fontId="27" fillId="24" borderId="34" xfId="44" applyNumberFormat="1" applyFont="1" applyFill="1" applyBorder="1" applyAlignment="1">
      <alignment/>
    </xf>
    <xf numFmtId="175" fontId="19" fillId="24" borderId="35" xfId="42" applyNumberFormat="1" applyFont="1" applyFill="1" applyBorder="1" applyAlignment="1">
      <alignment/>
    </xf>
    <xf numFmtId="174" fontId="19" fillId="0" borderId="22" xfId="44" applyNumberFormat="1" applyFont="1" applyFill="1" applyBorder="1" applyAlignment="1">
      <alignment/>
    </xf>
    <xf numFmtId="174" fontId="19" fillId="0" borderId="21" xfId="44" applyNumberFormat="1" applyFont="1" applyFill="1" applyBorder="1" applyAlignment="1">
      <alignment/>
    </xf>
    <xf numFmtId="175" fontId="27" fillId="24" borderId="12" xfId="44" applyNumberFormat="1" applyFont="1" applyFill="1" applyBorder="1" applyAlignment="1">
      <alignment/>
    </xf>
    <xf numFmtId="9" fontId="50" fillId="24" borderId="16" xfId="77" applyFont="1" applyFill="1" applyBorder="1" applyAlignment="1">
      <alignment horizontal="right"/>
    </xf>
    <xf numFmtId="175" fontId="19" fillId="24" borderId="7" xfId="42" applyNumberFormat="1" applyFont="1" applyFill="1" applyBorder="1" applyAlignment="1">
      <alignment horizontal="right"/>
    </xf>
    <xf numFmtId="9" fontId="19" fillId="24" borderId="16" xfId="77" applyFont="1" applyFill="1" applyBorder="1" applyAlignment="1">
      <alignment horizontal="right"/>
    </xf>
    <xf numFmtId="9" fontId="50" fillId="22" borderId="16" xfId="77" applyFont="1" applyFill="1" applyBorder="1" applyAlignment="1">
      <alignment horizontal="right"/>
    </xf>
    <xf numFmtId="175" fontId="50" fillId="24" borderId="7" xfId="42" applyNumberFormat="1" applyFont="1" applyFill="1" applyBorder="1" applyAlignment="1">
      <alignment horizontal="right"/>
    </xf>
    <xf numFmtId="175" fontId="27" fillId="24" borderId="15" xfId="44" applyNumberFormat="1" applyFont="1" applyFill="1" applyBorder="1" applyAlignment="1">
      <alignment/>
    </xf>
    <xf numFmtId="0" fontId="19" fillId="17" borderId="0" xfId="60" applyFont="1" applyFill="1">
      <alignment/>
      <protection/>
    </xf>
    <xf numFmtId="175" fontId="27" fillId="24" borderId="17" xfId="44" applyNumberFormat="1" applyFont="1" applyFill="1" applyBorder="1" applyAlignment="1">
      <alignment/>
    </xf>
    <xf numFmtId="175" fontId="27" fillId="24" borderId="7" xfId="42" applyNumberFormat="1" applyFont="1" applyFill="1" applyBorder="1" applyAlignment="1">
      <alignment/>
    </xf>
    <xf numFmtId="9" fontId="27" fillId="24" borderId="16" xfId="77" applyFont="1" applyFill="1" applyBorder="1" applyAlignment="1">
      <alignment/>
    </xf>
    <xf numFmtId="9" fontId="27" fillId="22" borderId="16" xfId="77" applyFont="1" applyFill="1" applyBorder="1" applyAlignment="1">
      <alignment/>
    </xf>
    <xf numFmtId="9" fontId="27" fillId="22" borderId="19" xfId="77" applyFont="1" applyFill="1" applyBorder="1" applyAlignment="1">
      <alignment/>
    </xf>
    <xf numFmtId="175" fontId="27" fillId="24" borderId="18" xfId="42" applyNumberFormat="1" applyFont="1" applyFill="1" applyBorder="1" applyAlignment="1">
      <alignment/>
    </xf>
    <xf numFmtId="9" fontId="27" fillId="24" borderId="19" xfId="77" applyFont="1" applyFill="1" applyBorder="1" applyAlignment="1">
      <alignment/>
    </xf>
    <xf numFmtId="0" fontId="19" fillId="24" borderId="7" xfId="60" applyFont="1" applyFill="1" applyBorder="1" applyAlignment="1">
      <alignment horizontal="right"/>
      <protection/>
    </xf>
    <xf numFmtId="0" fontId="19" fillId="24" borderId="16" xfId="60" applyFont="1" applyFill="1" applyBorder="1" applyAlignment="1">
      <alignment horizontal="right"/>
      <protection/>
    </xf>
    <xf numFmtId="0" fontId="27" fillId="7" borderId="10" xfId="0" applyFont="1" applyFill="1" applyBorder="1" applyAlignment="1">
      <alignment/>
    </xf>
    <xf numFmtId="0" fontId="27" fillId="7" borderId="0" xfId="0" applyFont="1" applyFill="1" applyBorder="1" applyAlignment="1">
      <alignment/>
    </xf>
    <xf numFmtId="0" fontId="24" fillId="7" borderId="0" xfId="0" applyFont="1" applyFill="1" applyBorder="1" applyAlignment="1">
      <alignment/>
    </xf>
    <xf numFmtId="0" fontId="24" fillId="7" borderId="11" xfId="0" applyFont="1" applyFill="1" applyBorder="1" applyAlignment="1">
      <alignment/>
    </xf>
    <xf numFmtId="0" fontId="24" fillId="24" borderId="0" xfId="0" applyFont="1" applyFill="1" applyBorder="1" applyAlignment="1">
      <alignment/>
    </xf>
    <xf numFmtId="0" fontId="24" fillId="24" borderId="11" xfId="0" applyFont="1" applyFill="1" applyBorder="1" applyAlignment="1">
      <alignment/>
    </xf>
    <xf numFmtId="0" fontId="19" fillId="24" borderId="18" xfId="60" applyFont="1" applyFill="1" applyBorder="1" applyAlignment="1">
      <alignment horizontal="right"/>
      <protection/>
    </xf>
    <xf numFmtId="0" fontId="19" fillId="24" borderId="19" xfId="60" applyFont="1" applyFill="1" applyBorder="1" applyAlignment="1">
      <alignment horizontal="right"/>
      <protection/>
    </xf>
    <xf numFmtId="175" fontId="50" fillId="24" borderId="0" xfId="44" applyNumberFormat="1" applyFont="1" applyFill="1" applyBorder="1" applyAlignment="1">
      <alignment/>
    </xf>
    <xf numFmtId="175" fontId="19" fillId="24" borderId="0" xfId="42" applyNumberFormat="1" applyFont="1" applyFill="1" applyBorder="1" applyAlignment="1">
      <alignment/>
    </xf>
    <xf numFmtId="0" fontId="19" fillId="24" borderId="0" xfId="60" applyFont="1" applyFill="1" applyAlignment="1">
      <alignment horizontal="left" indent="3"/>
      <protection/>
    </xf>
    <xf numFmtId="0" fontId="19" fillId="24" borderId="0" xfId="65" applyFont="1" applyFill="1" applyBorder="1">
      <alignment/>
      <protection/>
    </xf>
    <xf numFmtId="0" fontId="24" fillId="24" borderId="0" xfId="65" applyFont="1" applyFill="1" applyBorder="1">
      <alignment/>
      <protection/>
    </xf>
    <xf numFmtId="0" fontId="24" fillId="24" borderId="11" xfId="65" applyFont="1" applyFill="1" applyBorder="1">
      <alignment/>
      <protection/>
    </xf>
    <xf numFmtId="0" fontId="19" fillId="0" borderId="0" xfId="60" applyFont="1" applyFill="1" applyBorder="1" applyAlignment="1">
      <alignment horizontal="left"/>
      <protection/>
    </xf>
    <xf numFmtId="0" fontId="19" fillId="0" borderId="11" xfId="60" applyFont="1" applyFill="1" applyBorder="1" applyAlignment="1">
      <alignment horizontal="left"/>
      <protection/>
    </xf>
    <xf numFmtId="9" fontId="19" fillId="0" borderId="0" xfId="60" applyNumberFormat="1" applyFont="1" applyFill="1" applyBorder="1">
      <alignment/>
      <protection/>
    </xf>
    <xf numFmtId="0" fontId="19" fillId="24" borderId="0" xfId="60" applyFont="1" applyFill="1" applyAlignment="1">
      <alignment horizontal="left" indent="1"/>
      <protection/>
    </xf>
    <xf numFmtId="0" fontId="19" fillId="24" borderId="22" xfId="65" applyFont="1" applyFill="1" applyBorder="1">
      <alignment/>
      <protection/>
    </xf>
    <xf numFmtId="0" fontId="24" fillId="24" borderId="22" xfId="65" applyFont="1" applyFill="1" applyBorder="1">
      <alignment/>
      <protection/>
    </xf>
    <xf numFmtId="0" fontId="24" fillId="24" borderId="21" xfId="65" applyFont="1" applyFill="1" applyBorder="1">
      <alignment/>
      <protection/>
    </xf>
    <xf numFmtId="9" fontId="19" fillId="0" borderId="22" xfId="60" applyNumberFormat="1" applyFont="1" applyFill="1" applyBorder="1">
      <alignment/>
      <protection/>
    </xf>
    <xf numFmtId="0" fontId="19" fillId="0" borderId="22" xfId="60" applyFont="1" applyFill="1" applyBorder="1" applyAlignment="1">
      <alignment horizontal="left"/>
      <protection/>
    </xf>
    <xf numFmtId="0" fontId="19" fillId="0" borderId="21" xfId="60" applyFont="1" applyFill="1" applyBorder="1" applyAlignment="1">
      <alignment horizontal="left"/>
      <protection/>
    </xf>
    <xf numFmtId="175" fontId="19" fillId="24" borderId="0" xfId="60" applyNumberFormat="1" applyFont="1" applyFill="1">
      <alignment/>
      <protection/>
    </xf>
    <xf numFmtId="0" fontId="41" fillId="24" borderId="0" xfId="60" applyFont="1" applyFill="1" applyBorder="1">
      <alignment/>
      <protection/>
    </xf>
    <xf numFmtId="0" fontId="19" fillId="24" borderId="29" xfId="60" applyFont="1" applyFill="1" applyBorder="1">
      <alignment/>
      <protection/>
    </xf>
    <xf numFmtId="9" fontId="19" fillId="0" borderId="35" xfId="60" applyNumberFormat="1" applyFont="1" applyFill="1" applyBorder="1">
      <alignment/>
      <protection/>
    </xf>
    <xf numFmtId="174" fontId="42" fillId="0" borderId="0" xfId="44" applyNumberFormat="1" applyFont="1" applyFill="1" applyBorder="1" applyAlignment="1">
      <alignment/>
    </xf>
    <xf numFmtId="174" fontId="42" fillId="0" borderId="24" xfId="44" applyNumberFormat="1" applyFont="1" applyFill="1" applyBorder="1" applyAlignment="1">
      <alignment/>
    </xf>
    <xf numFmtId="174" fontId="42" fillId="0" borderId="25" xfId="44" applyNumberFormat="1" applyFont="1" applyFill="1" applyBorder="1" applyAlignment="1">
      <alignment/>
    </xf>
    <xf numFmtId="174" fontId="42" fillId="0" borderId="11" xfId="44" applyNumberFormat="1" applyFont="1" applyFill="1" applyBorder="1" applyAlignment="1">
      <alignment/>
    </xf>
    <xf numFmtId="174" fontId="42" fillId="0" borderId="22" xfId="44" applyNumberFormat="1" applyFont="1" applyFill="1" applyBorder="1" applyAlignment="1">
      <alignment/>
    </xf>
    <xf numFmtId="174" fontId="42" fillId="0" borderId="21" xfId="44" applyNumberFormat="1" applyFont="1" applyFill="1" applyBorder="1" applyAlignment="1">
      <alignment/>
    </xf>
    <xf numFmtId="174" fontId="27" fillId="0" borderId="24" xfId="44" applyNumberFormat="1" applyFont="1" applyFill="1" applyBorder="1" applyAlignment="1">
      <alignment/>
    </xf>
    <xf numFmtId="174" fontId="27" fillId="0" borderId="25" xfId="44" applyNumberFormat="1" applyFont="1" applyFill="1" applyBorder="1" applyAlignment="1">
      <alignment/>
    </xf>
    <xf numFmtId="174" fontId="19" fillId="24" borderId="0" xfId="60" applyNumberFormat="1" applyFont="1" applyFill="1">
      <alignment/>
      <protection/>
    </xf>
    <xf numFmtId="0" fontId="19" fillId="24" borderId="10" xfId="60" applyFont="1" applyFill="1" applyBorder="1">
      <alignment/>
      <protection/>
    </xf>
    <xf numFmtId="175" fontId="19" fillId="24" borderId="0" xfId="60" applyNumberFormat="1" applyFont="1" applyFill="1" applyBorder="1">
      <alignment/>
      <protection/>
    </xf>
    <xf numFmtId="1" fontId="19" fillId="24" borderId="11" xfId="60" applyNumberFormat="1" applyFont="1" applyFill="1" applyBorder="1">
      <alignment/>
      <protection/>
    </xf>
    <xf numFmtId="174" fontId="27" fillId="0" borderId="0" xfId="44" applyNumberFormat="1" applyFont="1" applyFill="1" applyBorder="1" applyAlignment="1">
      <alignment/>
    </xf>
    <xf numFmtId="174" fontId="27" fillId="0" borderId="11" xfId="44" applyNumberFormat="1" applyFont="1" applyFill="1" applyBorder="1" applyAlignment="1">
      <alignment/>
    </xf>
    <xf numFmtId="174" fontId="27" fillId="0" borderId="22" xfId="44" applyNumberFormat="1" applyFont="1" applyFill="1" applyBorder="1" applyAlignment="1">
      <alignment/>
    </xf>
    <xf numFmtId="174" fontId="27" fillId="0" borderId="21" xfId="44" applyNumberFormat="1" applyFont="1" applyFill="1" applyBorder="1" applyAlignment="1">
      <alignment/>
    </xf>
    <xf numFmtId="0" fontId="19" fillId="24" borderId="20" xfId="60" applyFont="1" applyFill="1" applyBorder="1">
      <alignment/>
      <protection/>
    </xf>
    <xf numFmtId="0" fontId="19" fillId="24" borderId="22" xfId="60" applyFont="1" applyFill="1" applyBorder="1">
      <alignment/>
      <protection/>
    </xf>
    <xf numFmtId="1" fontId="19" fillId="24" borderId="21" xfId="60" applyNumberFormat="1" applyFont="1" applyFill="1" applyBorder="1">
      <alignment/>
      <protection/>
    </xf>
    <xf numFmtId="0" fontId="40" fillId="25" borderId="23" xfId="0" applyFont="1" applyFill="1" applyBorder="1" applyAlignment="1">
      <alignment/>
    </xf>
    <xf numFmtId="0" fontId="42" fillId="24" borderId="12" xfId="0" applyFont="1" applyFill="1" applyBorder="1" applyAlignment="1">
      <alignment/>
    </xf>
    <xf numFmtId="0" fontId="42" fillId="24" borderId="31" xfId="0" applyFont="1" applyFill="1" applyBorder="1" applyAlignment="1">
      <alignment/>
    </xf>
    <xf numFmtId="0" fontId="19" fillId="24" borderId="0" xfId="60" applyFont="1" applyFill="1" applyBorder="1" applyAlignment="1">
      <alignment horizontal="right"/>
      <protection/>
    </xf>
    <xf numFmtId="0" fontId="40" fillId="29" borderId="0" xfId="60" applyFont="1" applyFill="1" applyBorder="1">
      <alignment/>
      <protection/>
    </xf>
    <xf numFmtId="0" fontId="40" fillId="24" borderId="0" xfId="60" applyFont="1" applyFill="1" applyBorder="1">
      <alignment/>
      <protection/>
    </xf>
    <xf numFmtId="174" fontId="19" fillId="24" borderId="0" xfId="60" applyNumberFormat="1" applyFont="1" applyFill="1" applyBorder="1">
      <alignment/>
      <protection/>
    </xf>
    <xf numFmtId="9" fontId="19" fillId="24" borderId="0" xfId="77" applyFont="1" applyFill="1" applyBorder="1" applyAlignment="1">
      <alignment/>
    </xf>
    <xf numFmtId="0" fontId="53" fillId="24" borderId="0" xfId="0" applyFont="1" applyFill="1" applyBorder="1" applyAlignment="1">
      <alignment horizontal="center"/>
    </xf>
    <xf numFmtId="9" fontId="19" fillId="24" borderId="0" xfId="77" applyFont="1" applyFill="1" applyBorder="1" applyAlignment="1">
      <alignment horizontal="right"/>
    </xf>
    <xf numFmtId="175" fontId="19" fillId="24" borderId="0" xfId="42" applyNumberFormat="1" applyFont="1" applyFill="1" applyBorder="1" applyAlignment="1">
      <alignment horizontal="right"/>
    </xf>
    <xf numFmtId="175" fontId="50" fillId="24" borderId="0" xfId="42" applyNumberFormat="1" applyFont="1" applyFill="1" applyBorder="1" applyAlignment="1">
      <alignment horizontal="right"/>
    </xf>
    <xf numFmtId="0" fontId="30" fillId="4" borderId="23" xfId="60" applyFont="1" applyFill="1" applyBorder="1" applyAlignment="1">
      <alignment wrapText="1"/>
      <protection/>
    </xf>
    <xf numFmtId="0" fontId="30" fillId="4" borderId="24" xfId="60" applyFont="1" applyFill="1" applyBorder="1" applyAlignment="1">
      <alignment horizontal="center" wrapText="1"/>
      <protection/>
    </xf>
    <xf numFmtId="0" fontId="30" fillId="4" borderId="25" xfId="60" applyFont="1" applyFill="1" applyBorder="1" applyAlignment="1">
      <alignment horizontal="center" wrapText="1"/>
      <protection/>
    </xf>
    <xf numFmtId="0" fontId="40" fillId="29" borderId="20" xfId="60" applyFont="1" applyFill="1" applyBorder="1" applyAlignment="1">
      <alignment horizontal="left"/>
      <protection/>
    </xf>
    <xf numFmtId="0" fontId="40" fillId="29" borderId="22" xfId="60" applyFont="1" applyFill="1" applyBorder="1" applyAlignment="1">
      <alignment horizontal="center"/>
      <protection/>
    </xf>
    <xf numFmtId="0" fontId="40" fillId="29" borderId="23" xfId="60" applyFont="1" applyFill="1" applyBorder="1">
      <alignment/>
      <protection/>
    </xf>
    <xf numFmtId="0" fontId="19" fillId="29" borderId="24" xfId="60" applyFont="1" applyFill="1" applyBorder="1">
      <alignment/>
      <protection/>
    </xf>
    <xf numFmtId="0" fontId="19" fillId="29" borderId="25" xfId="60" applyFont="1" applyFill="1" applyBorder="1">
      <alignment/>
      <protection/>
    </xf>
    <xf numFmtId="0" fontId="40" fillId="29" borderId="10" xfId="60" applyFont="1" applyFill="1" applyBorder="1" applyAlignment="1">
      <alignment horizontal="left"/>
      <protection/>
    </xf>
    <xf numFmtId="0" fontId="40" fillId="29" borderId="0" xfId="60" applyFont="1" applyFill="1" applyBorder="1" applyAlignment="1">
      <alignment horizontal="left"/>
      <protection/>
    </xf>
    <xf numFmtId="0" fontId="40" fillId="29" borderId="11" xfId="60" applyFont="1" applyFill="1" applyBorder="1" applyAlignment="1">
      <alignment horizontal="left"/>
      <protection/>
    </xf>
    <xf numFmtId="0" fontId="40" fillId="29" borderId="11" xfId="60" applyFont="1" applyFill="1" applyBorder="1">
      <alignment/>
      <protection/>
    </xf>
    <xf numFmtId="174" fontId="19" fillId="24" borderId="0" xfId="44" applyNumberFormat="1" applyFont="1" applyFill="1" applyBorder="1" applyAlignment="1">
      <alignment/>
    </xf>
    <xf numFmtId="174" fontId="42" fillId="24" borderId="0" xfId="44" applyNumberFormat="1" applyFont="1" applyFill="1" applyBorder="1" applyAlignment="1">
      <alignment/>
    </xf>
    <xf numFmtId="174" fontId="27" fillId="24" borderId="0" xfId="44" applyNumberFormat="1" applyFont="1" applyFill="1" applyBorder="1" applyAlignment="1">
      <alignment/>
    </xf>
    <xf numFmtId="174" fontId="19" fillId="24" borderId="0" xfId="42" applyNumberFormat="1" applyFont="1" applyFill="1" applyBorder="1" applyAlignment="1">
      <alignment/>
    </xf>
    <xf numFmtId="174" fontId="42" fillId="24" borderId="0" xfId="42" applyNumberFormat="1" applyFont="1" applyFill="1" applyBorder="1" applyAlignment="1">
      <alignment/>
    </xf>
    <xf numFmtId="174" fontId="19" fillId="24" borderId="0" xfId="44" applyNumberFormat="1" applyFont="1" applyFill="1" applyBorder="1" applyAlignment="1">
      <alignment horizontal="right"/>
    </xf>
    <xf numFmtId="0" fontId="19" fillId="24" borderId="29" xfId="66" applyFont="1" applyFill="1" applyBorder="1">
      <alignment/>
      <protection/>
    </xf>
    <xf numFmtId="0" fontId="30" fillId="4" borderId="15" xfId="66" applyFont="1" applyFill="1" applyBorder="1" applyAlignment="1">
      <alignment wrapText="1"/>
      <protection/>
    </xf>
    <xf numFmtId="0" fontId="30" fillId="4" borderId="7" xfId="66" applyFont="1" applyFill="1" applyBorder="1" applyAlignment="1">
      <alignment horizontal="center" wrapText="1"/>
      <protection/>
    </xf>
    <xf numFmtId="0" fontId="30" fillId="4" borderId="16" xfId="66" applyFont="1" applyFill="1" applyBorder="1" applyAlignment="1">
      <alignment horizontal="center" wrapText="1"/>
      <protection/>
    </xf>
    <xf numFmtId="0" fontId="22" fillId="26" borderId="10" xfId="0" applyFont="1" applyFill="1" applyBorder="1" applyAlignment="1">
      <alignment horizontal="center"/>
    </xf>
    <xf numFmtId="0" fontId="22" fillId="26" borderId="0" xfId="0" applyFont="1" applyFill="1" applyBorder="1" applyAlignment="1">
      <alignment horizontal="center"/>
    </xf>
    <xf numFmtId="0" fontId="23" fillId="0" borderId="11" xfId="0" applyFont="1" applyBorder="1" applyAlignment="1">
      <alignment/>
    </xf>
    <xf numFmtId="1" fontId="23" fillId="0" borderId="22" xfId="0" applyNumberFormat="1" applyFont="1" applyBorder="1" applyAlignment="1">
      <alignment/>
    </xf>
    <xf numFmtId="0" fontId="23" fillId="0" borderId="22" xfId="0" applyFont="1" applyBorder="1" applyAlignment="1">
      <alignment/>
    </xf>
    <xf numFmtId="0" fontId="23" fillId="26" borderId="10" xfId="0" applyFont="1" applyFill="1" applyBorder="1" applyAlignment="1">
      <alignment horizontal="left"/>
    </xf>
    <xf numFmtId="1" fontId="23" fillId="7" borderId="0" xfId="0" applyNumberFormat="1" applyFont="1" applyFill="1" applyBorder="1" applyAlignment="1">
      <alignment horizontal="center"/>
    </xf>
    <xf numFmtId="0" fontId="23" fillId="26" borderId="0" xfId="0" applyFont="1" applyFill="1" applyBorder="1" applyAlignment="1">
      <alignment horizontal="right"/>
    </xf>
    <xf numFmtId="0" fontId="23" fillId="26" borderId="0" xfId="0" applyFont="1" applyFill="1" applyBorder="1" applyAlignment="1">
      <alignment horizontal="right" wrapText="1"/>
    </xf>
    <xf numFmtId="0" fontId="23" fillId="26" borderId="11" xfId="0" applyFont="1" applyFill="1" applyBorder="1" applyAlignment="1">
      <alignment horizontal="right"/>
    </xf>
    <xf numFmtId="0" fontId="23" fillId="0" borderId="0" xfId="0" applyFont="1" applyBorder="1" applyAlignment="1">
      <alignment horizontal="right"/>
    </xf>
    <xf numFmtId="0" fontId="23" fillId="0" borderId="11" xfId="0" applyFont="1" applyBorder="1" applyAlignment="1">
      <alignment horizontal="right"/>
    </xf>
    <xf numFmtId="1" fontId="23" fillId="0" borderId="0" xfId="0" applyNumberFormat="1" applyFont="1" applyBorder="1" applyAlignment="1">
      <alignment horizontal="right"/>
    </xf>
    <xf numFmtId="172" fontId="23" fillId="0" borderId="11" xfId="0" applyNumberFormat="1" applyFont="1" applyBorder="1" applyAlignment="1">
      <alignment horizontal="right"/>
    </xf>
    <xf numFmtId="0" fontId="54" fillId="26" borderId="0" xfId="0" applyFont="1" applyFill="1" applyBorder="1" applyAlignment="1">
      <alignment horizontal="right"/>
    </xf>
    <xf numFmtId="0" fontId="23" fillId="7" borderId="0" xfId="0" applyFont="1" applyFill="1" applyBorder="1" applyAlignment="1">
      <alignment horizontal="right"/>
    </xf>
    <xf numFmtId="172" fontId="46" fillId="0" borderId="21" xfId="0" applyNumberFormat="1" applyFont="1" applyBorder="1" applyAlignment="1">
      <alignment/>
    </xf>
    <xf numFmtId="0" fontId="46" fillId="0" borderId="0" xfId="0" applyFont="1" applyBorder="1" applyAlignment="1">
      <alignment/>
    </xf>
    <xf numFmtId="0" fontId="50" fillId="24" borderId="0" xfId="0" applyFont="1" applyFill="1" applyBorder="1" applyAlignment="1">
      <alignment/>
    </xf>
    <xf numFmtId="0" fontId="56" fillId="24" borderId="0" xfId="0" applyFont="1" applyFill="1" applyAlignment="1">
      <alignment vertical="center"/>
    </xf>
    <xf numFmtId="0" fontId="30" fillId="24" borderId="0" xfId="0" applyFont="1" applyFill="1" applyAlignment="1">
      <alignment vertical="center"/>
    </xf>
    <xf numFmtId="172" fontId="27" fillId="24" borderId="10" xfId="0" applyNumberFormat="1" applyFont="1" applyFill="1" applyBorder="1" applyAlignment="1">
      <alignment/>
    </xf>
    <xf numFmtId="172" fontId="27" fillId="24" borderId="11" xfId="0" applyNumberFormat="1" applyFont="1" applyFill="1" applyBorder="1" applyAlignment="1">
      <alignment/>
    </xf>
    <xf numFmtId="172" fontId="27" fillId="24" borderId="20" xfId="0" applyNumberFormat="1" applyFont="1" applyFill="1" applyBorder="1" applyAlignment="1">
      <alignment/>
    </xf>
    <xf numFmtId="172" fontId="27" fillId="24" borderId="21" xfId="0" applyNumberFormat="1" applyFont="1" applyFill="1" applyBorder="1" applyAlignment="1">
      <alignment/>
    </xf>
    <xf numFmtId="0" fontId="53" fillId="29" borderId="29" xfId="0" applyFont="1" applyFill="1" applyBorder="1" applyAlignment="1">
      <alignment horizontal="right" wrapText="1"/>
    </xf>
    <xf numFmtId="0" fontId="53" fillId="29" borderId="35" xfId="0" applyFont="1" applyFill="1" applyBorder="1" applyAlignment="1">
      <alignment horizontal="right" wrapText="1"/>
    </xf>
    <xf numFmtId="0" fontId="19" fillId="24" borderId="0" xfId="0" applyFont="1" applyFill="1" applyAlignment="1">
      <alignment vertical="center"/>
    </xf>
    <xf numFmtId="0" fontId="48" fillId="24" borderId="0" xfId="0" applyFont="1" applyFill="1" applyAlignment="1">
      <alignment vertical="center"/>
    </xf>
    <xf numFmtId="0" fontId="42" fillId="24" borderId="0" xfId="0" applyFont="1" applyFill="1" applyAlignment="1">
      <alignment/>
    </xf>
    <xf numFmtId="0" fontId="57" fillId="24" borderId="0" xfId="0" applyFont="1" applyFill="1" applyAlignment="1" applyProtection="1">
      <alignment/>
      <protection locked="0"/>
    </xf>
    <xf numFmtId="0" fontId="42" fillId="24" borderId="0" xfId="0" applyFont="1" applyFill="1" applyBorder="1" applyAlignment="1">
      <alignment/>
    </xf>
    <xf numFmtId="0" fontId="42" fillId="24" borderId="36" xfId="0" applyFont="1" applyFill="1" applyBorder="1" applyAlignment="1">
      <alignment/>
    </xf>
    <xf numFmtId="0" fontId="40" fillId="25" borderId="29" xfId="0" applyFont="1" applyFill="1" applyBorder="1" applyAlignment="1">
      <alignment wrapText="1"/>
    </xf>
    <xf numFmtId="0" fontId="40" fillId="25" borderId="30" xfId="0" applyFont="1" applyFill="1" applyBorder="1" applyAlignment="1">
      <alignment horizontal="right" wrapText="1"/>
    </xf>
    <xf numFmtId="0" fontId="40" fillId="25" borderId="35" xfId="0" applyFont="1" applyFill="1" applyBorder="1" applyAlignment="1">
      <alignment horizontal="right" wrapText="1"/>
    </xf>
    <xf numFmtId="0" fontId="42" fillId="24" borderId="10" xfId="0" applyFont="1" applyFill="1" applyBorder="1" applyAlignment="1">
      <alignment/>
    </xf>
    <xf numFmtId="0" fontId="42" fillId="24" borderId="11" xfId="0" applyFont="1" applyFill="1" applyBorder="1" applyAlignment="1">
      <alignment/>
    </xf>
    <xf numFmtId="0" fontId="42" fillId="24" borderId="20" xfId="0" applyFont="1" applyFill="1" applyBorder="1" applyAlignment="1">
      <alignment/>
    </xf>
    <xf numFmtId="0" fontId="42" fillId="24" borderId="37" xfId="0" applyFont="1" applyFill="1" applyBorder="1" applyAlignment="1">
      <alignment/>
    </xf>
    <xf numFmtId="175" fontId="42" fillId="7" borderId="38" xfId="42" applyNumberFormat="1" applyFont="1" applyFill="1" applyBorder="1" applyAlignment="1">
      <alignment/>
    </xf>
    <xf numFmtId="0" fontId="42" fillId="24" borderId="15" xfId="0" applyFont="1" applyFill="1" applyBorder="1" applyAlignment="1">
      <alignment/>
    </xf>
    <xf numFmtId="175" fontId="42" fillId="24" borderId="7" xfId="42" applyNumberFormat="1" applyFont="1" applyFill="1" applyBorder="1" applyAlignment="1">
      <alignment/>
    </xf>
    <xf numFmtId="175" fontId="42" fillId="7" borderId="16" xfId="42" applyNumberFormat="1" applyFont="1" applyFill="1" applyBorder="1" applyAlignment="1">
      <alignment/>
    </xf>
    <xf numFmtId="0" fontId="42" fillId="24" borderId="17" xfId="0" applyFont="1" applyFill="1" applyBorder="1" applyAlignment="1">
      <alignment/>
    </xf>
    <xf numFmtId="175" fontId="42" fillId="24" borderId="18" xfId="42" applyNumberFormat="1" applyFont="1" applyFill="1" applyBorder="1" applyAlignment="1">
      <alignment/>
    </xf>
    <xf numFmtId="0" fontId="42" fillId="24" borderId="19" xfId="0" applyFont="1" applyFill="1" applyBorder="1" applyAlignment="1">
      <alignment/>
    </xf>
    <xf numFmtId="0" fontId="25" fillId="24" borderId="0" xfId="0" applyFont="1" applyFill="1" applyAlignment="1">
      <alignment/>
    </xf>
    <xf numFmtId="0" fontId="25" fillId="24" borderId="0" xfId="0" applyFont="1" applyFill="1" applyAlignment="1" applyProtection="1">
      <alignment/>
      <protection locked="0"/>
    </xf>
    <xf numFmtId="0" fontId="58" fillId="24" borderId="0" xfId="0" applyFont="1" applyFill="1" applyAlignment="1">
      <alignment vertical="center"/>
    </xf>
    <xf numFmtId="0" fontId="58" fillId="24" borderId="0" xfId="60" applyFont="1" applyFill="1">
      <alignment/>
      <protection/>
    </xf>
    <xf numFmtId="0" fontId="27" fillId="24" borderId="10" xfId="0" applyFont="1" applyFill="1" applyBorder="1" applyAlignment="1">
      <alignment/>
    </xf>
    <xf numFmtId="0" fontId="27" fillId="24" borderId="11" xfId="0" applyFont="1" applyFill="1" applyBorder="1" applyAlignment="1">
      <alignment/>
    </xf>
    <xf numFmtId="0" fontId="27" fillId="24" borderId="20" xfId="0" applyFont="1" applyFill="1" applyBorder="1" applyAlignment="1">
      <alignment/>
    </xf>
    <xf numFmtId="0" fontId="27" fillId="24" borderId="21" xfId="0" applyFont="1" applyFill="1" applyBorder="1" applyAlignment="1">
      <alignment/>
    </xf>
    <xf numFmtId="0" fontId="53" fillId="29" borderId="23" xfId="0" applyFont="1" applyFill="1" applyBorder="1" applyAlignment="1">
      <alignment/>
    </xf>
    <xf numFmtId="0" fontId="19" fillId="4" borderId="24" xfId="63" applyFill="1" applyBorder="1">
      <alignment/>
      <protection/>
    </xf>
    <xf numFmtId="0" fontId="19" fillId="4" borderId="25" xfId="63" applyFill="1" applyBorder="1">
      <alignment/>
      <protection/>
    </xf>
    <xf numFmtId="0" fontId="19" fillId="0" borderId="10" xfId="63" applyBorder="1">
      <alignment/>
      <protection/>
    </xf>
    <xf numFmtId="0" fontId="19" fillId="0" borderId="0" xfId="63" applyBorder="1">
      <alignment/>
      <protection/>
    </xf>
    <xf numFmtId="0" fontId="19" fillId="0" borderId="11" xfId="63" applyBorder="1">
      <alignment/>
      <protection/>
    </xf>
    <xf numFmtId="0" fontId="19" fillId="0" borderId="20" xfId="63" applyBorder="1">
      <alignment/>
      <protection/>
    </xf>
    <xf numFmtId="0" fontId="19" fillId="0" borderId="22" xfId="63" applyBorder="1">
      <alignment/>
      <protection/>
    </xf>
    <xf numFmtId="0" fontId="19" fillId="0" borderId="21" xfId="63" applyBorder="1">
      <alignment/>
      <protection/>
    </xf>
    <xf numFmtId="0" fontId="19" fillId="0" borderId="0" xfId="63" applyFill="1">
      <alignment/>
      <protection/>
    </xf>
    <xf numFmtId="0" fontId="25" fillId="24" borderId="0" xfId="0" applyFont="1" applyFill="1" applyBorder="1" applyAlignment="1" applyProtection="1">
      <alignment/>
      <protection locked="0"/>
    </xf>
    <xf numFmtId="0" fontId="25" fillId="24" borderId="0" xfId="0" applyFont="1" applyFill="1" applyBorder="1" applyAlignment="1">
      <alignment/>
    </xf>
    <xf numFmtId="0" fontId="25" fillId="24" borderId="36" xfId="0" applyFont="1" applyFill="1" applyBorder="1" applyAlignment="1">
      <alignment/>
    </xf>
    <xf numFmtId="0" fontId="59" fillId="25" borderId="23" xfId="0" applyFont="1" applyFill="1" applyBorder="1" applyAlignment="1" applyProtection="1">
      <alignment wrapText="1"/>
      <protection locked="0"/>
    </xf>
    <xf numFmtId="0" fontId="40" fillId="25" borderId="24" xfId="0" applyFont="1" applyFill="1" applyBorder="1" applyAlignment="1">
      <alignment wrapText="1"/>
    </xf>
    <xf numFmtId="0" fontId="40" fillId="25" borderId="25" xfId="0" applyFont="1" applyFill="1" applyBorder="1" applyAlignment="1">
      <alignment horizontal="center" wrapText="1"/>
    </xf>
    <xf numFmtId="0" fontId="42" fillId="24" borderId="39" xfId="0" applyFont="1" applyFill="1" applyBorder="1" applyAlignment="1">
      <alignment/>
    </xf>
    <xf numFmtId="0" fontId="40" fillId="25" borderId="20" xfId="0" applyFont="1" applyFill="1" applyBorder="1" applyAlignment="1">
      <alignment wrapText="1"/>
    </xf>
    <xf numFmtId="0" fontId="40" fillId="25" borderId="22" xfId="0" applyFont="1" applyFill="1" applyBorder="1" applyAlignment="1">
      <alignment horizontal="right" wrapText="1"/>
    </xf>
    <xf numFmtId="0" fontId="40" fillId="25" borderId="21" xfId="0" applyFont="1" applyFill="1" applyBorder="1" applyAlignment="1">
      <alignment horizontal="right" wrapText="1"/>
    </xf>
    <xf numFmtId="0" fontId="40" fillId="29" borderId="29" xfId="0" applyFont="1" applyFill="1" applyBorder="1" applyAlignment="1">
      <alignment horizontal="right" wrapText="1"/>
    </xf>
    <xf numFmtId="0" fontId="40" fillId="29" borderId="35" xfId="0" applyFont="1" applyFill="1" applyBorder="1" applyAlignment="1">
      <alignment horizontal="right" wrapText="1"/>
    </xf>
    <xf numFmtId="0" fontId="42" fillId="24" borderId="40" xfId="0" applyFont="1" applyFill="1" applyBorder="1" applyAlignment="1">
      <alignment horizontal="right" wrapText="1"/>
    </xf>
    <xf numFmtId="172" fontId="42" fillId="24" borderId="10" xfId="0" applyNumberFormat="1" applyFont="1" applyFill="1" applyBorder="1" applyAlignment="1">
      <alignment horizontal="right"/>
    </xf>
    <xf numFmtId="172" fontId="42" fillId="24" borderId="11" xfId="0" applyNumberFormat="1" applyFont="1" applyFill="1" applyBorder="1" applyAlignment="1">
      <alignment horizontal="right"/>
    </xf>
    <xf numFmtId="0" fontId="42" fillId="24" borderId="7" xfId="0" applyFont="1" applyFill="1" applyBorder="1" applyAlignment="1">
      <alignment horizontal="right" wrapText="1"/>
    </xf>
    <xf numFmtId="0" fontId="42" fillId="24" borderId="18" xfId="0" applyFont="1" applyFill="1" applyBorder="1" applyAlignment="1">
      <alignment horizontal="right" wrapText="1"/>
    </xf>
    <xf numFmtId="172" fontId="42" fillId="24" borderId="20" xfId="0" applyNumberFormat="1" applyFont="1" applyFill="1" applyBorder="1" applyAlignment="1">
      <alignment horizontal="right"/>
    </xf>
    <xf numFmtId="172" fontId="42" fillId="24" borderId="21" xfId="0" applyNumberFormat="1" applyFont="1" applyFill="1" applyBorder="1" applyAlignment="1">
      <alignment horizontal="right"/>
    </xf>
    <xf numFmtId="0" fontId="60" fillId="24" borderId="0" xfId="0" applyFont="1" applyFill="1" applyBorder="1" applyAlignment="1" applyProtection="1">
      <alignment/>
      <protection locked="0"/>
    </xf>
    <xf numFmtId="0" fontId="30" fillId="4" borderId="23" xfId="63" applyFont="1" applyFill="1" applyBorder="1">
      <alignment/>
      <protection/>
    </xf>
    <xf numFmtId="0" fontId="30" fillId="4" borderId="24" xfId="63" applyFont="1" applyFill="1" applyBorder="1">
      <alignment/>
      <protection/>
    </xf>
    <xf numFmtId="0" fontId="42" fillId="24" borderId="0" xfId="0" applyFont="1" applyFill="1" applyBorder="1" applyAlignment="1">
      <alignment horizontal="right" wrapText="1"/>
    </xf>
    <xf numFmtId="172" fontId="42" fillId="24" borderId="0" xfId="0" applyNumberFormat="1" applyFont="1" applyFill="1" applyBorder="1" applyAlignment="1">
      <alignment horizontal="right"/>
    </xf>
    <xf numFmtId="0" fontId="42" fillId="24" borderId="0" xfId="0" applyFont="1" applyFill="1" applyBorder="1" applyAlignment="1">
      <alignment horizontal="right"/>
    </xf>
    <xf numFmtId="0" fontId="30" fillId="24" borderId="0" xfId="0" applyFont="1" applyFill="1" applyBorder="1" applyAlignment="1">
      <alignment/>
    </xf>
    <xf numFmtId="0" fontId="19" fillId="24" borderId="0" xfId="0" applyFont="1" applyFill="1" applyBorder="1" applyAlignment="1">
      <alignment/>
    </xf>
    <xf numFmtId="0" fontId="53" fillId="29" borderId="25" xfId="0" applyFont="1" applyFill="1" applyBorder="1" applyAlignment="1">
      <alignment/>
    </xf>
    <xf numFmtId="0" fontId="53" fillId="29" borderId="20" xfId="0" applyFont="1" applyFill="1" applyBorder="1" applyAlignment="1">
      <alignment horizontal="right" wrapText="1"/>
    </xf>
    <xf numFmtId="0" fontId="53" fillId="29" borderId="21" xfId="0" applyFont="1" applyFill="1" applyBorder="1" applyAlignment="1">
      <alignment horizontal="right" wrapText="1"/>
    </xf>
    <xf numFmtId="0" fontId="40" fillId="25" borderId="22" xfId="0" applyFont="1" applyFill="1" applyBorder="1" applyAlignment="1">
      <alignment wrapText="1"/>
    </xf>
    <xf numFmtId="0" fontId="25" fillId="24" borderId="39" xfId="0" applyFont="1" applyFill="1" applyBorder="1" applyAlignment="1">
      <alignment/>
    </xf>
    <xf numFmtId="3" fontId="19" fillId="24" borderId="0" xfId="64" applyNumberFormat="1" applyFont="1" applyFill="1" applyBorder="1">
      <alignment/>
      <protection/>
    </xf>
    <xf numFmtId="0" fontId="19" fillId="24" borderId="0" xfId="64" applyFont="1" applyFill="1" applyBorder="1" applyAlignment="1">
      <alignment horizontal="left"/>
      <protection/>
    </xf>
    <xf numFmtId="172" fontId="42" fillId="24" borderId="0" xfId="0" applyNumberFormat="1" applyFont="1" applyFill="1" applyBorder="1" applyAlignment="1">
      <alignment/>
    </xf>
    <xf numFmtId="172" fontId="42" fillId="24" borderId="10" xfId="0" applyNumberFormat="1" applyFont="1" applyFill="1" applyBorder="1" applyAlignment="1">
      <alignment/>
    </xf>
    <xf numFmtId="172" fontId="42" fillId="24" borderId="11" xfId="0" applyNumberFormat="1" applyFont="1" applyFill="1" applyBorder="1" applyAlignment="1">
      <alignment/>
    </xf>
    <xf numFmtId="172" fontId="42" fillId="24" borderId="20" xfId="0" applyNumberFormat="1" applyFont="1" applyFill="1" applyBorder="1" applyAlignment="1">
      <alignment/>
    </xf>
    <xf numFmtId="172" fontId="42" fillId="24" borderId="21" xfId="0" applyNumberFormat="1" applyFont="1" applyFill="1" applyBorder="1" applyAlignment="1">
      <alignment/>
    </xf>
    <xf numFmtId="0" fontId="40" fillId="25" borderId="21" xfId="0" applyFont="1" applyFill="1" applyBorder="1" applyAlignment="1">
      <alignment wrapText="1"/>
    </xf>
    <xf numFmtId="0" fontId="59" fillId="25" borderId="29" xfId="0" applyFont="1" applyFill="1" applyBorder="1" applyAlignment="1">
      <alignment wrapText="1"/>
    </xf>
    <xf numFmtId="0" fontId="40" fillId="25" borderId="30" xfId="0" applyFont="1" applyFill="1" applyBorder="1" applyAlignment="1">
      <alignment wrapText="1"/>
    </xf>
    <xf numFmtId="0" fontId="40" fillId="25" borderId="35" xfId="0" applyFont="1" applyFill="1" applyBorder="1" applyAlignment="1">
      <alignment wrapText="1"/>
    </xf>
    <xf numFmtId="9" fontId="42" fillId="7" borderId="40" xfId="77" applyFont="1" applyFill="1" applyBorder="1" applyAlignment="1">
      <alignment/>
    </xf>
    <xf numFmtId="9" fontId="42" fillId="7" borderId="18" xfId="77" applyFont="1" applyFill="1" applyBorder="1" applyAlignment="1">
      <alignment/>
    </xf>
    <xf numFmtId="175" fontId="42" fillId="7" borderId="19" xfId="42" applyNumberFormat="1" applyFont="1" applyFill="1" applyBorder="1" applyAlignment="1">
      <alignment/>
    </xf>
    <xf numFmtId="174" fontId="42" fillId="24" borderId="10" xfId="42" applyNumberFormat="1" applyFont="1" applyFill="1" applyBorder="1" applyAlignment="1">
      <alignment/>
    </xf>
    <xf numFmtId="174" fontId="42" fillId="24" borderId="11" xfId="42" applyNumberFormat="1" applyFont="1" applyFill="1" applyBorder="1" applyAlignment="1">
      <alignment/>
    </xf>
    <xf numFmtId="174" fontId="42" fillId="24" borderId="20" xfId="42" applyNumberFormat="1" applyFont="1" applyFill="1" applyBorder="1" applyAlignment="1">
      <alignment/>
    </xf>
    <xf numFmtId="174" fontId="42" fillId="24" borderId="21" xfId="42" applyNumberFormat="1" applyFont="1" applyFill="1" applyBorder="1" applyAlignment="1">
      <alignment/>
    </xf>
    <xf numFmtId="0" fontId="48" fillId="25" borderId="0" xfId="0" applyFont="1" applyFill="1" applyAlignment="1">
      <alignment vertical="center"/>
    </xf>
    <xf numFmtId="0" fontId="42" fillId="25" borderId="0" xfId="0" applyFont="1" applyFill="1" applyAlignment="1">
      <alignment/>
    </xf>
    <xf numFmtId="0" fontId="42" fillId="0" borderId="0" xfId="0" applyFont="1" applyAlignment="1">
      <alignment/>
    </xf>
    <xf numFmtId="0" fontId="25" fillId="0" borderId="0" xfId="0" applyFont="1" applyAlignment="1">
      <alignment/>
    </xf>
    <xf numFmtId="0" fontId="42" fillId="0" borderId="0" xfId="0" applyFont="1" applyFill="1" applyAlignment="1">
      <alignment/>
    </xf>
    <xf numFmtId="43" fontId="42" fillId="0" borderId="0" xfId="0" applyNumberFormat="1" applyFont="1" applyAlignment="1">
      <alignment/>
    </xf>
    <xf numFmtId="0" fontId="42" fillId="0" borderId="0" xfId="0" applyFont="1" applyAlignment="1">
      <alignment horizontal="right"/>
    </xf>
    <xf numFmtId="2" fontId="42" fillId="0" borderId="0" xfId="0" applyNumberFormat="1" applyFont="1" applyFill="1" applyBorder="1" applyAlignment="1">
      <alignment/>
    </xf>
    <xf numFmtId="0" fontId="42" fillId="0" borderId="0" xfId="0" applyFont="1" applyBorder="1" applyAlignment="1">
      <alignment/>
    </xf>
    <xf numFmtId="0" fontId="42" fillId="0" borderId="0" xfId="0" applyFont="1" applyFill="1" applyBorder="1" applyAlignment="1">
      <alignment wrapText="1"/>
    </xf>
    <xf numFmtId="172" fontId="42" fillId="0" borderId="0" xfId="0" applyNumberFormat="1" applyFont="1" applyFill="1" applyBorder="1" applyAlignment="1">
      <alignment/>
    </xf>
    <xf numFmtId="0" fontId="42" fillId="0" borderId="0" xfId="0" applyFont="1" applyFill="1" applyBorder="1" applyAlignment="1">
      <alignment/>
    </xf>
    <xf numFmtId="182" fontId="42" fillId="0" borderId="0" xfId="0" applyNumberFormat="1" applyFont="1" applyFill="1" applyBorder="1" applyAlignment="1">
      <alignment/>
    </xf>
    <xf numFmtId="172" fontId="41" fillId="0" borderId="0" xfId="0" applyNumberFormat="1" applyFont="1" applyFill="1" applyBorder="1" applyAlignment="1">
      <alignment horizontal="left"/>
    </xf>
    <xf numFmtId="0" fontId="25" fillId="0" borderId="0" xfId="0" applyFont="1" applyBorder="1" applyAlignment="1">
      <alignment wrapText="1"/>
    </xf>
    <xf numFmtId="0" fontId="42" fillId="0" borderId="0" xfId="0" applyFont="1" applyFill="1" applyBorder="1" applyAlignment="1">
      <alignment horizontal="center"/>
    </xf>
    <xf numFmtId="2" fontId="25" fillId="0" borderId="0" xfId="0" applyNumberFormat="1" applyFont="1" applyBorder="1" applyAlignment="1">
      <alignment wrapText="1"/>
    </xf>
    <xf numFmtId="0" fontId="42" fillId="0" borderId="0" xfId="0" applyFont="1" applyBorder="1" applyAlignment="1">
      <alignment horizontal="center"/>
    </xf>
    <xf numFmtId="0" fontId="62" fillId="0" borderId="10" xfId="0" applyFont="1" applyFill="1" applyBorder="1" applyAlignment="1">
      <alignment horizontal="left"/>
    </xf>
    <xf numFmtId="0" fontId="19" fillId="0" borderId="10" xfId="62" applyFont="1" applyBorder="1" applyAlignment="1">
      <alignment horizontal="left"/>
      <protection/>
    </xf>
    <xf numFmtId="0" fontId="19" fillId="0" borderId="10" xfId="62" applyFont="1" applyBorder="1">
      <alignment/>
      <protection/>
    </xf>
    <xf numFmtId="0" fontId="62" fillId="0" borderId="10" xfId="62" applyFont="1" applyBorder="1">
      <alignment/>
      <protection/>
    </xf>
    <xf numFmtId="2" fontId="42" fillId="0" borderId="10" xfId="0" applyNumberFormat="1" applyFont="1" applyFill="1" applyBorder="1" applyAlignment="1">
      <alignment/>
    </xf>
    <xf numFmtId="2" fontId="42" fillId="0" borderId="11" xfId="0" applyNumberFormat="1" applyFont="1" applyFill="1" applyBorder="1" applyAlignment="1">
      <alignment/>
    </xf>
    <xf numFmtId="0" fontId="42" fillId="0" borderId="11" xfId="0" applyFont="1" applyBorder="1" applyAlignment="1">
      <alignment/>
    </xf>
    <xf numFmtId="183" fontId="42" fillId="0" borderId="10" xfId="0" applyNumberFormat="1" applyFont="1" applyFill="1" applyBorder="1" applyAlignment="1">
      <alignment/>
    </xf>
    <xf numFmtId="0" fontId="42" fillId="0" borderId="10" xfId="0" applyFont="1" applyBorder="1" applyAlignment="1">
      <alignment/>
    </xf>
    <xf numFmtId="0" fontId="42" fillId="0" borderId="20" xfId="0" applyFont="1" applyBorder="1" applyAlignment="1">
      <alignment/>
    </xf>
    <xf numFmtId="0" fontId="42" fillId="0" borderId="21" xfId="0" applyFont="1" applyBorder="1" applyAlignment="1">
      <alignment/>
    </xf>
    <xf numFmtId="0" fontId="60" fillId="0" borderId="0" xfId="0" applyFont="1" applyAlignment="1">
      <alignment/>
    </xf>
    <xf numFmtId="172" fontId="40" fillId="25" borderId="35" xfId="0" applyNumberFormat="1" applyFont="1" applyFill="1" applyBorder="1" applyAlignment="1">
      <alignment horizontal="right" wrapText="1"/>
    </xf>
    <xf numFmtId="0" fontId="42" fillId="0" borderId="41" xfId="0" applyFont="1" applyBorder="1" applyAlignment="1">
      <alignment wrapText="1"/>
    </xf>
    <xf numFmtId="172" fontId="48" fillId="29" borderId="25" xfId="0" applyNumberFormat="1" applyFont="1" applyFill="1" applyBorder="1" applyAlignment="1">
      <alignment/>
    </xf>
    <xf numFmtId="0" fontId="40" fillId="29" borderId="23" xfId="0" applyFont="1" applyFill="1" applyBorder="1" applyAlignment="1">
      <alignment/>
    </xf>
    <xf numFmtId="0" fontId="48" fillId="4" borderId="10" xfId="0" applyFont="1" applyFill="1" applyBorder="1" applyAlignment="1">
      <alignment/>
    </xf>
    <xf numFmtId="172" fontId="30" fillId="4" borderId="11" xfId="0" applyNumberFormat="1" applyFont="1" applyFill="1" applyBorder="1" applyAlignment="1">
      <alignment horizontal="right" wrapText="1"/>
    </xf>
    <xf numFmtId="0" fontId="42" fillId="0" borderId="15" xfId="0" applyFont="1" applyBorder="1" applyAlignment="1">
      <alignment horizontal="left" wrapText="1"/>
    </xf>
    <xf numFmtId="172" fontId="42" fillId="0" borderId="16" xfId="0" applyNumberFormat="1" applyFont="1" applyFill="1" applyBorder="1" applyAlignment="1">
      <alignment/>
    </xf>
    <xf numFmtId="0" fontId="42" fillId="0" borderId="17" xfId="0" applyFont="1" applyBorder="1" applyAlignment="1">
      <alignment horizontal="left" wrapText="1"/>
    </xf>
    <xf numFmtId="0" fontId="42" fillId="0" borderId="24" xfId="0" applyFont="1" applyBorder="1" applyAlignment="1">
      <alignment wrapText="1"/>
    </xf>
    <xf numFmtId="0" fontId="25" fillId="0" borderId="0" xfId="0" applyFont="1" applyFill="1" applyBorder="1" applyAlignment="1">
      <alignment/>
    </xf>
    <xf numFmtId="0" fontId="61" fillId="0" borderId="42" xfId="0" applyFont="1" applyBorder="1" applyAlignment="1">
      <alignment/>
    </xf>
    <xf numFmtId="0" fontId="42" fillId="0" borderId="43" xfId="0" applyFont="1" applyBorder="1" applyAlignment="1">
      <alignment/>
    </xf>
    <xf numFmtId="0" fontId="42" fillId="0" borderId="15" xfId="0" applyFont="1" applyBorder="1" applyAlignment="1">
      <alignment/>
    </xf>
    <xf numFmtId="0" fontId="61" fillId="0" borderId="15" xfId="0" applyFont="1" applyBorder="1" applyAlignment="1">
      <alignment/>
    </xf>
    <xf numFmtId="172" fontId="42" fillId="0" borderId="16" xfId="0" applyNumberFormat="1" applyFont="1" applyFill="1" applyBorder="1" applyAlignment="1">
      <alignment wrapText="1"/>
    </xf>
    <xf numFmtId="0" fontId="42" fillId="0" borderId="15" xfId="0" applyFont="1" applyFill="1" applyBorder="1" applyAlignment="1">
      <alignment/>
    </xf>
    <xf numFmtId="0" fontId="42" fillId="0" borderId="17" xfId="0" applyFont="1" applyBorder="1" applyAlignment="1">
      <alignment/>
    </xf>
    <xf numFmtId="2" fontId="40" fillId="29" borderId="23" xfId="0" applyNumberFormat="1" applyFont="1" applyFill="1" applyBorder="1" applyAlignment="1">
      <alignment horizontal="right" wrapText="1"/>
    </xf>
    <xf numFmtId="2" fontId="40" fillId="29" borderId="25" xfId="0" applyNumberFormat="1" applyFont="1" applyFill="1" applyBorder="1" applyAlignment="1">
      <alignment horizontal="right" wrapText="1"/>
    </xf>
    <xf numFmtId="0" fontId="42" fillId="0" borderId="22" xfId="0" applyFont="1" applyBorder="1" applyAlignment="1">
      <alignment/>
    </xf>
    <xf numFmtId="0" fontId="42" fillId="0" borderId="0" xfId="0" applyFont="1" applyBorder="1" applyAlignment="1">
      <alignment wrapText="1"/>
    </xf>
    <xf numFmtId="0" fontId="42" fillId="0" borderId="12" xfId="0" applyFont="1" applyBorder="1" applyAlignment="1">
      <alignment horizontal="left" wrapText="1"/>
    </xf>
    <xf numFmtId="0" fontId="42" fillId="0" borderId="12" xfId="0" applyFont="1" applyBorder="1" applyAlignment="1">
      <alignment wrapText="1"/>
    </xf>
    <xf numFmtId="0" fontId="42" fillId="0" borderId="17" xfId="0" applyFont="1" applyBorder="1" applyAlignment="1">
      <alignment wrapText="1"/>
    </xf>
    <xf numFmtId="0" fontId="61" fillId="0" borderId="12" xfId="0" applyFont="1" applyBorder="1" applyAlignment="1">
      <alignment/>
    </xf>
    <xf numFmtId="0" fontId="42" fillId="0" borderId="14" xfId="0" applyFont="1" applyBorder="1" applyAlignment="1">
      <alignment/>
    </xf>
    <xf numFmtId="0" fontId="42" fillId="0" borderId="16" xfId="0" applyFont="1" applyBorder="1" applyAlignment="1">
      <alignment/>
    </xf>
    <xf numFmtId="0" fontId="61" fillId="0" borderId="15" xfId="0" applyFont="1" applyFill="1" applyBorder="1" applyAlignment="1">
      <alignment/>
    </xf>
    <xf numFmtId="182" fontId="42" fillId="24" borderId="0" xfId="0" applyNumberFormat="1" applyFont="1" applyFill="1" applyBorder="1" applyAlignment="1">
      <alignment/>
    </xf>
    <xf numFmtId="0" fontId="42" fillId="0" borderId="15" xfId="0" applyFont="1" applyBorder="1" applyAlignment="1">
      <alignment wrapText="1"/>
    </xf>
    <xf numFmtId="0" fontId="24" fillId="24" borderId="0" xfId="62" applyFont="1" applyFill="1" applyBorder="1">
      <alignment/>
      <protection/>
    </xf>
    <xf numFmtId="0" fontId="0" fillId="24" borderId="0" xfId="0" applyFill="1" applyBorder="1" applyAlignment="1">
      <alignment/>
    </xf>
    <xf numFmtId="2" fontId="40" fillId="29" borderId="23" xfId="0" applyNumberFormat="1" applyFont="1" applyFill="1" applyBorder="1" applyAlignment="1">
      <alignment horizontal="left"/>
    </xf>
    <xf numFmtId="2" fontId="40" fillId="29" borderId="24" xfId="0" applyNumberFormat="1" applyFont="1" applyFill="1" applyBorder="1" applyAlignment="1">
      <alignment horizontal="left"/>
    </xf>
    <xf numFmtId="2" fontId="40" fillId="29" borderId="25" xfId="0" applyNumberFormat="1" applyFont="1" applyFill="1" applyBorder="1" applyAlignment="1">
      <alignment horizontal="left"/>
    </xf>
    <xf numFmtId="2" fontId="42" fillId="24" borderId="10" xfId="0" applyNumberFormat="1" applyFont="1" applyFill="1" applyBorder="1" applyAlignment="1">
      <alignment/>
    </xf>
    <xf numFmtId="2" fontId="42" fillId="24" borderId="25" xfId="0" applyNumberFormat="1" applyFont="1" applyFill="1" applyBorder="1" applyAlignment="1">
      <alignment/>
    </xf>
    <xf numFmtId="2" fontId="42" fillId="24" borderId="11" xfId="0" applyNumberFormat="1" applyFont="1" applyFill="1" applyBorder="1" applyAlignment="1">
      <alignment/>
    </xf>
    <xf numFmtId="182" fontId="42" fillId="24" borderId="22" xfId="0" applyNumberFormat="1" applyFont="1" applyFill="1" applyBorder="1" applyAlignment="1">
      <alignment/>
    </xf>
    <xf numFmtId="2" fontId="42" fillId="24" borderId="21" xfId="0" applyNumberFormat="1" applyFont="1" applyFill="1" applyBorder="1" applyAlignment="1">
      <alignment/>
    </xf>
    <xf numFmtId="0" fontId="19" fillId="0" borderId="0" xfId="0" applyFont="1" applyFill="1" applyBorder="1" applyAlignment="1">
      <alignment/>
    </xf>
    <xf numFmtId="0" fontId="40" fillId="29" borderId="10" xfId="0" applyFont="1" applyFill="1" applyBorder="1" applyAlignment="1">
      <alignment horizontal="center"/>
    </xf>
    <xf numFmtId="0" fontId="40" fillId="29" borderId="0" xfId="0" applyFont="1" applyFill="1" applyBorder="1" applyAlignment="1">
      <alignment horizontal="center"/>
    </xf>
    <xf numFmtId="0" fontId="40" fillId="25" borderId="11" xfId="0" applyFont="1" applyFill="1" applyBorder="1" applyAlignment="1">
      <alignment horizontal="center" wrapText="1"/>
    </xf>
    <xf numFmtId="0" fontId="25" fillId="4" borderId="10" xfId="0" applyFont="1" applyFill="1" applyBorder="1" applyAlignment="1">
      <alignment/>
    </xf>
    <xf numFmtId="0" fontId="25" fillId="4" borderId="0" xfId="0" applyFont="1" applyFill="1" applyBorder="1" applyAlignment="1">
      <alignment/>
    </xf>
    <xf numFmtId="0" fontId="25" fillId="4" borderId="11" xfId="0" applyFont="1" applyFill="1" applyBorder="1" applyAlignment="1">
      <alignment/>
    </xf>
    <xf numFmtId="0" fontId="63" fillId="0" borderId="0" xfId="0" applyFont="1" applyFill="1" applyBorder="1" applyAlignment="1">
      <alignment horizontal="left"/>
    </xf>
    <xf numFmtId="43" fontId="64" fillId="24" borderId="13" xfId="42" applyFont="1" applyFill="1" applyBorder="1" applyAlignment="1">
      <alignment/>
    </xf>
    <xf numFmtId="174" fontId="64" fillId="24" borderId="14" xfId="42" applyNumberFormat="1" applyFont="1" applyFill="1" applyBorder="1" applyAlignment="1">
      <alignment/>
    </xf>
    <xf numFmtId="43" fontId="64" fillId="24" borderId="7" xfId="42" applyFont="1" applyFill="1" applyBorder="1" applyAlignment="1">
      <alignment/>
    </xf>
    <xf numFmtId="174" fontId="64" fillId="24" borderId="16" xfId="42" applyNumberFormat="1" applyFont="1" applyFill="1" applyBorder="1" applyAlignment="1">
      <alignment/>
    </xf>
    <xf numFmtId="0" fontId="63" fillId="0" borderId="0" xfId="0" applyFont="1" applyFill="1" applyBorder="1" applyAlignment="1">
      <alignment/>
    </xf>
    <xf numFmtId="43" fontId="64" fillId="24" borderId="18" xfId="42" applyFont="1" applyFill="1" applyBorder="1" applyAlignment="1">
      <alignment/>
    </xf>
    <xf numFmtId="174" fontId="64" fillId="24" borderId="19" xfId="42" applyNumberFormat="1" applyFont="1" applyFill="1" applyBorder="1" applyAlignment="1">
      <alignment/>
    </xf>
    <xf numFmtId="0" fontId="19" fillId="0" borderId="0" xfId="0" applyFont="1" applyFill="1" applyBorder="1" applyAlignment="1">
      <alignment/>
    </xf>
    <xf numFmtId="0" fontId="25" fillId="24" borderId="0" xfId="0" applyFont="1" applyFill="1" applyBorder="1" applyAlignment="1">
      <alignment horizontal="right"/>
    </xf>
    <xf numFmtId="175" fontId="25" fillId="24" borderId="0" xfId="42" applyNumberFormat="1" applyFont="1" applyFill="1" applyBorder="1" applyAlignment="1">
      <alignment/>
    </xf>
    <xf numFmtId="0" fontId="25" fillId="24" borderId="0" xfId="0" applyFont="1" applyFill="1" applyBorder="1" applyAlignment="1">
      <alignment horizontal="center"/>
    </xf>
    <xf numFmtId="43" fontId="25" fillId="24" borderId="0" xfId="0" applyNumberFormat="1" applyFont="1" applyFill="1" applyAlignment="1">
      <alignment/>
    </xf>
    <xf numFmtId="9" fontId="64" fillId="24" borderId="16" xfId="77" applyFont="1" applyFill="1" applyBorder="1" applyAlignment="1">
      <alignment/>
    </xf>
    <xf numFmtId="9" fontId="19" fillId="22" borderId="16" xfId="77" applyFont="1" applyFill="1" applyBorder="1" applyAlignment="1">
      <alignment horizontal="right"/>
    </xf>
    <xf numFmtId="9" fontId="64" fillId="24" borderId="19" xfId="77" applyFont="1" applyFill="1" applyBorder="1" applyAlignment="1">
      <alignment/>
    </xf>
    <xf numFmtId="9" fontId="42" fillId="24" borderId="16" xfId="77" applyFont="1" applyFill="1" applyBorder="1" applyAlignment="1">
      <alignment/>
    </xf>
    <xf numFmtId="9" fontId="19" fillId="22" borderId="16" xfId="77" applyFont="1" applyFill="1" applyBorder="1" applyAlignment="1">
      <alignment/>
    </xf>
    <xf numFmtId="9" fontId="19" fillId="22" borderId="19" xfId="77" applyFont="1" applyFill="1" applyBorder="1" applyAlignment="1">
      <alignment/>
    </xf>
    <xf numFmtId="9" fontId="42" fillId="24" borderId="19" xfId="77" applyFont="1" applyFill="1" applyBorder="1" applyAlignment="1">
      <alignment/>
    </xf>
    <xf numFmtId="0" fontId="40" fillId="25" borderId="25" xfId="0" applyFont="1" applyFill="1" applyBorder="1" applyAlignment="1">
      <alignment/>
    </xf>
    <xf numFmtId="0" fontId="19" fillId="22" borderId="14" xfId="0" applyFont="1" applyFill="1" applyBorder="1" applyAlignment="1">
      <alignment/>
    </xf>
    <xf numFmtId="175" fontId="19" fillId="24" borderId="16" xfId="77" applyNumberFormat="1" applyFont="1" applyFill="1" applyBorder="1" applyAlignment="1">
      <alignment horizontal="right"/>
    </xf>
    <xf numFmtId="175" fontId="19" fillId="24" borderId="19" xfId="77" applyNumberFormat="1" applyFont="1" applyFill="1" applyBorder="1" applyAlignment="1">
      <alignment horizontal="right"/>
    </xf>
    <xf numFmtId="0" fontId="42" fillId="25" borderId="24" xfId="0" applyFont="1" applyFill="1" applyBorder="1" applyAlignment="1">
      <alignment/>
    </xf>
    <xf numFmtId="0" fontId="40" fillId="29" borderId="20" xfId="0" applyFont="1" applyFill="1" applyBorder="1" applyAlignment="1">
      <alignment/>
    </xf>
    <xf numFmtId="0" fontId="40" fillId="29" borderId="22" xfId="0" applyFont="1" applyFill="1" applyBorder="1" applyAlignment="1">
      <alignment/>
    </xf>
    <xf numFmtId="0" fontId="40" fillId="29" borderId="21" xfId="0" applyFont="1" applyFill="1" applyBorder="1" applyAlignment="1">
      <alignment/>
    </xf>
    <xf numFmtId="0" fontId="42" fillId="0" borderId="0" xfId="0" applyFont="1" applyAlignment="1">
      <alignment/>
    </xf>
    <xf numFmtId="0" fontId="40" fillId="25" borderId="10" xfId="0" applyFont="1" applyFill="1" applyBorder="1" applyAlignment="1" applyProtection="1">
      <alignment wrapText="1"/>
      <protection locked="0"/>
    </xf>
    <xf numFmtId="0" fontId="40" fillId="25" borderId="0" xfId="0" applyFont="1" applyFill="1" applyBorder="1" applyAlignment="1" applyProtection="1">
      <alignment horizontal="center" wrapText="1"/>
      <protection locked="0"/>
    </xf>
    <xf numFmtId="0" fontId="40" fillId="25" borderId="0" xfId="0" applyFont="1" applyFill="1" applyBorder="1" applyAlignment="1">
      <alignment horizontal="center" wrapText="1"/>
    </xf>
    <xf numFmtId="0" fontId="25" fillId="4" borderId="10" xfId="0" applyFont="1" applyFill="1" applyBorder="1" applyAlignment="1">
      <alignment horizontal="center" wrapText="1"/>
    </xf>
    <xf numFmtId="0" fontId="25" fillId="4" borderId="11" xfId="0" applyFont="1" applyFill="1" applyBorder="1" applyAlignment="1">
      <alignment horizontal="center" wrapText="1"/>
    </xf>
    <xf numFmtId="0" fontId="25" fillId="4" borderId="23" xfId="0" applyFont="1" applyFill="1" applyBorder="1" applyAlignment="1">
      <alignment horizontal="center" wrapText="1"/>
    </xf>
    <xf numFmtId="0" fontId="25" fillId="4" borderId="24" xfId="0" applyFont="1" applyFill="1" applyBorder="1" applyAlignment="1">
      <alignment horizontal="center" wrapText="1"/>
    </xf>
    <xf numFmtId="0" fontId="25" fillId="4" borderId="25" xfId="0" applyFont="1" applyFill="1" applyBorder="1" applyAlignment="1">
      <alignment horizontal="center" wrapText="1"/>
    </xf>
    <xf numFmtId="0" fontId="25" fillId="4" borderId="10" xfId="0" applyFont="1" applyFill="1" applyBorder="1" applyAlignment="1">
      <alignment horizontal="center"/>
    </xf>
    <xf numFmtId="0" fontId="25" fillId="4" borderId="11" xfId="0" applyFont="1" applyFill="1" applyBorder="1" applyAlignment="1">
      <alignment horizontal="center"/>
    </xf>
    <xf numFmtId="0" fontId="30" fillId="4" borderId="10" xfId="0" applyFont="1" applyFill="1" applyBorder="1" applyAlignment="1" applyProtection="1" quotePrefix="1">
      <alignment horizontal="center"/>
      <protection locked="0"/>
    </xf>
    <xf numFmtId="0" fontId="30" fillId="4" borderId="0" xfId="0" applyFont="1" applyFill="1" applyBorder="1" applyAlignment="1" applyProtection="1">
      <alignment horizontal="center"/>
      <protection locked="0"/>
    </xf>
    <xf numFmtId="0" fontId="30" fillId="4" borderId="44" xfId="0" applyFont="1" applyFill="1" applyBorder="1" applyAlignment="1" applyProtection="1">
      <alignment horizontal="center"/>
      <protection locked="0"/>
    </xf>
    <xf numFmtId="0" fontId="30" fillId="4" borderId="11" xfId="0" applyFont="1" applyFill="1" applyBorder="1" applyAlignment="1" applyProtection="1">
      <alignment horizontal="center"/>
      <protection locked="0"/>
    </xf>
    <xf numFmtId="0" fontId="42" fillId="0" borderId="12" xfId="0" applyFont="1" applyFill="1" applyBorder="1" applyAlignment="1">
      <alignment/>
    </xf>
    <xf numFmtId="0" fontId="19" fillId="22" borderId="13" xfId="0" applyFont="1" applyFill="1" applyBorder="1" applyAlignment="1">
      <alignment/>
    </xf>
    <xf numFmtId="43" fontId="42" fillId="0" borderId="10" xfId="42" applyFont="1" applyFill="1" applyBorder="1" applyAlignment="1">
      <alignment/>
    </xf>
    <xf numFmtId="43" fontId="42" fillId="0" borderId="11" xfId="0" applyNumberFormat="1" applyFont="1" applyFill="1" applyBorder="1" applyAlignment="1">
      <alignment/>
    </xf>
    <xf numFmtId="9" fontId="42" fillId="0" borderId="10" xfId="77" applyFont="1" applyFill="1" applyBorder="1" applyAlignment="1">
      <alignment/>
    </xf>
    <xf numFmtId="9" fontId="42" fillId="0" borderId="0" xfId="77" applyFont="1" applyFill="1" applyBorder="1" applyAlignment="1">
      <alignment/>
    </xf>
    <xf numFmtId="9" fontId="42" fillId="0" borderId="11" xfId="77" applyFont="1" applyFill="1" applyBorder="1" applyAlignment="1">
      <alignment/>
    </xf>
    <xf numFmtId="0" fontId="42" fillId="0" borderId="10" xfId="0" applyFont="1" applyFill="1" applyBorder="1" applyAlignment="1">
      <alignment horizontal="left"/>
    </xf>
    <xf numFmtId="0" fontId="42" fillId="0" borderId="11" xfId="0" applyFont="1" applyFill="1" applyBorder="1" applyAlignment="1">
      <alignment horizontal="left"/>
    </xf>
    <xf numFmtId="0" fontId="42" fillId="0" borderId="10" xfId="0" applyFont="1" applyFill="1" applyBorder="1" applyAlignment="1" applyProtection="1">
      <alignment/>
      <protection locked="0"/>
    </xf>
    <xf numFmtId="0" fontId="42" fillId="0" borderId="0" xfId="0" applyFont="1" applyFill="1" applyBorder="1" applyAlignment="1" applyProtection="1">
      <alignment/>
      <protection locked="0"/>
    </xf>
    <xf numFmtId="0" fontId="42" fillId="0" borderId="45" xfId="0" applyFont="1" applyFill="1" applyBorder="1" applyAlignment="1" applyProtection="1">
      <alignment/>
      <protection locked="0"/>
    </xf>
    <xf numFmtId="0" fontId="42" fillId="0" borderId="44" xfId="0" applyFont="1" applyFill="1" applyBorder="1" applyAlignment="1" applyProtection="1">
      <alignment/>
      <protection locked="0"/>
    </xf>
    <xf numFmtId="0" fontId="42" fillId="0" borderId="11" xfId="0" applyFont="1" applyFill="1" applyBorder="1" applyAlignment="1" applyProtection="1">
      <alignment/>
      <protection locked="0"/>
    </xf>
    <xf numFmtId="0" fontId="19" fillId="22" borderId="16" xfId="0" applyFont="1" applyFill="1" applyBorder="1" applyAlignment="1">
      <alignment/>
    </xf>
    <xf numFmtId="0" fontId="42" fillId="0" borderId="11" xfId="0" applyFont="1" applyFill="1" applyBorder="1" applyAlignment="1">
      <alignment/>
    </xf>
    <xf numFmtId="0" fontId="42" fillId="0" borderId="21" xfId="0" applyFont="1" applyFill="1" applyBorder="1" applyAlignment="1">
      <alignment/>
    </xf>
    <xf numFmtId="0" fontId="42" fillId="0" borderId="20" xfId="0" applyFont="1" applyFill="1" applyBorder="1" applyAlignment="1" applyProtection="1">
      <alignment/>
      <protection locked="0"/>
    </xf>
    <xf numFmtId="0" fontId="42" fillId="0" borderId="22" xfId="0" applyFont="1" applyFill="1" applyBorder="1" applyAlignment="1" applyProtection="1">
      <alignment/>
      <protection locked="0"/>
    </xf>
    <xf numFmtId="0" fontId="42" fillId="0" borderId="46" xfId="0" applyFont="1" applyFill="1" applyBorder="1" applyAlignment="1" applyProtection="1">
      <alignment/>
      <protection locked="0"/>
    </xf>
    <xf numFmtId="0" fontId="42" fillId="0" borderId="47" xfId="0" applyFont="1" applyFill="1" applyBorder="1" applyAlignment="1" applyProtection="1">
      <alignment/>
      <protection locked="0"/>
    </xf>
    <xf numFmtId="0" fontId="42" fillId="0" borderId="22" xfId="0" applyFont="1" applyFill="1" applyBorder="1" applyAlignment="1">
      <alignment/>
    </xf>
    <xf numFmtId="0" fontId="42" fillId="0" borderId="21" xfId="0" applyFont="1" applyFill="1" applyBorder="1" applyAlignment="1" applyProtection="1">
      <alignment/>
      <protection locked="0"/>
    </xf>
    <xf numFmtId="0" fontId="42" fillId="24" borderId="0" xfId="0" applyFont="1" applyFill="1" applyAlignment="1">
      <alignment/>
    </xf>
    <xf numFmtId="0" fontId="19" fillId="24" borderId="0" xfId="0" applyFont="1" applyFill="1" applyAlignment="1">
      <alignment/>
    </xf>
    <xf numFmtId="0" fontId="19" fillId="8" borderId="0" xfId="0" applyFont="1" applyFill="1" applyAlignment="1">
      <alignment/>
    </xf>
    <xf numFmtId="0" fontId="19" fillId="8" borderId="0" xfId="0" applyFont="1" applyFill="1" applyAlignment="1">
      <alignment/>
    </xf>
    <xf numFmtId="0" fontId="42" fillId="0" borderId="31" xfId="0" applyFont="1" applyFill="1" applyBorder="1" applyAlignment="1">
      <alignment/>
    </xf>
    <xf numFmtId="0" fontId="19" fillId="22" borderId="48" xfId="0" applyFont="1" applyFill="1" applyBorder="1" applyAlignment="1">
      <alignment/>
    </xf>
    <xf numFmtId="0" fontId="19" fillId="22" borderId="19" xfId="0" applyFont="1" applyFill="1" applyBorder="1" applyAlignment="1">
      <alignment/>
    </xf>
    <xf numFmtId="43" fontId="42" fillId="0" borderId="20" xfId="42" applyFont="1" applyFill="1" applyBorder="1" applyAlignment="1">
      <alignment/>
    </xf>
    <xf numFmtId="43" fontId="42" fillId="0" borderId="21" xfId="0" applyNumberFormat="1" applyFont="1" applyFill="1" applyBorder="1" applyAlignment="1">
      <alignment/>
    </xf>
    <xf numFmtId="9" fontId="42" fillId="0" borderId="20" xfId="77" applyFont="1" applyFill="1" applyBorder="1" applyAlignment="1">
      <alignment/>
    </xf>
    <xf numFmtId="9" fontId="42" fillId="0" borderId="22" xfId="77" applyFont="1" applyFill="1" applyBorder="1" applyAlignment="1">
      <alignment/>
    </xf>
    <xf numFmtId="0" fontId="19" fillId="0" borderId="20" xfId="62" applyFont="1" applyFill="1" applyBorder="1">
      <alignment/>
      <protection/>
    </xf>
    <xf numFmtId="0" fontId="19" fillId="0" borderId="22" xfId="62" applyFont="1" applyFill="1" applyBorder="1">
      <alignment/>
      <protection/>
    </xf>
    <xf numFmtId="0" fontId="19" fillId="0" borderId="21" xfId="62" applyFont="1" applyFill="1" applyBorder="1">
      <alignment/>
      <protection/>
    </xf>
    <xf numFmtId="0" fontId="25" fillId="24" borderId="0" xfId="0" applyFont="1" applyFill="1" applyAlignment="1">
      <alignment horizontal="right"/>
    </xf>
    <xf numFmtId="43" fontId="19" fillId="24" borderId="16" xfId="77" applyNumberFormat="1" applyFont="1" applyFill="1" applyBorder="1" applyAlignment="1">
      <alignment horizontal="right"/>
    </xf>
    <xf numFmtId="43" fontId="19" fillId="24" borderId="19" xfId="77" applyNumberFormat="1" applyFont="1" applyFill="1" applyBorder="1" applyAlignment="1">
      <alignment horizontal="right"/>
    </xf>
    <xf numFmtId="0" fontId="42" fillId="0" borderId="0" xfId="0" applyFont="1" applyAlignment="1">
      <alignment horizontal="left" indent="1"/>
    </xf>
    <xf numFmtId="0" fontId="40" fillId="29" borderId="24" xfId="0" applyFont="1" applyFill="1" applyBorder="1" applyAlignment="1">
      <alignment/>
    </xf>
    <xf numFmtId="0" fontId="40" fillId="29" borderId="25" xfId="0" applyFont="1" applyFill="1" applyBorder="1" applyAlignment="1">
      <alignment/>
    </xf>
    <xf numFmtId="0" fontId="40" fillId="29" borderId="10" xfId="0" applyFont="1" applyFill="1" applyBorder="1" applyAlignment="1">
      <alignment/>
    </xf>
    <xf numFmtId="0" fontId="40" fillId="29" borderId="0" xfId="0" applyFont="1" applyFill="1" applyBorder="1" applyAlignment="1">
      <alignment/>
    </xf>
    <xf numFmtId="0" fontId="40" fillId="29" borderId="11" xfId="0" applyFont="1" applyFill="1" applyBorder="1" applyAlignment="1">
      <alignment/>
    </xf>
    <xf numFmtId="0" fontId="40" fillId="25" borderId="10" xfId="0" applyFont="1" applyFill="1" applyBorder="1" applyAlignment="1" applyProtection="1">
      <alignment/>
      <protection locked="0"/>
    </xf>
    <xf numFmtId="0" fontId="40" fillId="25" borderId="0" xfId="0" applyFont="1" applyFill="1" applyBorder="1" applyAlignment="1" applyProtection="1">
      <alignment/>
      <protection locked="0"/>
    </xf>
    <xf numFmtId="0" fontId="40" fillId="25" borderId="11" xfId="0" applyFont="1" applyFill="1" applyBorder="1" applyAlignment="1" applyProtection="1">
      <alignment/>
      <protection locked="0"/>
    </xf>
    <xf numFmtId="0" fontId="25" fillId="4" borderId="0" xfId="0" applyFont="1" applyFill="1" applyBorder="1" applyAlignment="1">
      <alignment horizontal="center" wrapText="1"/>
    </xf>
    <xf numFmtId="43" fontId="42" fillId="0" borderId="0" xfId="42" applyFont="1" applyFill="1" applyBorder="1" applyAlignment="1">
      <alignment/>
    </xf>
    <xf numFmtId="43" fontId="42" fillId="0" borderId="11" xfId="42" applyNumberFormat="1" applyFont="1" applyFill="1" applyBorder="1" applyAlignment="1">
      <alignment/>
    </xf>
    <xf numFmtId="0" fontId="19" fillId="22" borderId="7" xfId="0" applyFont="1" applyFill="1" applyBorder="1" applyAlignment="1">
      <alignment/>
    </xf>
    <xf numFmtId="0" fontId="19" fillId="22" borderId="18" xfId="0" applyFont="1" applyFill="1" applyBorder="1" applyAlignment="1">
      <alignment/>
    </xf>
    <xf numFmtId="43" fontId="42" fillId="0" borderId="22" xfId="42" applyFont="1" applyFill="1" applyBorder="1" applyAlignment="1">
      <alignment/>
    </xf>
    <xf numFmtId="43" fontId="42" fillId="0" borderId="21" xfId="42" applyNumberFormat="1" applyFont="1" applyFill="1" applyBorder="1" applyAlignment="1">
      <alignment/>
    </xf>
    <xf numFmtId="0" fontId="42" fillId="0" borderId="31" xfId="0" applyFont="1" applyBorder="1" applyAlignment="1">
      <alignment wrapText="1"/>
    </xf>
    <xf numFmtId="0" fontId="42" fillId="0" borderId="24" xfId="0" applyFont="1" applyBorder="1" applyAlignment="1">
      <alignment/>
    </xf>
    <xf numFmtId="2" fontId="25" fillId="24" borderId="0" xfId="0" applyNumberFormat="1" applyFont="1" applyFill="1" applyBorder="1" applyAlignment="1">
      <alignment wrapText="1"/>
    </xf>
    <xf numFmtId="2" fontId="25" fillId="24" borderId="11" xfId="0" applyNumberFormat="1" applyFont="1" applyFill="1" applyBorder="1" applyAlignment="1">
      <alignment wrapText="1"/>
    </xf>
    <xf numFmtId="0" fontId="60" fillId="24" borderId="0" xfId="0" applyFont="1" applyFill="1" applyAlignment="1">
      <alignment/>
    </xf>
    <xf numFmtId="0" fontId="42" fillId="0" borderId="37" xfId="0" applyFont="1" applyBorder="1" applyAlignment="1">
      <alignment wrapText="1"/>
    </xf>
    <xf numFmtId="2" fontId="40" fillId="29" borderId="28" xfId="0" applyNumberFormat="1" applyFont="1" applyFill="1" applyBorder="1" applyAlignment="1">
      <alignment horizontal="left"/>
    </xf>
    <xf numFmtId="2" fontId="42" fillId="24" borderId="39" xfId="0" applyNumberFormat="1" applyFont="1" applyFill="1" applyBorder="1" applyAlignment="1">
      <alignment/>
    </xf>
    <xf numFmtId="2" fontId="42" fillId="24" borderId="49" xfId="0" applyNumberFormat="1" applyFont="1" applyFill="1" applyBorder="1" applyAlignment="1">
      <alignment/>
    </xf>
    <xf numFmtId="0" fontId="19" fillId="7" borderId="13" xfId="0" applyFont="1" applyFill="1" applyBorder="1" applyAlignment="1">
      <alignment/>
    </xf>
    <xf numFmtId="0" fontId="19" fillId="7" borderId="48" xfId="0" applyFont="1" applyFill="1" applyBorder="1" applyAlignment="1">
      <alignment/>
    </xf>
    <xf numFmtId="0" fontId="40" fillId="24" borderId="0" xfId="0" applyFont="1" applyFill="1" applyBorder="1" applyAlignment="1">
      <alignment/>
    </xf>
    <xf numFmtId="0" fontId="40" fillId="24" borderId="0" xfId="0" applyFont="1" applyFill="1" applyBorder="1" applyAlignment="1">
      <alignment horizontal="center"/>
    </xf>
    <xf numFmtId="0" fontId="19" fillId="0" borderId="14" xfId="0" applyFont="1" applyFill="1" applyBorder="1" applyAlignment="1">
      <alignment/>
    </xf>
    <xf numFmtId="0" fontId="19" fillId="0" borderId="50" xfId="0" applyFont="1" applyFill="1" applyBorder="1" applyAlignment="1">
      <alignment/>
    </xf>
    <xf numFmtId="0" fontId="42" fillId="25" borderId="25" xfId="0" applyFont="1" applyFill="1" applyBorder="1" applyAlignment="1">
      <alignment/>
    </xf>
    <xf numFmtId="0" fontId="40" fillId="25" borderId="27" xfId="0" applyFont="1" applyFill="1" applyBorder="1" applyAlignment="1" applyProtection="1">
      <alignment horizontal="center" wrapText="1"/>
      <protection locked="0"/>
    </xf>
    <xf numFmtId="0" fontId="42" fillId="0" borderId="16" xfId="0" applyFont="1" applyBorder="1" applyAlignment="1">
      <alignment horizontal="center"/>
    </xf>
    <xf numFmtId="0" fontId="42" fillId="0" borderId="19" xfId="0" applyFont="1" applyBorder="1" applyAlignment="1">
      <alignment horizontal="center"/>
    </xf>
    <xf numFmtId="0" fontId="40" fillId="25" borderId="10" xfId="0" applyFont="1" applyFill="1" applyBorder="1" applyAlignment="1">
      <alignment horizontal="center" wrapText="1"/>
    </xf>
    <xf numFmtId="0" fontId="19" fillId="22" borderId="12" xfId="0" applyFont="1" applyFill="1" applyBorder="1" applyAlignment="1">
      <alignment/>
    </xf>
    <xf numFmtId="0" fontId="19" fillId="22" borderId="15" xfId="0" applyFont="1" applyFill="1" applyBorder="1" applyAlignment="1">
      <alignment/>
    </xf>
    <xf numFmtId="0" fontId="19" fillId="22" borderId="17" xfId="0" applyFont="1" applyFill="1" applyBorder="1" applyAlignment="1">
      <alignment/>
    </xf>
    <xf numFmtId="0" fontId="19" fillId="0" borderId="0" xfId="0" applyFont="1" applyAlignment="1">
      <alignment/>
    </xf>
    <xf numFmtId="0" fontId="19" fillId="25" borderId="0" xfId="0" applyFont="1" applyFill="1" applyAlignment="1">
      <alignment/>
    </xf>
    <xf numFmtId="0" fontId="40" fillId="25" borderId="0" xfId="0" applyFont="1" applyFill="1" applyBorder="1" applyAlignment="1" applyProtection="1">
      <alignment wrapText="1"/>
      <protection locked="0"/>
    </xf>
    <xf numFmtId="0" fontId="42" fillId="25" borderId="23" xfId="0" applyFont="1" applyFill="1" applyBorder="1" applyAlignment="1">
      <alignment/>
    </xf>
    <xf numFmtId="0" fontId="40" fillId="25" borderId="23" xfId="0" applyFont="1" applyFill="1" applyBorder="1" applyAlignment="1" applyProtection="1">
      <alignment/>
      <protection locked="0"/>
    </xf>
    <xf numFmtId="0" fontId="40" fillId="25" borderId="24" xfId="0" applyFont="1" applyFill="1" applyBorder="1" applyAlignment="1" applyProtection="1">
      <alignment/>
      <protection locked="0"/>
    </xf>
    <xf numFmtId="0" fontId="40" fillId="25" borderId="25" xfId="60" applyFont="1" applyFill="1" applyBorder="1" applyAlignment="1">
      <alignment horizontal="center"/>
      <protection/>
    </xf>
    <xf numFmtId="0" fontId="40" fillId="25" borderId="24" xfId="60" applyFont="1" applyFill="1" applyBorder="1" applyAlignment="1">
      <alignment horizontal="center"/>
      <protection/>
    </xf>
    <xf numFmtId="0" fontId="19" fillId="25" borderId="0" xfId="60" applyFont="1" applyFill="1" applyBorder="1">
      <alignment/>
      <protection/>
    </xf>
    <xf numFmtId="175" fontId="19" fillId="25" borderId="0" xfId="42" applyNumberFormat="1" applyFont="1" applyFill="1" applyBorder="1" applyAlignment="1">
      <alignment/>
    </xf>
    <xf numFmtId="0" fontId="19" fillId="25" borderId="0" xfId="60" applyFont="1" applyFill="1" applyBorder="1" applyAlignment="1">
      <alignment horizontal="right"/>
      <protection/>
    </xf>
    <xf numFmtId="0" fontId="24" fillId="25" borderId="0" xfId="60" applyFont="1" applyFill="1">
      <alignment/>
      <protection/>
    </xf>
    <xf numFmtId="0" fontId="41" fillId="24" borderId="0" xfId="0" applyFont="1" applyFill="1" applyAlignment="1">
      <alignment/>
    </xf>
    <xf numFmtId="9" fontId="23" fillId="31" borderId="16" xfId="77" applyFont="1" applyFill="1" applyBorder="1" applyAlignment="1">
      <alignment/>
    </xf>
    <xf numFmtId="9" fontId="23" fillId="31" borderId="19" xfId="77" applyFont="1" applyFill="1" applyBorder="1" applyAlignment="1">
      <alignment/>
    </xf>
    <xf numFmtId="0" fontId="40" fillId="32" borderId="0" xfId="60" applyFont="1" applyFill="1">
      <alignment/>
      <protection/>
    </xf>
    <xf numFmtId="0" fontId="19" fillId="32" borderId="0" xfId="60" applyFont="1" applyFill="1">
      <alignment/>
      <protection/>
    </xf>
    <xf numFmtId="0" fontId="42" fillId="24" borderId="12" xfId="0" applyFont="1" applyFill="1" applyBorder="1" applyAlignment="1">
      <alignment/>
    </xf>
    <xf numFmtId="0" fontId="42" fillId="24" borderId="31" xfId="0" applyFont="1" applyFill="1" applyBorder="1" applyAlignment="1">
      <alignment/>
    </xf>
    <xf numFmtId="0" fontId="42" fillId="0" borderId="0" xfId="0" applyFont="1" applyAlignment="1">
      <alignment/>
    </xf>
    <xf numFmtId="9" fontId="23" fillId="0" borderId="11" xfId="77" applyFont="1" applyBorder="1" applyAlignment="1">
      <alignment/>
    </xf>
    <xf numFmtId="0" fontId="42" fillId="0" borderId="31" xfId="0" applyFont="1" applyBorder="1" applyAlignment="1">
      <alignment/>
    </xf>
    <xf numFmtId="174" fontId="19" fillId="22" borderId="7" xfId="44" applyNumberFormat="1" applyFont="1" applyFill="1" applyBorder="1" applyAlignment="1">
      <alignment/>
    </xf>
    <xf numFmtId="174" fontId="19" fillId="22" borderId="16" xfId="44" applyNumberFormat="1" applyFont="1" applyFill="1" applyBorder="1" applyAlignment="1">
      <alignment/>
    </xf>
    <xf numFmtId="0" fontId="19" fillId="22" borderId="35" xfId="66" applyFont="1" applyFill="1" applyBorder="1">
      <alignment/>
      <protection/>
    </xf>
    <xf numFmtId="9" fontId="19" fillId="22" borderId="7" xfId="77" applyFont="1" applyFill="1" applyBorder="1" applyAlignment="1">
      <alignment/>
    </xf>
    <xf numFmtId="9" fontId="19" fillId="22" borderId="18" xfId="77" applyFont="1" applyFill="1" applyBorder="1" applyAlignment="1">
      <alignment/>
    </xf>
    <xf numFmtId="172" fontId="41" fillId="22" borderId="13" xfId="60" applyNumberFormat="1" applyFont="1" applyFill="1" applyBorder="1">
      <alignment/>
      <protection/>
    </xf>
    <xf numFmtId="174" fontId="41" fillId="22" borderId="13" xfId="60" applyNumberFormat="1" applyFont="1" applyFill="1" applyBorder="1">
      <alignment/>
      <protection/>
    </xf>
    <xf numFmtId="174" fontId="41" fillId="22" borderId="14" xfId="60" applyNumberFormat="1" applyFont="1" applyFill="1" applyBorder="1">
      <alignment/>
      <protection/>
    </xf>
    <xf numFmtId="172" fontId="41" fillId="22" borderId="7" xfId="60" applyNumberFormat="1" applyFont="1" applyFill="1" applyBorder="1">
      <alignment/>
      <protection/>
    </xf>
    <xf numFmtId="174" fontId="41" fillId="22" borderId="7" xfId="60" applyNumberFormat="1" applyFont="1" applyFill="1" applyBorder="1">
      <alignment/>
      <protection/>
    </xf>
    <xf numFmtId="174" fontId="41" fillId="22" borderId="16" xfId="60" applyNumberFormat="1" applyFont="1" applyFill="1" applyBorder="1">
      <alignment/>
      <protection/>
    </xf>
    <xf numFmtId="172" fontId="41" fillId="22" borderId="18" xfId="60" applyNumberFormat="1" applyFont="1" applyFill="1" applyBorder="1">
      <alignment/>
      <protection/>
    </xf>
    <xf numFmtId="0" fontId="19" fillId="24" borderId="51" xfId="60" applyFont="1" applyFill="1" applyBorder="1">
      <alignment/>
      <protection/>
    </xf>
    <xf numFmtId="0" fontId="19" fillId="24" borderId="52" xfId="60" applyFont="1" applyFill="1" applyBorder="1">
      <alignment/>
      <protection/>
    </xf>
    <xf numFmtId="0" fontId="19" fillId="24" borderId="53" xfId="60" applyFont="1" applyFill="1" applyBorder="1">
      <alignment/>
      <protection/>
    </xf>
    <xf numFmtId="0" fontId="19" fillId="24" borderId="54" xfId="60" applyFont="1" applyFill="1" applyBorder="1">
      <alignment/>
      <protection/>
    </xf>
    <xf numFmtId="0" fontId="19" fillId="24" borderId="55" xfId="60" applyFont="1" applyFill="1" applyBorder="1">
      <alignment/>
      <protection/>
    </xf>
    <xf numFmtId="0" fontId="19" fillId="24" borderId="56" xfId="60" applyFont="1" applyFill="1" applyBorder="1">
      <alignment/>
      <protection/>
    </xf>
    <xf numFmtId="0" fontId="42" fillId="0" borderId="10" xfId="0" applyFont="1" applyFill="1" applyBorder="1" applyAlignment="1">
      <alignment/>
    </xf>
    <xf numFmtId="0" fontId="42" fillId="0" borderId="10" xfId="0" applyFont="1" applyFill="1" applyBorder="1" applyAlignment="1" applyProtection="1">
      <alignment/>
      <protection locked="0"/>
    </xf>
    <xf numFmtId="0" fontId="42" fillId="24" borderId="15" xfId="0" applyFont="1" applyFill="1" applyBorder="1" applyAlignment="1">
      <alignment/>
    </xf>
    <xf numFmtId="1" fontId="19" fillId="0" borderId="0" xfId="63" applyNumberFormat="1">
      <alignment/>
      <protection/>
    </xf>
    <xf numFmtId="9" fontId="19" fillId="0" borderId="0" xfId="77" applyFont="1" applyAlignment="1">
      <alignment/>
    </xf>
    <xf numFmtId="0" fontId="19" fillId="0" borderId="0" xfId="63" applyFont="1">
      <alignment/>
      <protection/>
    </xf>
    <xf numFmtId="2" fontId="19" fillId="0" borderId="0" xfId="63" applyNumberFormat="1">
      <alignment/>
      <protection/>
    </xf>
    <xf numFmtId="0" fontId="11" fillId="0" borderId="0" xfId="55" applyAlignment="1" applyProtection="1">
      <alignment/>
      <protection/>
    </xf>
    <xf numFmtId="0" fontId="42" fillId="0" borderId="57" xfId="0" applyFont="1" applyFill="1" applyBorder="1" applyAlignment="1">
      <alignment/>
    </xf>
    <xf numFmtId="2" fontId="42" fillId="0" borderId="21" xfId="0" applyNumberFormat="1" applyFont="1" applyFill="1" applyBorder="1" applyAlignment="1">
      <alignment/>
    </xf>
    <xf numFmtId="2" fontId="40" fillId="29" borderId="24" xfId="0" applyNumberFormat="1" applyFont="1" applyFill="1" applyBorder="1" applyAlignment="1">
      <alignment horizontal="right"/>
    </xf>
    <xf numFmtId="0" fontId="42" fillId="0" borderId="57" xfId="0" applyFont="1" applyBorder="1" applyAlignment="1">
      <alignment/>
    </xf>
    <xf numFmtId="182" fontId="42" fillId="0" borderId="0" xfId="0" applyNumberFormat="1" applyFont="1" applyBorder="1" applyAlignment="1">
      <alignment/>
    </xf>
    <xf numFmtId="0" fontId="27" fillId="24" borderId="0" xfId="0" applyFont="1" applyFill="1" applyBorder="1" applyAlignment="1">
      <alignment horizontal="center"/>
    </xf>
    <xf numFmtId="0" fontId="78" fillId="24" borderId="0" xfId="0" applyFont="1" applyFill="1" applyBorder="1" applyAlignment="1">
      <alignment/>
    </xf>
    <xf numFmtId="0" fontId="79" fillId="33" borderId="0" xfId="61" applyFont="1" applyFill="1">
      <alignment/>
      <protection/>
    </xf>
    <xf numFmtId="0" fontId="80" fillId="33" borderId="0" xfId="61" applyFont="1" applyFill="1">
      <alignment/>
      <protection/>
    </xf>
    <xf numFmtId="0" fontId="26" fillId="24" borderId="0" xfId="61" applyFont="1" applyFill="1" applyBorder="1">
      <alignment/>
      <protection/>
    </xf>
    <xf numFmtId="0" fontId="77" fillId="0" borderId="0" xfId="61">
      <alignment/>
      <protection/>
    </xf>
    <xf numFmtId="0" fontId="27" fillId="24" borderId="0" xfId="61" applyFont="1" applyFill="1" applyBorder="1">
      <alignment/>
      <protection/>
    </xf>
    <xf numFmtId="0" fontId="81" fillId="0" borderId="0" xfId="61" applyFont="1">
      <alignment/>
      <protection/>
    </xf>
    <xf numFmtId="0" fontId="77" fillId="0" borderId="0" xfId="61" applyFont="1">
      <alignment/>
      <protection/>
    </xf>
    <xf numFmtId="0" fontId="77" fillId="0" borderId="0" xfId="61" applyFont="1" applyAlignment="1">
      <alignment horizontal="right"/>
      <protection/>
    </xf>
    <xf numFmtId="0" fontId="82" fillId="0" borderId="0" xfId="61" applyFont="1">
      <alignment/>
      <protection/>
    </xf>
    <xf numFmtId="0" fontId="83" fillId="33" borderId="0" xfId="61" applyFont="1" applyFill="1" applyAlignment="1">
      <alignment horizontal="center"/>
      <protection/>
    </xf>
    <xf numFmtId="0" fontId="77" fillId="0" borderId="0" xfId="61" applyAlignment="1">
      <alignment horizontal="right"/>
      <protection/>
    </xf>
    <xf numFmtId="175" fontId="84" fillId="0" borderId="0" xfId="45" applyNumberFormat="1" applyFont="1" applyAlignment="1">
      <alignment/>
    </xf>
    <xf numFmtId="0" fontId="84" fillId="0" borderId="0" xfId="61" applyFont="1" applyAlignment="1">
      <alignment horizontal="right"/>
      <protection/>
    </xf>
    <xf numFmtId="0" fontId="77" fillId="34" borderId="0" xfId="61" applyFill="1">
      <alignment/>
      <protection/>
    </xf>
    <xf numFmtId="0" fontId="77" fillId="0" borderId="0" xfId="61" applyFill="1">
      <alignment/>
      <protection/>
    </xf>
    <xf numFmtId="176" fontId="85" fillId="0" borderId="0" xfId="45" applyNumberFormat="1" applyFont="1" applyAlignment="1">
      <alignment/>
    </xf>
    <xf numFmtId="176" fontId="85" fillId="0" borderId="0" xfId="61" applyNumberFormat="1" applyFont="1">
      <alignment/>
      <protection/>
    </xf>
    <xf numFmtId="0" fontId="82" fillId="0" borderId="0" xfId="61" applyFont="1" quotePrefix="1">
      <alignment/>
      <protection/>
    </xf>
    <xf numFmtId="9" fontId="77" fillId="0" borderId="0" xfId="61" applyNumberFormat="1">
      <alignment/>
      <protection/>
    </xf>
    <xf numFmtId="0" fontId="83" fillId="35" borderId="0" xfId="67" applyFont="1" applyFill="1" applyBorder="1" applyAlignment="1">
      <alignment horizontal="center" vertical="center" wrapText="1"/>
      <protection/>
    </xf>
    <xf numFmtId="175" fontId="0" fillId="0" borderId="0" xfId="45" applyNumberFormat="1" applyFont="1" applyFill="1" applyBorder="1" applyAlignment="1">
      <alignment horizontal="right"/>
    </xf>
    <xf numFmtId="0" fontId="86" fillId="35" borderId="0" xfId="67" applyFont="1" applyFill="1" applyBorder="1" applyAlignment="1">
      <alignment horizontal="center" vertical="center" wrapText="1"/>
      <protection/>
    </xf>
    <xf numFmtId="0" fontId="0" fillId="0" borderId="13" xfId="67" applyFont="1" applyFill="1" applyBorder="1" applyAlignment="1">
      <alignment horizontal="right"/>
      <protection/>
    </xf>
    <xf numFmtId="0" fontId="0" fillId="0" borderId="13" xfId="67" applyFont="1" applyFill="1" applyBorder="1" applyAlignment="1">
      <alignment/>
      <protection/>
    </xf>
    <xf numFmtId="176" fontId="77" fillId="0" borderId="0" xfId="45" applyNumberFormat="1" applyFont="1" applyAlignment="1">
      <alignment/>
    </xf>
    <xf numFmtId="176" fontId="0" fillId="0" borderId="13" xfId="45" applyNumberFormat="1" applyFont="1" applyFill="1" applyBorder="1" applyAlignment="1">
      <alignment horizontal="right"/>
    </xf>
    <xf numFmtId="0" fontId="0" fillId="0" borderId="7" xfId="67" applyFont="1" applyFill="1" applyBorder="1" applyAlignment="1">
      <alignment horizontal="right"/>
      <protection/>
    </xf>
    <xf numFmtId="0" fontId="0" fillId="0" borderId="7" xfId="67" applyFont="1" applyFill="1" applyBorder="1" applyAlignment="1">
      <alignment/>
      <protection/>
    </xf>
    <xf numFmtId="176" fontId="0" fillId="0" borderId="7" xfId="45" applyNumberFormat="1" applyFont="1" applyFill="1" applyBorder="1" applyAlignment="1">
      <alignment horizontal="right"/>
    </xf>
    <xf numFmtId="0" fontId="83" fillId="33" borderId="0" xfId="61" applyFont="1" applyFill="1" applyBorder="1">
      <alignment/>
      <protection/>
    </xf>
    <xf numFmtId="0" fontId="0" fillId="0" borderId="58" xfId="67" applyFont="1" applyFill="1" applyBorder="1" applyAlignment="1">
      <alignment horizontal="left" vertical="center"/>
      <protection/>
    </xf>
    <xf numFmtId="0" fontId="0" fillId="0" borderId="7" xfId="68" applyFont="1" applyFill="1" applyBorder="1" applyAlignment="1">
      <alignment horizontal="left"/>
      <protection/>
    </xf>
    <xf numFmtId="0" fontId="77" fillId="32" borderId="0" xfId="61" applyFill="1">
      <alignment/>
      <protection/>
    </xf>
    <xf numFmtId="43" fontId="0" fillId="32" borderId="0" xfId="45" applyNumberFormat="1" applyFont="1" applyFill="1" applyBorder="1" applyAlignment="1">
      <alignment horizontal="right"/>
    </xf>
    <xf numFmtId="9" fontId="74" fillId="0" borderId="58" xfId="79" applyFont="1" applyBorder="1" applyAlignment="1">
      <alignment horizontal="right"/>
    </xf>
    <xf numFmtId="172" fontId="74" fillId="0" borderId="58" xfId="79" applyNumberFormat="1" applyFont="1" applyBorder="1" applyAlignment="1">
      <alignment horizontal="right"/>
    </xf>
    <xf numFmtId="9" fontId="74" fillId="0" borderId="58" xfId="79" applyFont="1" applyBorder="1" applyAlignment="1">
      <alignment horizontal="left"/>
    </xf>
    <xf numFmtId="0" fontId="42" fillId="36" borderId="10" xfId="0" applyFont="1" applyFill="1" applyBorder="1" applyAlignment="1">
      <alignment/>
    </xf>
    <xf numFmtId="175" fontId="84" fillId="36" borderId="0" xfId="45" applyNumberFormat="1" applyFont="1" applyFill="1" applyAlignment="1">
      <alignment/>
    </xf>
    <xf numFmtId="43" fontId="84" fillId="36" borderId="0" xfId="45" applyFont="1" applyFill="1" applyAlignment="1">
      <alignment/>
    </xf>
    <xf numFmtId="0" fontId="84" fillId="36" borderId="0" xfId="61" applyFont="1" applyFill="1" applyAlignment="1">
      <alignment horizontal="right"/>
      <protection/>
    </xf>
    <xf numFmtId="9" fontId="84" fillId="36" borderId="0" xfId="79" applyFont="1" applyFill="1" applyAlignment="1">
      <alignment/>
    </xf>
    <xf numFmtId="9" fontId="84" fillId="36" borderId="58" xfId="79" applyFont="1" applyFill="1" applyBorder="1" applyAlignment="1">
      <alignment/>
    </xf>
    <xf numFmtId="175" fontId="19" fillId="0" borderId="0" xfId="42" applyNumberFormat="1" applyFont="1" applyFill="1" applyBorder="1" applyAlignment="1">
      <alignment shrinkToFit="1"/>
    </xf>
    <xf numFmtId="175" fontId="19" fillId="0" borderId="11" xfId="42" applyNumberFormat="1" applyFont="1" applyFill="1" applyBorder="1" applyAlignment="1">
      <alignment shrinkToFit="1"/>
    </xf>
    <xf numFmtId="175" fontId="42" fillId="0" borderId="22" xfId="42" applyNumberFormat="1" applyFont="1" applyFill="1" applyBorder="1" applyAlignment="1">
      <alignment shrinkToFit="1"/>
    </xf>
    <xf numFmtId="175" fontId="42" fillId="0" borderId="21" xfId="42" applyNumberFormat="1" applyFont="1" applyFill="1" applyBorder="1" applyAlignment="1">
      <alignment shrinkToFit="1"/>
    </xf>
    <xf numFmtId="0" fontId="27" fillId="24" borderId="59" xfId="0" applyFont="1" applyFill="1" applyBorder="1" applyAlignment="1">
      <alignment wrapText="1"/>
    </xf>
    <xf numFmtId="0" fontId="27" fillId="24" borderId="60" xfId="0" applyFont="1" applyFill="1" applyBorder="1" applyAlignment="1">
      <alignment wrapText="1"/>
    </xf>
    <xf numFmtId="0" fontId="25" fillId="8" borderId="10" xfId="0" applyFont="1" applyFill="1" applyBorder="1" applyAlignment="1">
      <alignment wrapText="1"/>
    </xf>
    <xf numFmtId="0" fontId="25" fillId="8" borderId="11" xfId="0" applyFont="1" applyFill="1" applyBorder="1" applyAlignment="1">
      <alignment horizontal="right" wrapText="1"/>
    </xf>
    <xf numFmtId="175" fontId="19" fillId="22" borderId="14" xfId="0" applyNumberFormat="1" applyFont="1" applyFill="1" applyBorder="1" applyAlignment="1">
      <alignment shrinkToFit="1"/>
    </xf>
    <xf numFmtId="175" fontId="19" fillId="22" borderId="50" xfId="0" applyNumberFormat="1" applyFont="1" applyFill="1" applyBorder="1" applyAlignment="1">
      <alignment shrinkToFit="1"/>
    </xf>
    <xf numFmtId="0" fontId="51" fillId="32" borderId="0" xfId="0" applyFont="1" applyFill="1" applyBorder="1" applyAlignment="1">
      <alignment vertical="center"/>
    </xf>
    <xf numFmtId="0" fontId="27" fillId="32" borderId="0" xfId="0" applyFont="1" applyFill="1" applyBorder="1" applyAlignment="1">
      <alignment/>
    </xf>
    <xf numFmtId="0" fontId="26" fillId="32" borderId="0" xfId="0" applyFont="1" applyFill="1" applyBorder="1" applyAlignment="1">
      <alignment wrapText="1"/>
    </xf>
    <xf numFmtId="175" fontId="65" fillId="32" borderId="0" xfId="0" applyNumberFormat="1" applyFont="1" applyFill="1" applyBorder="1" applyAlignment="1">
      <alignment/>
    </xf>
    <xf numFmtId="0" fontId="42" fillId="24" borderId="0" xfId="0" applyFont="1" applyFill="1" applyBorder="1" applyAlignment="1">
      <alignment horizontal="right"/>
    </xf>
    <xf numFmtId="172" fontId="27" fillId="24" borderId="49" xfId="0" applyNumberFormat="1" applyFont="1" applyFill="1" applyBorder="1" applyAlignment="1">
      <alignment/>
    </xf>
    <xf numFmtId="175" fontId="19" fillId="22" borderId="40" xfId="42" applyNumberFormat="1" applyFont="1" applyFill="1" applyBorder="1" applyAlignment="1">
      <alignment shrinkToFit="1"/>
    </xf>
    <xf numFmtId="175" fontId="42" fillId="24" borderId="40" xfId="42" applyNumberFormat="1" applyFont="1" applyFill="1" applyBorder="1" applyAlignment="1">
      <alignment shrinkToFit="1"/>
    </xf>
    <xf numFmtId="175" fontId="19" fillId="22" borderId="7" xfId="42" applyNumberFormat="1" applyFont="1" applyFill="1" applyBorder="1" applyAlignment="1">
      <alignment shrinkToFit="1"/>
    </xf>
    <xf numFmtId="175" fontId="42" fillId="24" borderId="7" xfId="42" applyNumberFormat="1" applyFont="1" applyFill="1" applyBorder="1" applyAlignment="1">
      <alignment shrinkToFit="1"/>
    </xf>
    <xf numFmtId="0" fontId="42" fillId="24" borderId="7" xfId="0" applyFont="1" applyFill="1" applyBorder="1" applyAlignment="1">
      <alignment shrinkToFit="1"/>
    </xf>
    <xf numFmtId="175" fontId="42" fillId="24" borderId="18" xfId="42" applyNumberFormat="1" applyFont="1" applyFill="1" applyBorder="1" applyAlignment="1">
      <alignment shrinkToFit="1"/>
    </xf>
    <xf numFmtId="0" fontId="42" fillId="24" borderId="18" xfId="0" applyFont="1" applyFill="1" applyBorder="1" applyAlignment="1">
      <alignment shrinkToFit="1"/>
    </xf>
    <xf numFmtId="0" fontId="19" fillId="22" borderId="40" xfId="0" applyFont="1" applyFill="1" applyBorder="1" applyAlignment="1">
      <alignment horizontal="right" shrinkToFit="1"/>
    </xf>
    <xf numFmtId="0" fontId="19" fillId="22" borderId="38" xfId="0" applyFont="1" applyFill="1" applyBorder="1" applyAlignment="1">
      <alignment horizontal="right" shrinkToFit="1"/>
    </xf>
    <xf numFmtId="0" fontId="19" fillId="22" borderId="7" xfId="0" applyFont="1" applyFill="1" applyBorder="1" applyAlignment="1">
      <alignment horizontal="right" shrinkToFit="1"/>
    </xf>
    <xf numFmtId="0" fontId="19" fillId="22" borderId="16" xfId="0" applyFont="1" applyFill="1" applyBorder="1" applyAlignment="1">
      <alignment horizontal="right" shrinkToFit="1"/>
    </xf>
    <xf numFmtId="0" fontId="42" fillId="24" borderId="7" xfId="0" applyFont="1" applyFill="1" applyBorder="1" applyAlignment="1">
      <alignment horizontal="right" shrinkToFit="1"/>
    </xf>
    <xf numFmtId="0" fontId="42" fillId="24" borderId="16" xfId="0" applyFont="1" applyFill="1" applyBorder="1" applyAlignment="1">
      <alignment horizontal="right" shrinkToFit="1"/>
    </xf>
    <xf numFmtId="0" fontId="19" fillId="22" borderId="18" xfId="0" applyFont="1" applyFill="1" applyBorder="1" applyAlignment="1">
      <alignment horizontal="right" shrinkToFit="1"/>
    </xf>
    <xf numFmtId="0" fontId="19" fillId="22" borderId="19" xfId="0" applyFont="1" applyFill="1" applyBorder="1" applyAlignment="1">
      <alignment horizontal="right" shrinkToFit="1"/>
    </xf>
    <xf numFmtId="0" fontId="19" fillId="22" borderId="40" xfId="0" applyFont="1" applyFill="1" applyBorder="1" applyAlignment="1">
      <alignment shrinkToFit="1"/>
    </xf>
    <xf numFmtId="0" fontId="19" fillId="22" borderId="38" xfId="0" applyFont="1" applyFill="1" applyBorder="1" applyAlignment="1">
      <alignment shrinkToFit="1"/>
    </xf>
    <xf numFmtId="0" fontId="19" fillId="22" borderId="7" xfId="0" applyFont="1" applyFill="1" applyBorder="1" applyAlignment="1">
      <alignment shrinkToFit="1"/>
    </xf>
    <xf numFmtId="0" fontId="19" fillId="22" borderId="16" xfId="0" applyFont="1" applyFill="1" applyBorder="1" applyAlignment="1">
      <alignment shrinkToFit="1"/>
    </xf>
    <xf numFmtId="0" fontId="19" fillId="22" borderId="18" xfId="0" applyFont="1" applyFill="1" applyBorder="1" applyAlignment="1">
      <alignment shrinkToFit="1"/>
    </xf>
    <xf numFmtId="0" fontId="19" fillId="22" borderId="19" xfId="0" applyFont="1" applyFill="1" applyBorder="1" applyAlignment="1">
      <alignment shrinkToFit="1"/>
    </xf>
    <xf numFmtId="3" fontId="19" fillId="22" borderId="40" xfId="64" applyNumberFormat="1" applyFont="1" applyFill="1" applyBorder="1" applyAlignment="1">
      <alignment shrinkToFit="1"/>
      <protection/>
    </xf>
    <xf numFmtId="3" fontId="19" fillId="22" borderId="38" xfId="64" applyNumberFormat="1" applyFont="1" applyFill="1" applyBorder="1" applyAlignment="1">
      <alignment shrinkToFit="1"/>
      <protection/>
    </xf>
    <xf numFmtId="3" fontId="19" fillId="22" borderId="7" xfId="64" applyNumberFormat="1" applyFont="1" applyFill="1" applyBorder="1" applyAlignment="1">
      <alignment shrinkToFit="1"/>
      <protection/>
    </xf>
    <xf numFmtId="3" fontId="19" fillId="22" borderId="16" xfId="64" applyNumberFormat="1" applyFont="1" applyFill="1" applyBorder="1" applyAlignment="1">
      <alignment shrinkToFit="1"/>
      <protection/>
    </xf>
    <xf numFmtId="3" fontId="19" fillId="22" borderId="18" xfId="64" applyNumberFormat="1" applyFont="1" applyFill="1" applyBorder="1" applyAlignment="1">
      <alignment shrinkToFit="1"/>
      <protection/>
    </xf>
    <xf numFmtId="3" fontId="19" fillId="22" borderId="19" xfId="64" applyNumberFormat="1" applyFont="1" applyFill="1" applyBorder="1" applyAlignment="1">
      <alignment shrinkToFit="1"/>
      <protection/>
    </xf>
    <xf numFmtId="175" fontId="19" fillId="22" borderId="18" xfId="42" applyNumberFormat="1" applyFont="1" applyFill="1" applyBorder="1" applyAlignment="1">
      <alignment shrinkToFit="1"/>
    </xf>
    <xf numFmtId="0" fontId="42" fillId="24" borderId="61" xfId="0" applyFont="1" applyFill="1" applyBorder="1" applyAlignment="1">
      <alignment/>
    </xf>
    <xf numFmtId="0" fontId="42" fillId="24" borderId="62" xfId="0" applyFont="1" applyFill="1" applyBorder="1" applyAlignment="1">
      <alignment/>
    </xf>
    <xf numFmtId="172" fontId="19" fillId="22" borderId="63" xfId="0" applyNumberFormat="1" applyFont="1" applyFill="1" applyBorder="1" applyAlignment="1">
      <alignment shrinkToFit="1"/>
    </xf>
    <xf numFmtId="172" fontId="42" fillId="0" borderId="14" xfId="0" applyNumberFormat="1" applyFont="1" applyFill="1" applyBorder="1" applyAlignment="1">
      <alignment shrinkToFit="1"/>
    </xf>
    <xf numFmtId="172" fontId="42" fillId="0" borderId="16" xfId="0" applyNumberFormat="1" applyFont="1" applyFill="1" applyBorder="1" applyAlignment="1">
      <alignment shrinkToFit="1"/>
    </xf>
    <xf numFmtId="172" fontId="42" fillId="0" borderId="19" xfId="0" applyNumberFormat="1" applyFont="1" applyFill="1" applyBorder="1" applyAlignment="1">
      <alignment shrinkToFit="1"/>
    </xf>
    <xf numFmtId="172" fontId="19" fillId="22" borderId="16" xfId="0" applyNumberFormat="1" applyFont="1" applyFill="1" applyBorder="1" applyAlignment="1">
      <alignment shrinkToFit="1"/>
    </xf>
    <xf numFmtId="172" fontId="19" fillId="22" borderId="64" xfId="0" applyNumberFormat="1" applyFont="1" applyFill="1" applyBorder="1" applyAlignment="1">
      <alignment shrinkToFit="1"/>
    </xf>
    <xf numFmtId="172" fontId="42" fillId="0" borderId="50" xfId="0" applyNumberFormat="1" applyFont="1" applyFill="1" applyBorder="1" applyAlignment="1">
      <alignment shrinkToFit="1"/>
    </xf>
    <xf numFmtId="172" fontId="19" fillId="22" borderId="38" xfId="0" applyNumberFormat="1" applyFont="1" applyFill="1" applyBorder="1" applyAlignment="1">
      <alignment shrinkToFit="1"/>
    </xf>
    <xf numFmtId="172" fontId="19" fillId="22" borderId="19" xfId="0" applyNumberFormat="1" applyFont="1" applyFill="1" applyBorder="1" applyAlignment="1">
      <alignment shrinkToFit="1"/>
    </xf>
    <xf numFmtId="0" fontId="27" fillId="24" borderId="65" xfId="0" applyFont="1" applyFill="1" applyBorder="1" applyAlignment="1">
      <alignment/>
    </xf>
    <xf numFmtId="0" fontId="27" fillId="24" borderId="62" xfId="0" applyFont="1" applyFill="1" applyBorder="1" applyAlignment="1">
      <alignment/>
    </xf>
    <xf numFmtId="175" fontId="27" fillId="22" borderId="14" xfId="44" applyNumberFormat="1" applyFont="1" applyFill="1" applyBorder="1" applyAlignment="1">
      <alignment shrinkToFit="1"/>
    </xf>
    <xf numFmtId="175" fontId="27" fillId="22" borderId="16" xfId="44" applyNumberFormat="1" applyFont="1" applyFill="1" applyBorder="1" applyAlignment="1">
      <alignment shrinkToFit="1"/>
    </xf>
    <xf numFmtId="175" fontId="27" fillId="22" borderId="19" xfId="44" applyNumberFormat="1" applyFont="1" applyFill="1" applyBorder="1" applyAlignment="1">
      <alignment shrinkToFit="1"/>
    </xf>
    <xf numFmtId="175" fontId="19" fillId="22" borderId="13" xfId="42" applyNumberFormat="1" applyFont="1" applyFill="1" applyBorder="1" applyAlignment="1">
      <alignment shrinkToFit="1"/>
    </xf>
    <xf numFmtId="175" fontId="19" fillId="22" borderId="14" xfId="42" applyNumberFormat="1" applyFont="1" applyFill="1" applyBorder="1" applyAlignment="1">
      <alignment shrinkToFit="1"/>
    </xf>
    <xf numFmtId="0" fontId="19" fillId="24" borderId="7" xfId="60" applyFont="1" applyFill="1" applyBorder="1" applyAlignment="1">
      <alignment horizontal="right" shrinkToFit="1"/>
      <protection/>
    </xf>
    <xf numFmtId="0" fontId="19" fillId="24" borderId="16" xfId="60" applyFont="1" applyFill="1" applyBorder="1" applyAlignment="1">
      <alignment horizontal="right" shrinkToFit="1"/>
      <protection/>
    </xf>
    <xf numFmtId="175" fontId="19" fillId="22" borderId="16" xfId="42" applyNumberFormat="1" applyFont="1" applyFill="1" applyBorder="1" applyAlignment="1">
      <alignment shrinkToFit="1"/>
    </xf>
    <xf numFmtId="0" fontId="19" fillId="24" borderId="18" xfId="60" applyFont="1" applyFill="1" applyBorder="1" applyAlignment="1">
      <alignment horizontal="right" shrinkToFit="1"/>
      <protection/>
    </xf>
    <xf numFmtId="0" fontId="19" fillId="24" borderId="19" xfId="60" applyFont="1" applyFill="1" applyBorder="1" applyAlignment="1">
      <alignment horizontal="right" shrinkToFit="1"/>
      <protection/>
    </xf>
    <xf numFmtId="0" fontId="42" fillId="24" borderId="65" xfId="0" applyFont="1" applyFill="1" applyBorder="1" applyAlignment="1">
      <alignment/>
    </xf>
    <xf numFmtId="0" fontId="42" fillId="32" borderId="0" xfId="0" applyFont="1" applyFill="1" applyBorder="1" applyAlignment="1">
      <alignment/>
    </xf>
    <xf numFmtId="0" fontId="42" fillId="32" borderId="11" xfId="0" applyFont="1" applyFill="1" applyBorder="1" applyAlignment="1">
      <alignment/>
    </xf>
    <xf numFmtId="0" fontId="42" fillId="32" borderId="0" xfId="0" applyFont="1" applyFill="1" applyBorder="1" applyAlignment="1">
      <alignment/>
    </xf>
    <xf numFmtId="0" fontId="42" fillId="32" borderId="11" xfId="0" applyFont="1" applyFill="1" applyBorder="1" applyAlignment="1">
      <alignment/>
    </xf>
    <xf numFmtId="0" fontId="42" fillId="32" borderId="22" xfId="0" applyFont="1" applyFill="1" applyBorder="1" applyAlignment="1">
      <alignment/>
    </xf>
    <xf numFmtId="0" fontId="42" fillId="32" borderId="21" xfId="0" applyFont="1" applyFill="1" applyBorder="1" applyAlignment="1">
      <alignment/>
    </xf>
    <xf numFmtId="0" fontId="40" fillId="32" borderId="0" xfId="60" applyFont="1" applyFill="1" applyBorder="1" applyAlignment="1">
      <alignment wrapText="1"/>
      <protection/>
    </xf>
    <xf numFmtId="175" fontId="19" fillId="22" borderId="50" xfId="42" applyNumberFormat="1" applyFont="1" applyFill="1" applyBorder="1" applyAlignment="1">
      <alignment shrinkToFit="1"/>
    </xf>
    <xf numFmtId="0" fontId="19" fillId="22" borderId="66" xfId="0" applyFont="1" applyFill="1" applyBorder="1" applyAlignment="1">
      <alignment shrinkToFit="1"/>
    </xf>
    <xf numFmtId="0" fontId="19" fillId="22" borderId="67" xfId="0" applyFont="1" applyFill="1" applyBorder="1" applyAlignment="1">
      <alignment shrinkToFit="1"/>
    </xf>
    <xf numFmtId="0" fontId="19" fillId="22" borderId="13" xfId="0" applyFont="1" applyFill="1" applyBorder="1" applyAlignment="1">
      <alignment shrinkToFit="1"/>
    </xf>
    <xf numFmtId="174" fontId="19" fillId="22" borderId="13" xfId="42" applyNumberFormat="1" applyFont="1" applyFill="1" applyBorder="1" applyAlignment="1">
      <alignment shrinkToFit="1"/>
    </xf>
    <xf numFmtId="0" fontId="19" fillId="22" borderId="48" xfId="0" applyFont="1" applyFill="1" applyBorder="1" applyAlignment="1">
      <alignment shrinkToFit="1"/>
    </xf>
    <xf numFmtId="174" fontId="19" fillId="22" borderId="48" xfId="42" applyNumberFormat="1" applyFont="1" applyFill="1" applyBorder="1" applyAlignment="1">
      <alignment shrinkToFit="1"/>
    </xf>
    <xf numFmtId="173" fontId="23" fillId="0" borderId="7" xfId="0" applyNumberFormat="1" applyFont="1" applyFill="1" applyBorder="1" applyAlignment="1">
      <alignment horizontal="right"/>
    </xf>
    <xf numFmtId="4" fontId="23" fillId="0" borderId="7" xfId="0" applyNumberFormat="1" applyFont="1" applyFill="1" applyBorder="1" applyAlignment="1">
      <alignment horizontal="right"/>
    </xf>
    <xf numFmtId="3" fontId="23" fillId="0" borderId="16" xfId="0" applyNumberFormat="1" applyFont="1" applyFill="1" applyBorder="1" applyAlignment="1">
      <alignment horizontal="right"/>
    </xf>
    <xf numFmtId="2" fontId="40" fillId="29" borderId="28" xfId="0" applyNumberFormat="1" applyFont="1" applyFill="1" applyBorder="1" applyAlignment="1">
      <alignment horizontal="right"/>
    </xf>
    <xf numFmtId="0" fontId="34" fillId="0" borderId="11" xfId="0" applyFont="1" applyFill="1" applyBorder="1" applyAlignment="1">
      <alignment horizontal="center"/>
    </xf>
    <xf numFmtId="1" fontId="42" fillId="0" borderId="11" xfId="0" applyNumberFormat="1" applyFont="1" applyBorder="1" applyAlignment="1">
      <alignment/>
    </xf>
    <xf numFmtId="0" fontId="19" fillId="0" borderId="20" xfId="62" applyFont="1" applyBorder="1">
      <alignment/>
      <protection/>
    </xf>
    <xf numFmtId="1" fontId="42" fillId="0" borderId="21" xfId="0" applyNumberFormat="1" applyFont="1" applyBorder="1" applyAlignment="1">
      <alignment/>
    </xf>
    <xf numFmtId="0" fontId="40" fillId="25" borderId="23" xfId="60" applyFont="1" applyFill="1" applyBorder="1" applyAlignment="1">
      <alignment horizontal="center" wrapText="1"/>
      <protection/>
    </xf>
    <xf numFmtId="0" fontId="40" fillId="25" borderId="24" xfId="60" applyFont="1" applyFill="1" applyBorder="1" applyAlignment="1">
      <alignment horizontal="center" wrapText="1"/>
      <protection/>
    </xf>
    <xf numFmtId="0" fontId="40" fillId="25" borderId="25" xfId="60" applyFont="1" applyFill="1" applyBorder="1" applyAlignment="1">
      <alignment horizontal="center" wrapText="1"/>
      <protection/>
    </xf>
    <xf numFmtId="1" fontId="19" fillId="22" borderId="68" xfId="42" applyNumberFormat="1" applyFont="1" applyFill="1" applyBorder="1" applyAlignment="1">
      <alignment horizontal="right" indent="1"/>
    </xf>
    <xf numFmtId="1" fontId="19" fillId="22" borderId="69" xfId="42" applyNumberFormat="1" applyFont="1" applyFill="1" applyBorder="1" applyAlignment="1">
      <alignment horizontal="right" indent="1"/>
    </xf>
    <xf numFmtId="1" fontId="19" fillId="22" borderId="70" xfId="42" applyNumberFormat="1" applyFont="1" applyFill="1" applyBorder="1" applyAlignment="1">
      <alignment horizontal="center"/>
    </xf>
    <xf numFmtId="1" fontId="19" fillId="22" borderId="30" xfId="42" applyNumberFormat="1" applyFont="1" applyFill="1" applyBorder="1" applyAlignment="1">
      <alignment horizontal="center"/>
    </xf>
    <xf numFmtId="1" fontId="19" fillId="22" borderId="35" xfId="42" applyNumberFormat="1" applyFont="1" applyFill="1" applyBorder="1" applyAlignment="1">
      <alignment horizontal="center"/>
    </xf>
    <xf numFmtId="0" fontId="27" fillId="24" borderId="0" xfId="0" applyFont="1" applyFill="1" applyBorder="1" applyAlignment="1">
      <alignment horizontal="center"/>
    </xf>
    <xf numFmtId="0" fontId="47" fillId="24" borderId="0" xfId="0" applyFont="1" applyFill="1" applyBorder="1" applyAlignment="1">
      <alignment horizontal="center"/>
    </xf>
    <xf numFmtId="175" fontId="19" fillId="22" borderId="71" xfId="42" applyNumberFormat="1" applyFont="1" applyFill="1" applyBorder="1" applyAlignment="1">
      <alignment horizontal="right"/>
    </xf>
    <xf numFmtId="175" fontId="19" fillId="22" borderId="72" xfId="42" applyNumberFormat="1" applyFont="1" applyFill="1" applyBorder="1" applyAlignment="1">
      <alignment horizontal="right"/>
    </xf>
    <xf numFmtId="0" fontId="40" fillId="25" borderId="24" xfId="0" applyFont="1" applyFill="1" applyBorder="1" applyAlignment="1">
      <alignment horizontal="center" wrapText="1"/>
    </xf>
    <xf numFmtId="0" fontId="40" fillId="25" borderId="25" xfId="0" applyFont="1" applyFill="1" applyBorder="1" applyAlignment="1">
      <alignment horizontal="center" wrapText="1"/>
    </xf>
    <xf numFmtId="0" fontId="42" fillId="22" borderId="10" xfId="0" applyFont="1" applyFill="1" applyBorder="1" applyAlignment="1">
      <alignment horizontal="center"/>
    </xf>
    <xf numFmtId="0" fontId="42" fillId="22" borderId="0" xfId="0" applyFont="1" applyFill="1" applyBorder="1" applyAlignment="1">
      <alignment horizontal="center"/>
    </xf>
    <xf numFmtId="0" fontId="42" fillId="22" borderId="11" xfId="0" applyFont="1" applyFill="1" applyBorder="1" applyAlignment="1">
      <alignment horizontal="center"/>
    </xf>
    <xf numFmtId="0" fontId="42" fillId="7" borderId="10" xfId="0" applyFont="1" applyFill="1" applyBorder="1" applyAlignment="1">
      <alignment horizontal="center"/>
    </xf>
    <xf numFmtId="0" fontId="42" fillId="7" borderId="0" xfId="0" applyFont="1" applyFill="1" applyBorder="1" applyAlignment="1">
      <alignment horizontal="center"/>
    </xf>
    <xf numFmtId="0" fontId="42" fillId="7" borderId="11" xfId="0" applyFont="1" applyFill="1" applyBorder="1" applyAlignment="1">
      <alignment horizontal="center"/>
    </xf>
    <xf numFmtId="0" fontId="42" fillId="0" borderId="20" xfId="0" applyFont="1" applyFill="1" applyBorder="1" applyAlignment="1">
      <alignment horizontal="center"/>
    </xf>
    <xf numFmtId="0" fontId="42" fillId="0" borderId="22" xfId="0" applyFont="1" applyFill="1" applyBorder="1" applyAlignment="1">
      <alignment horizontal="center"/>
    </xf>
    <xf numFmtId="0" fontId="42" fillId="0" borderId="21" xfId="0" applyFont="1" applyFill="1" applyBorder="1" applyAlignment="1">
      <alignment horizontal="center"/>
    </xf>
    <xf numFmtId="0" fontId="53" fillId="25" borderId="23" xfId="0" applyFont="1" applyFill="1" applyBorder="1" applyAlignment="1">
      <alignment horizontal="center" wrapText="1"/>
    </xf>
    <xf numFmtId="0" fontId="53" fillId="25" borderId="24" xfId="0" applyFont="1" applyFill="1" applyBorder="1" applyAlignment="1">
      <alignment horizontal="center" wrapText="1"/>
    </xf>
    <xf numFmtId="0" fontId="53" fillId="25" borderId="25" xfId="0" applyFont="1" applyFill="1" applyBorder="1" applyAlignment="1">
      <alignment horizontal="center" wrapText="1"/>
    </xf>
    <xf numFmtId="0" fontId="40" fillId="25" borderId="23" xfId="0" applyFont="1" applyFill="1" applyBorder="1" applyAlignment="1">
      <alignment horizontal="center"/>
    </xf>
    <xf numFmtId="0" fontId="40" fillId="25" borderId="25" xfId="0" applyFont="1" applyFill="1" applyBorder="1" applyAlignment="1">
      <alignment horizontal="center"/>
    </xf>
    <xf numFmtId="0" fontId="53" fillId="32" borderId="0" xfId="0" applyFont="1" applyFill="1" applyBorder="1" applyAlignment="1">
      <alignment horizontal="center"/>
    </xf>
    <xf numFmtId="0" fontId="19" fillId="24" borderId="73" xfId="64" applyFont="1" applyFill="1" applyBorder="1" applyAlignment="1">
      <alignment horizontal="left"/>
      <protection/>
    </xf>
    <xf numFmtId="0" fontId="19" fillId="24" borderId="74" xfId="64" applyFont="1" applyFill="1" applyBorder="1" applyAlignment="1">
      <alignment horizontal="left"/>
      <protection/>
    </xf>
    <xf numFmtId="0" fontId="19" fillId="24" borderId="75" xfId="64" applyFont="1" applyFill="1" applyBorder="1" applyAlignment="1">
      <alignment horizontal="left"/>
      <protection/>
    </xf>
    <xf numFmtId="0" fontId="19" fillId="24" borderId="76" xfId="64" applyFont="1" applyFill="1" applyBorder="1" applyAlignment="1">
      <alignment horizontal="left"/>
      <protection/>
    </xf>
    <xf numFmtId="0" fontId="19" fillId="24" borderId="77" xfId="64" applyFont="1" applyFill="1" applyBorder="1" applyAlignment="1">
      <alignment horizontal="left"/>
      <protection/>
    </xf>
    <xf numFmtId="0" fontId="19" fillId="24" borderId="78" xfId="64" applyFont="1" applyFill="1" applyBorder="1" applyAlignment="1">
      <alignment horizontal="left"/>
      <protection/>
    </xf>
    <xf numFmtId="175" fontId="55" fillId="24" borderId="79" xfId="0" applyNumberFormat="1" applyFont="1" applyFill="1" applyBorder="1" applyAlignment="1">
      <alignment horizontal="center" shrinkToFit="1"/>
    </xf>
    <xf numFmtId="175" fontId="55" fillId="24" borderId="80" xfId="0" applyNumberFormat="1" applyFont="1" applyFill="1" applyBorder="1" applyAlignment="1">
      <alignment horizontal="center" shrinkToFit="1"/>
    </xf>
    <xf numFmtId="175" fontId="55" fillId="24" borderId="81" xfId="0" applyNumberFormat="1" applyFont="1" applyFill="1" applyBorder="1" applyAlignment="1">
      <alignment horizontal="center" shrinkToFit="1"/>
    </xf>
    <xf numFmtId="175" fontId="55" fillId="24" borderId="82" xfId="0" applyNumberFormat="1" applyFont="1" applyFill="1" applyBorder="1" applyAlignment="1">
      <alignment horizontal="center" shrinkToFit="1"/>
    </xf>
    <xf numFmtId="175" fontId="19" fillId="24" borderId="83" xfId="42" applyNumberFormat="1" applyFont="1" applyFill="1" applyBorder="1" applyAlignment="1">
      <alignment horizontal="center" shrinkToFit="1"/>
    </xf>
    <xf numFmtId="175" fontId="19" fillId="24" borderId="84" xfId="42" applyNumberFormat="1" applyFont="1" applyFill="1" applyBorder="1" applyAlignment="1">
      <alignment horizontal="center" shrinkToFit="1"/>
    </xf>
    <xf numFmtId="175" fontId="19" fillId="24" borderId="85" xfId="42" applyNumberFormat="1" applyFont="1" applyFill="1" applyBorder="1" applyAlignment="1">
      <alignment horizontal="center" shrinkToFit="1"/>
    </xf>
    <xf numFmtId="175" fontId="19" fillId="24" borderId="86" xfId="42" applyNumberFormat="1" applyFont="1" applyFill="1" applyBorder="1" applyAlignment="1">
      <alignment horizontal="center" shrinkToFit="1"/>
    </xf>
    <xf numFmtId="0" fontId="40" fillId="25" borderId="23" xfId="60" applyFont="1" applyFill="1" applyBorder="1" applyAlignment="1">
      <alignment horizontal="center"/>
      <protection/>
    </xf>
    <xf numFmtId="0" fontId="40" fillId="25" borderId="24" xfId="60" applyFont="1" applyFill="1" applyBorder="1" applyAlignment="1">
      <alignment horizontal="center"/>
      <protection/>
    </xf>
    <xf numFmtId="0" fontId="40" fillId="25" borderId="25" xfId="60" applyFont="1" applyFill="1" applyBorder="1" applyAlignment="1">
      <alignment horizontal="center"/>
      <protection/>
    </xf>
    <xf numFmtId="0" fontId="40" fillId="25" borderId="87" xfId="60" applyFont="1" applyFill="1" applyBorder="1" applyAlignment="1">
      <alignment horizontal="center"/>
      <protection/>
    </xf>
    <xf numFmtId="0" fontId="40" fillId="25" borderId="88" xfId="60" applyFont="1" applyFill="1" applyBorder="1" applyAlignment="1">
      <alignment horizontal="center"/>
      <protection/>
    </xf>
    <xf numFmtId="0" fontId="40" fillId="25" borderId="84" xfId="60" applyFont="1" applyFill="1" applyBorder="1" applyAlignment="1">
      <alignment horizontal="center"/>
      <protection/>
    </xf>
    <xf numFmtId="0" fontId="40" fillId="24" borderId="0" xfId="60" applyFont="1" applyFill="1" applyBorder="1" applyAlignment="1">
      <alignment horizontal="center"/>
      <protection/>
    </xf>
    <xf numFmtId="0" fontId="40" fillId="29" borderId="23" xfId="60" applyFont="1" applyFill="1" applyBorder="1" applyAlignment="1">
      <alignment horizontal="center"/>
      <protection/>
    </xf>
    <xf numFmtId="0" fontId="40" fillId="29" borderId="24" xfId="60" applyFont="1" applyFill="1" applyBorder="1" applyAlignment="1">
      <alignment horizontal="center"/>
      <protection/>
    </xf>
    <xf numFmtId="0" fontId="40" fillId="29" borderId="25" xfId="60" applyFont="1" applyFill="1" applyBorder="1" applyAlignment="1">
      <alignment horizontal="center"/>
      <protection/>
    </xf>
    <xf numFmtId="0" fontId="19" fillId="0" borderId="0" xfId="60" applyFont="1" applyFill="1" applyBorder="1" applyAlignment="1">
      <alignment horizontal="left"/>
      <protection/>
    </xf>
    <xf numFmtId="0" fontId="19" fillId="0" borderId="11" xfId="60" applyFont="1" applyFill="1" applyBorder="1" applyAlignment="1">
      <alignment horizontal="left"/>
      <protection/>
    </xf>
    <xf numFmtId="175" fontId="50" fillId="24" borderId="89" xfId="42" applyNumberFormat="1" applyFont="1" applyFill="1" applyBorder="1" applyAlignment="1">
      <alignment horizontal="center"/>
    </xf>
    <xf numFmtId="175" fontId="50" fillId="24" borderId="90" xfId="42" applyNumberFormat="1" applyFont="1" applyFill="1" applyBorder="1" applyAlignment="1">
      <alignment horizontal="center"/>
    </xf>
    <xf numFmtId="175" fontId="50" fillId="24" borderId="85" xfId="42" applyNumberFormat="1" applyFont="1" applyFill="1" applyBorder="1" applyAlignment="1">
      <alignment horizontal="center"/>
    </xf>
    <xf numFmtId="175" fontId="50" fillId="24" borderId="86" xfId="42" applyNumberFormat="1" applyFont="1" applyFill="1" applyBorder="1" applyAlignment="1">
      <alignment horizontal="center"/>
    </xf>
    <xf numFmtId="0" fontId="40" fillId="29" borderId="10" xfId="60" applyFont="1" applyFill="1" applyBorder="1" applyAlignment="1">
      <alignment horizontal="center"/>
      <protection/>
    </xf>
    <xf numFmtId="0" fontId="40" fillId="29" borderId="0" xfId="60" applyFont="1" applyFill="1" applyBorder="1" applyAlignment="1">
      <alignment horizontal="center"/>
      <protection/>
    </xf>
    <xf numFmtId="0" fontId="40" fillId="29" borderId="11" xfId="60" applyFont="1" applyFill="1" applyBorder="1" applyAlignment="1">
      <alignment horizontal="center"/>
      <protection/>
    </xf>
    <xf numFmtId="0" fontId="40" fillId="25" borderId="24" xfId="0" applyFont="1" applyFill="1" applyBorder="1" applyAlignment="1">
      <alignment horizontal="center"/>
    </xf>
    <xf numFmtId="0" fontId="40" fillId="29" borderId="10" xfId="0" applyFont="1" applyFill="1" applyBorder="1" applyAlignment="1">
      <alignment horizontal="center"/>
    </xf>
    <xf numFmtId="0" fontId="40" fillId="29" borderId="0" xfId="0" applyFont="1" applyFill="1" applyBorder="1" applyAlignment="1">
      <alignment horizontal="center"/>
    </xf>
    <xf numFmtId="0" fontId="40" fillId="29" borderId="11" xfId="0" applyFont="1" applyFill="1" applyBorder="1" applyAlignment="1">
      <alignment horizontal="center"/>
    </xf>
    <xf numFmtId="0" fontId="40" fillId="29" borderId="23" xfId="0" applyFont="1" applyFill="1" applyBorder="1" applyAlignment="1">
      <alignment horizontal="center" wrapText="1"/>
    </xf>
    <xf numFmtId="0" fontId="40" fillId="29" borderId="25" xfId="0" applyFont="1" applyFill="1" applyBorder="1" applyAlignment="1">
      <alignment horizontal="center" wrapText="1"/>
    </xf>
    <xf numFmtId="0" fontId="40" fillId="29" borderId="10" xfId="0" applyFont="1" applyFill="1" applyBorder="1" applyAlignment="1">
      <alignment horizontal="center" wrapText="1"/>
    </xf>
    <xf numFmtId="0" fontId="40" fillId="29" borderId="11" xfId="0" applyFont="1" applyFill="1" applyBorder="1" applyAlignment="1">
      <alignment horizontal="center" wrapText="1"/>
    </xf>
    <xf numFmtId="0" fontId="40" fillId="29" borderId="23" xfId="0" applyFont="1" applyFill="1" applyBorder="1" applyAlignment="1">
      <alignment horizontal="center"/>
    </xf>
    <xf numFmtId="0" fontId="40" fillId="29" borderId="24" xfId="0" applyFont="1" applyFill="1" applyBorder="1" applyAlignment="1">
      <alignment horizontal="center"/>
    </xf>
    <xf numFmtId="0" fontId="40" fillId="29" borderId="25" xfId="0" applyFont="1" applyFill="1" applyBorder="1" applyAlignment="1">
      <alignment horizontal="center"/>
    </xf>
    <xf numFmtId="0" fontId="40" fillId="29" borderId="29" xfId="60" applyFont="1" applyFill="1" applyBorder="1" applyAlignment="1">
      <alignment horizontal="center"/>
      <protection/>
    </xf>
    <xf numFmtId="0" fontId="40" fillId="29" borderId="35" xfId="60" applyFont="1" applyFill="1" applyBorder="1" applyAlignment="1">
      <alignment horizontal="center"/>
      <protection/>
    </xf>
    <xf numFmtId="0" fontId="40" fillId="25" borderId="24" xfId="0" applyFont="1" applyFill="1" applyBorder="1" applyAlignment="1" applyProtection="1">
      <alignment horizontal="center" wrapText="1"/>
      <protection locked="0"/>
    </xf>
    <xf numFmtId="0" fontId="40" fillId="25" borderId="0" xfId="0" applyFont="1" applyFill="1" applyBorder="1" applyAlignment="1" applyProtection="1">
      <alignment horizontal="center" wrapText="1"/>
      <protection locked="0"/>
    </xf>
    <xf numFmtId="0" fontId="40" fillId="29" borderId="24" xfId="0" applyFont="1" applyFill="1" applyBorder="1" applyAlignment="1">
      <alignment horizontal="center" wrapText="1"/>
    </xf>
    <xf numFmtId="0" fontId="40" fillId="29" borderId="0" xfId="0" applyFont="1" applyFill="1" applyBorder="1" applyAlignment="1">
      <alignment horizontal="center" wrapText="1"/>
    </xf>
    <xf numFmtId="0" fontId="40" fillId="29" borderId="23" xfId="0" applyFont="1" applyFill="1" applyBorder="1" applyAlignment="1" applyProtection="1">
      <alignment horizontal="center"/>
      <protection locked="0"/>
    </xf>
    <xf numFmtId="0" fontId="40" fillId="29" borderId="24" xfId="0" applyFont="1" applyFill="1" applyBorder="1" applyAlignment="1" applyProtection="1">
      <alignment horizontal="center"/>
      <protection locked="0"/>
    </xf>
    <xf numFmtId="0" fontId="40" fillId="29" borderId="25" xfId="0" applyFont="1" applyFill="1" applyBorder="1" applyAlignment="1" applyProtection="1">
      <alignment horizontal="center"/>
      <protection locked="0"/>
    </xf>
    <xf numFmtId="0" fontId="40" fillId="29" borderId="10" xfId="0" applyFont="1" applyFill="1" applyBorder="1" applyAlignment="1" applyProtection="1">
      <alignment horizontal="center"/>
      <protection locked="0"/>
    </xf>
    <xf numFmtId="0" fontId="40" fillId="29" borderId="0" xfId="0" applyFont="1" applyFill="1" applyBorder="1" applyAlignment="1" applyProtection="1">
      <alignment horizontal="center"/>
      <protection locked="0"/>
    </xf>
    <xf numFmtId="0" fontId="40" fillId="29" borderId="11" xfId="0" applyFont="1" applyFill="1" applyBorder="1" applyAlignment="1" applyProtection="1">
      <alignment horizontal="center"/>
      <protection locked="0"/>
    </xf>
    <xf numFmtId="0" fontId="25" fillId="4" borderId="0" xfId="0" applyFont="1" applyFill="1" applyBorder="1" applyAlignment="1">
      <alignment horizontal="left"/>
    </xf>
    <xf numFmtId="0" fontId="30" fillId="4" borderId="45" xfId="0" applyFont="1" applyFill="1" applyBorder="1" applyAlignment="1" applyProtection="1">
      <alignment horizontal="center"/>
      <protection locked="0"/>
    </xf>
    <xf numFmtId="0" fontId="30" fillId="4" borderId="0" xfId="0" applyFont="1" applyFill="1" applyBorder="1" applyAlignment="1" applyProtection="1">
      <alignment horizontal="center"/>
      <protection locked="0"/>
    </xf>
    <xf numFmtId="175" fontId="19" fillId="24" borderId="89" xfId="42" applyNumberFormat="1" applyFont="1" applyFill="1" applyBorder="1" applyAlignment="1">
      <alignment horizontal="center" shrinkToFit="1"/>
    </xf>
    <xf numFmtId="175" fontId="19" fillId="24" borderId="90" xfId="42" applyNumberFormat="1" applyFont="1" applyFill="1" applyBorder="1" applyAlignment="1">
      <alignment horizontal="center" shrinkToFit="1"/>
    </xf>
    <xf numFmtId="0" fontId="40" fillId="25" borderId="87" xfId="60" applyFont="1" applyFill="1" applyBorder="1" applyAlignment="1">
      <alignment horizontal="center" wrapText="1"/>
      <protection/>
    </xf>
    <xf numFmtId="0" fontId="40" fillId="25" borderId="88" xfId="60" applyFont="1" applyFill="1" applyBorder="1" applyAlignment="1">
      <alignment horizontal="center" wrapText="1"/>
      <protection/>
    </xf>
    <xf numFmtId="0" fontId="40" fillId="25" borderId="84" xfId="60" applyFont="1" applyFill="1" applyBorder="1" applyAlignment="1">
      <alignment horizontal="center" wrapText="1"/>
      <protection/>
    </xf>
    <xf numFmtId="0" fontId="40" fillId="25" borderId="91" xfId="0" applyFont="1" applyFill="1" applyBorder="1" applyAlignment="1">
      <alignment horizontal="center"/>
    </xf>
    <xf numFmtId="0" fontId="40" fillId="25" borderId="92" xfId="0" applyFont="1" applyFill="1" applyBorder="1" applyAlignment="1">
      <alignment horizontal="center"/>
    </xf>
    <xf numFmtId="0" fontId="40" fillId="25" borderId="93" xfId="0" applyFont="1" applyFill="1" applyBorder="1" applyAlignment="1">
      <alignment horizontal="center"/>
    </xf>
    <xf numFmtId="0" fontId="84" fillId="36" borderId="0" xfId="61" applyFont="1" applyFill="1" applyAlignment="1">
      <alignment horizontal="center"/>
      <protection/>
    </xf>
    <xf numFmtId="0" fontId="40" fillId="25" borderId="37" xfId="66" applyFont="1" applyFill="1" applyBorder="1" applyAlignment="1">
      <alignment horizontal="center"/>
      <protection/>
    </xf>
    <xf numFmtId="0" fontId="40" fillId="25" borderId="40" xfId="66" applyFont="1" applyFill="1" applyBorder="1" applyAlignment="1">
      <alignment horizontal="center"/>
      <protection/>
    </xf>
    <xf numFmtId="0" fontId="40" fillId="25" borderId="38" xfId="66" applyFont="1" applyFill="1" applyBorder="1" applyAlignment="1">
      <alignment horizontal="center"/>
      <protection/>
    </xf>
    <xf numFmtId="0" fontId="40" fillId="29" borderId="37" xfId="66" applyFont="1" applyFill="1" applyBorder="1" applyAlignment="1">
      <alignment horizontal="center"/>
      <protection/>
    </xf>
    <xf numFmtId="0" fontId="40" fillId="29" borderId="40" xfId="66" applyFont="1" applyFill="1" applyBorder="1" applyAlignment="1">
      <alignment horizontal="center"/>
      <protection/>
    </xf>
    <xf numFmtId="0" fontId="40" fillId="29" borderId="38" xfId="66" applyFont="1" applyFill="1" applyBorder="1" applyAlignment="1">
      <alignment horizontal="center"/>
      <protection/>
    </xf>
    <xf numFmtId="0" fontId="40" fillId="29" borderId="23" xfId="60" applyFont="1" applyFill="1" applyBorder="1" applyAlignment="1">
      <alignment horizontal="left"/>
      <protection/>
    </xf>
    <xf numFmtId="0" fontId="40" fillId="29" borderId="24" xfId="60" applyFont="1" applyFill="1" applyBorder="1" applyAlignment="1">
      <alignment horizontal="left"/>
      <protection/>
    </xf>
    <xf numFmtId="0" fontId="40" fillId="29" borderId="25" xfId="60" applyFont="1" applyFill="1" applyBorder="1" applyAlignment="1">
      <alignment horizontal="left"/>
      <protection/>
    </xf>
    <xf numFmtId="0" fontId="40" fillId="25" borderId="37" xfId="60" applyFont="1" applyFill="1" applyBorder="1" applyAlignment="1">
      <alignment horizontal="center"/>
      <protection/>
    </xf>
    <xf numFmtId="0" fontId="40" fillId="25" borderId="40" xfId="60" applyFont="1" applyFill="1" applyBorder="1" applyAlignment="1">
      <alignment horizontal="center"/>
      <protection/>
    </xf>
    <xf numFmtId="0" fontId="40" fillId="25" borderId="38" xfId="60" applyFont="1" applyFill="1" applyBorder="1" applyAlignment="1">
      <alignment horizontal="center"/>
      <protection/>
    </xf>
    <xf numFmtId="0" fontId="21" fillId="29" borderId="23" xfId="0" applyFont="1" applyFill="1" applyBorder="1" applyAlignment="1">
      <alignment horizontal="center"/>
    </xf>
    <xf numFmtId="0" fontId="21" fillId="29" borderId="24" xfId="0" applyFont="1" applyFill="1" applyBorder="1" applyAlignment="1">
      <alignment horizontal="center"/>
    </xf>
    <xf numFmtId="0" fontId="21" fillId="29" borderId="25" xfId="0" applyFont="1" applyFill="1" applyBorder="1" applyAlignment="1">
      <alignment horizontal="center"/>
    </xf>
    <xf numFmtId="0" fontId="21" fillId="37" borderId="23" xfId="0" applyFont="1" applyFill="1" applyBorder="1" applyAlignment="1">
      <alignment horizontal="center"/>
    </xf>
    <xf numFmtId="0" fontId="21" fillId="37" borderId="24" xfId="0" applyFont="1" applyFill="1" applyBorder="1" applyAlignment="1">
      <alignment horizontal="center"/>
    </xf>
    <xf numFmtId="0" fontId="21" fillId="37" borderId="25" xfId="0" applyFont="1" applyFill="1" applyBorder="1" applyAlignment="1">
      <alignment horizontal="center"/>
    </xf>
    <xf numFmtId="0" fontId="42" fillId="38" borderId="10" xfId="0" applyFont="1" applyFill="1" applyBorder="1" applyAlignment="1">
      <alignment horizontal="center"/>
    </xf>
    <xf numFmtId="0" fontId="42" fillId="38" borderId="0" xfId="0" applyFont="1" applyFill="1" applyBorder="1" applyAlignment="1">
      <alignment horizontal="center"/>
    </xf>
    <xf numFmtId="0" fontId="42" fillId="38" borderId="11" xfId="0" applyFont="1" applyFill="1" applyBorder="1" applyAlignment="1">
      <alignment horizontal="center"/>
    </xf>
    <xf numFmtId="0" fontId="21" fillId="25" borderId="23" xfId="0" applyFont="1" applyFill="1" applyBorder="1" applyAlignment="1">
      <alignment horizontal="center"/>
    </xf>
    <xf numFmtId="0" fontId="21" fillId="25" borderId="25" xfId="0" applyFont="1" applyFill="1" applyBorder="1" applyAlignment="1">
      <alignment horizontal="center"/>
    </xf>
    <xf numFmtId="0" fontId="42" fillId="32" borderId="0" xfId="0" applyFont="1" applyFill="1" applyBorder="1" applyAlignment="1">
      <alignment/>
    </xf>
    <xf numFmtId="0" fontId="40" fillId="25" borderId="10" xfId="60" applyFont="1" applyFill="1" applyBorder="1" applyAlignment="1">
      <alignment horizontal="center" wrapText="1"/>
      <protection/>
    </xf>
    <xf numFmtId="0" fontId="40" fillId="25" borderId="0" xfId="60" applyFont="1" applyFill="1" applyBorder="1" applyAlignment="1">
      <alignment horizontal="center" wrapText="1"/>
      <protection/>
    </xf>
    <xf numFmtId="0" fontId="40" fillId="25" borderId="11" xfId="60" applyFont="1" applyFill="1" applyBorder="1" applyAlignment="1">
      <alignment horizontal="center" wrapText="1"/>
      <protection/>
    </xf>
    <xf numFmtId="0" fontId="21" fillId="25" borderId="24" xfId="0" applyFont="1" applyFill="1" applyBorder="1" applyAlignment="1">
      <alignment horizontal="center"/>
    </xf>
    <xf numFmtId="0" fontId="37" fillId="0" borderId="0" xfId="64" applyFont="1" applyAlignment="1">
      <alignment horizontal="center"/>
      <protection/>
    </xf>
    <xf numFmtId="0" fontId="21" fillId="39" borderId="23" xfId="0" applyFont="1" applyFill="1" applyBorder="1" applyAlignment="1">
      <alignment horizontal="center"/>
    </xf>
    <xf numFmtId="0" fontId="21" fillId="39" borderId="24" xfId="0" applyFont="1" applyFill="1" applyBorder="1" applyAlignment="1">
      <alignment horizontal="center"/>
    </xf>
    <xf numFmtId="0" fontId="19" fillId="0" borderId="0" xfId="63" applyFont="1" applyBorder="1" applyAlignment="1">
      <alignment horizontal="center"/>
      <protection/>
    </xf>
    <xf numFmtId="0" fontId="19" fillId="0" borderId="0" xfId="63" applyBorder="1" applyAlignment="1">
      <alignment horizontal="center"/>
      <protection/>
    </xf>
    <xf numFmtId="0" fontId="19" fillId="0" borderId="11" xfId="63" applyBorder="1" applyAlignment="1">
      <alignment horizontal="center"/>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_Lighting Calculations v4" xfId="56"/>
    <cellStyle name="Input" xfId="57"/>
    <cellStyle name="Linked Cell" xfId="58"/>
    <cellStyle name="Neutral" xfId="59"/>
    <cellStyle name="Normal 2" xfId="60"/>
    <cellStyle name="Normal 3" xfId="61"/>
    <cellStyle name="Normal_Const_Equip_Data" xfId="62"/>
    <cellStyle name="Normal_Lighting Calculations v4" xfId="63"/>
    <cellStyle name="Normal_Lighting Calculations v6" xfId="64"/>
    <cellStyle name="Normal_On-Road Module" xfId="65"/>
    <cellStyle name="Normal_Onroad Strategies" xfId="66"/>
    <cellStyle name="Normal_Sheet2" xfId="67"/>
    <cellStyle name="Normal_Sheet4" xfId="68"/>
    <cellStyle name="Note" xfId="69"/>
    <cellStyle name="Note 2" xfId="70"/>
    <cellStyle name="Note 3" xfId="71"/>
    <cellStyle name="Note 4" xfId="72"/>
    <cellStyle name="Note 5" xfId="73"/>
    <cellStyle name="Note 6" xfId="74"/>
    <cellStyle name="Note 7" xfId="75"/>
    <cellStyle name="Output" xfId="76"/>
    <cellStyle name="Percent" xfId="77"/>
    <cellStyle name="Percent 2" xfId="78"/>
    <cellStyle name="Percent 3" xfId="79"/>
    <cellStyle name="Title" xfId="80"/>
    <cellStyle name="Total" xfId="81"/>
    <cellStyle name="Warning Text" xfId="82"/>
    <cellStyle name="常规_Data-Actbyage" xfId="83"/>
  </cellStyles>
  <dxfs count="48">
    <dxf>
      <font>
        <b/>
        <i val="0"/>
        <color indexed="10"/>
      </font>
    </dxf>
    <dxf>
      <font>
        <b val="0"/>
        <i val="0"/>
        <color auto="1"/>
      </font>
    </dxf>
    <dxf>
      <font>
        <b/>
        <i val="0"/>
        <color indexed="10"/>
      </font>
    </dxf>
    <dxf>
      <font>
        <b val="0"/>
        <i val="0"/>
        <color auto="1"/>
      </font>
    </dxf>
    <dxf>
      <font>
        <b/>
        <i val="0"/>
        <color indexed="10"/>
      </font>
    </dxf>
    <dxf>
      <font>
        <b val="0"/>
        <i val="0"/>
        <color auto="1"/>
      </font>
    </dxf>
    <dxf>
      <font>
        <color rgb="FF006100"/>
      </font>
      <fill>
        <patternFill>
          <bgColor rgb="FFC6EFCE"/>
        </patternFill>
      </fill>
    </dxf>
    <dxf>
      <font>
        <color theme="5" tint="-0.24993999302387238"/>
      </font>
      <fill>
        <patternFill>
          <bgColor rgb="FFFF7C80"/>
        </patternFill>
      </fill>
    </dxf>
    <dxf>
      <font>
        <b/>
        <i val="0"/>
        <color indexed="17"/>
      </font>
    </dxf>
    <dxf>
      <font>
        <b/>
        <i val="0"/>
        <color indexed="10"/>
      </font>
    </dxf>
    <dxf>
      <font>
        <b/>
        <i val="0"/>
        <color indexed="10"/>
      </font>
    </dxf>
    <dxf>
      <font>
        <b/>
        <i val="0"/>
        <color indexed="17"/>
      </font>
    </dxf>
    <dxf>
      <font>
        <b/>
        <i val="0"/>
        <color indexed="10"/>
      </font>
    </dxf>
    <dxf>
      <font>
        <b/>
        <i val="0"/>
        <color indexed="10"/>
      </font>
    </dxf>
    <dxf>
      <font>
        <b/>
        <i val="0"/>
        <color indexed="10"/>
      </font>
    </dxf>
    <dxf>
      <font>
        <b val="0"/>
        <i val="0"/>
        <color auto="1"/>
      </font>
    </dxf>
    <dxf>
      <font>
        <b/>
        <i val="0"/>
        <color indexed="10"/>
      </font>
    </dxf>
    <dxf>
      <font>
        <b val="0"/>
        <i val="0"/>
        <color auto="1"/>
      </font>
    </dxf>
    <dxf>
      <font>
        <b/>
        <i val="0"/>
        <color indexed="10"/>
      </font>
    </dxf>
    <dxf>
      <font>
        <b val="0"/>
        <i val="0"/>
        <color auto="1"/>
      </font>
    </dxf>
    <dxf>
      <font>
        <b/>
        <i val="0"/>
        <color indexed="10"/>
      </font>
    </dxf>
    <dxf>
      <font>
        <b val="0"/>
        <i val="0"/>
        <color auto="1"/>
      </font>
    </dxf>
    <dxf>
      <font>
        <b/>
        <i val="0"/>
        <color indexed="10"/>
      </font>
    </dxf>
    <dxf>
      <font>
        <b val="0"/>
        <i val="0"/>
        <color auto="1"/>
      </font>
    </dxf>
    <dxf>
      <font>
        <b/>
        <i val="0"/>
        <color indexed="10"/>
      </font>
    </dxf>
    <dxf>
      <font>
        <b val="0"/>
        <i val="0"/>
        <color auto="1"/>
      </font>
    </dxf>
    <dxf>
      <font>
        <b/>
        <i val="0"/>
        <color indexed="10"/>
      </font>
    </dxf>
    <dxf>
      <font>
        <b val="0"/>
        <i val="0"/>
        <color auto="1"/>
      </font>
    </dxf>
    <dxf>
      <font>
        <color indexed="10"/>
      </font>
    </dxf>
    <dxf/>
    <dxf>
      <font>
        <color indexed="10"/>
      </font>
    </dxf>
    <dxf/>
    <dxf>
      <font>
        <color indexed="10"/>
      </font>
    </dxf>
    <dxf/>
    <dxf>
      <font>
        <color indexed="10"/>
      </font>
    </dxf>
    <dxf/>
    <dxf>
      <font>
        <color indexed="10"/>
      </font>
    </dxf>
    <dxf/>
    <dxf>
      <font>
        <color indexed="10"/>
      </font>
    </dxf>
    <dxf/>
    <dxf>
      <font>
        <color indexed="10"/>
      </font>
    </dxf>
    <dxf/>
    <dxf>
      <font>
        <color rgb="FFFF0000"/>
      </font>
      <border/>
    </dxf>
    <dxf>
      <font>
        <b val="0"/>
        <i val="0"/>
        <color auto="1"/>
      </font>
      <border/>
    </dxf>
    <dxf>
      <font>
        <b/>
        <i val="0"/>
        <color rgb="FFFF0000"/>
      </font>
      <border/>
    </dxf>
    <dxf>
      <font>
        <b/>
        <i val="0"/>
        <color rgb="FF008000"/>
      </font>
      <border/>
    </dxf>
    <dxf>
      <font>
        <color theme="5" tint="-0.24993999302387238"/>
      </font>
      <fill>
        <patternFill>
          <bgColor rgb="FFFF7C80"/>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43.emf" /><Relationship Id="rId3" Type="http://schemas.openxmlformats.org/officeDocument/2006/relationships/image" Target="../media/image54.emf" /><Relationship Id="rId4" Type="http://schemas.openxmlformats.org/officeDocument/2006/relationships/image" Target="../media/image4.emf" /><Relationship Id="rId5" Type="http://schemas.openxmlformats.org/officeDocument/2006/relationships/image" Target="../media/image5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40.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15.emf" /><Relationship Id="rId6" Type="http://schemas.openxmlformats.org/officeDocument/2006/relationships/image" Target="../media/image50.emf" /><Relationship Id="rId7" Type="http://schemas.openxmlformats.org/officeDocument/2006/relationships/image" Target="../media/image52.emf" /><Relationship Id="rId8"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8.emf" /><Relationship Id="rId3" Type="http://schemas.openxmlformats.org/officeDocument/2006/relationships/image" Target="../media/image23.emf" /><Relationship Id="rId4" Type="http://schemas.openxmlformats.org/officeDocument/2006/relationships/image" Target="../media/image22.emf" /><Relationship Id="rId5" Type="http://schemas.openxmlformats.org/officeDocument/2006/relationships/image" Target="../media/image46.emf" /><Relationship Id="rId6" Type="http://schemas.openxmlformats.org/officeDocument/2006/relationships/image" Target="../media/image11.emf" /><Relationship Id="rId7"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6.emf" /><Relationship Id="rId3" Type="http://schemas.openxmlformats.org/officeDocument/2006/relationships/image" Target="../media/image32.emf" /><Relationship Id="rId4" Type="http://schemas.openxmlformats.org/officeDocument/2006/relationships/image" Target="../media/image5.emf" /><Relationship Id="rId5" Type="http://schemas.openxmlformats.org/officeDocument/2006/relationships/image" Target="../media/image41.emf" /><Relationship Id="rId6" Type="http://schemas.openxmlformats.org/officeDocument/2006/relationships/image" Target="../media/image47.emf" /><Relationship Id="rId7" Type="http://schemas.openxmlformats.org/officeDocument/2006/relationships/image" Target="../media/image27.emf" /><Relationship Id="rId8" Type="http://schemas.openxmlformats.org/officeDocument/2006/relationships/image" Target="../media/image29.emf" /><Relationship Id="rId9" Type="http://schemas.openxmlformats.org/officeDocument/2006/relationships/image" Target="../media/image10.emf" /><Relationship Id="rId10" Type="http://schemas.openxmlformats.org/officeDocument/2006/relationships/image" Target="../media/image48.emf" /><Relationship Id="rId11" Type="http://schemas.openxmlformats.org/officeDocument/2006/relationships/image" Target="../media/image34.emf" /><Relationship Id="rId12" Type="http://schemas.openxmlformats.org/officeDocument/2006/relationships/image" Target="../media/image18.emf" /><Relationship Id="rId13"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emf" /><Relationship Id="rId3" Type="http://schemas.openxmlformats.org/officeDocument/2006/relationships/image" Target="../media/image16.emf" /><Relationship Id="rId4" Type="http://schemas.openxmlformats.org/officeDocument/2006/relationships/image" Target="../media/image24.emf" /><Relationship Id="rId5" Type="http://schemas.openxmlformats.org/officeDocument/2006/relationships/image" Target="../media/image20.emf" /><Relationship Id="rId6" Type="http://schemas.openxmlformats.org/officeDocument/2006/relationships/image" Target="../media/image14.emf" /><Relationship Id="rId7" Type="http://schemas.openxmlformats.org/officeDocument/2006/relationships/image" Target="../media/image2.emf" /><Relationship Id="rId8" Type="http://schemas.openxmlformats.org/officeDocument/2006/relationships/image" Target="../media/image26.emf" /><Relationship Id="rId9" Type="http://schemas.openxmlformats.org/officeDocument/2006/relationships/image" Target="../media/image38.emf" /><Relationship Id="rId10" Type="http://schemas.openxmlformats.org/officeDocument/2006/relationships/image" Target="../media/image13.emf" /><Relationship Id="rId11" Type="http://schemas.openxmlformats.org/officeDocument/2006/relationships/image" Target="../media/image56.emf" /><Relationship Id="rId12" Type="http://schemas.openxmlformats.org/officeDocument/2006/relationships/image" Target="../media/image45.emf" /><Relationship Id="rId13" Type="http://schemas.openxmlformats.org/officeDocument/2006/relationships/image" Target="../media/image51.emf" /><Relationship Id="rId14" Type="http://schemas.openxmlformats.org/officeDocument/2006/relationships/image" Target="../media/image53.emf" /><Relationship Id="rId15" Type="http://schemas.openxmlformats.org/officeDocument/2006/relationships/image" Target="../media/image44.emf" /><Relationship Id="rId16" Type="http://schemas.openxmlformats.org/officeDocument/2006/relationships/image" Target="../media/image3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5.emf" /></Relationships>
</file>

<file path=xl/drawings/_rels/drawing7.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8.emf" /></Relationships>
</file>

<file path=xl/drawings/_rels/drawing8.xml.rels><?xml version="1.0" encoding="utf-8" standalone="yes"?><Relationships xmlns="http://schemas.openxmlformats.org/package/2006/relationships"><Relationship Id="rId1" Type="http://schemas.openxmlformats.org/officeDocument/2006/relationships/image" Target="../media/image37.emf" /></Relationships>
</file>

<file path=xl/drawings/_rels/drawing9.xml.rels><?xml version="1.0" encoding="utf-8" standalone="yes"?><Relationships xmlns="http://schemas.openxmlformats.org/package/2006/relationships"><Relationship Id="rId1" Type="http://schemas.openxmlformats.org/officeDocument/2006/relationships/image" Target="../media/image4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39</xdr:row>
      <xdr:rowOff>19050</xdr:rowOff>
    </xdr:from>
    <xdr:to>
      <xdr:col>6</xdr:col>
      <xdr:colOff>247650</xdr:colOff>
      <xdr:row>39</xdr:row>
      <xdr:rowOff>342900</xdr:rowOff>
    </xdr:to>
    <xdr:pic>
      <xdr:nvPicPr>
        <xdr:cNvPr id="1" name="Goto_On_road"/>
        <xdr:cNvPicPr preferRelativeResize="1">
          <a:picLocks noChangeAspect="1"/>
        </xdr:cNvPicPr>
      </xdr:nvPicPr>
      <xdr:blipFill>
        <a:blip r:embed="rId1"/>
        <a:stretch>
          <a:fillRect/>
        </a:stretch>
      </xdr:blipFill>
      <xdr:spPr>
        <a:xfrm>
          <a:off x="6762750" y="7629525"/>
          <a:ext cx="1266825" cy="323850"/>
        </a:xfrm>
        <a:prstGeom prst="rect">
          <a:avLst/>
        </a:prstGeom>
        <a:noFill/>
        <a:ln w="9525" cmpd="sng">
          <a:noFill/>
        </a:ln>
      </xdr:spPr>
    </xdr:pic>
    <xdr:clientData/>
  </xdr:twoCellAnchor>
  <xdr:twoCellAnchor editAs="oneCell">
    <xdr:from>
      <xdr:col>5</xdr:col>
      <xdr:colOff>266700</xdr:colOff>
      <xdr:row>40</xdr:row>
      <xdr:rowOff>47625</xdr:rowOff>
    </xdr:from>
    <xdr:to>
      <xdr:col>6</xdr:col>
      <xdr:colOff>247650</xdr:colOff>
      <xdr:row>40</xdr:row>
      <xdr:rowOff>352425</xdr:rowOff>
    </xdr:to>
    <xdr:pic>
      <xdr:nvPicPr>
        <xdr:cNvPr id="2" name="Goto_Construction"/>
        <xdr:cNvPicPr preferRelativeResize="1">
          <a:picLocks noChangeAspect="1"/>
        </xdr:cNvPicPr>
      </xdr:nvPicPr>
      <xdr:blipFill>
        <a:blip r:embed="rId2"/>
        <a:stretch>
          <a:fillRect/>
        </a:stretch>
      </xdr:blipFill>
      <xdr:spPr>
        <a:xfrm>
          <a:off x="6762750" y="8020050"/>
          <a:ext cx="1266825" cy="304800"/>
        </a:xfrm>
        <a:prstGeom prst="rect">
          <a:avLst/>
        </a:prstGeom>
        <a:noFill/>
        <a:ln w="9525" cmpd="sng">
          <a:noFill/>
        </a:ln>
      </xdr:spPr>
    </xdr:pic>
    <xdr:clientData/>
  </xdr:twoCellAnchor>
  <xdr:twoCellAnchor editAs="oneCell">
    <xdr:from>
      <xdr:col>5</xdr:col>
      <xdr:colOff>266700</xdr:colOff>
      <xdr:row>37</xdr:row>
      <xdr:rowOff>28575</xdr:rowOff>
    </xdr:from>
    <xdr:to>
      <xdr:col>6</xdr:col>
      <xdr:colOff>247650</xdr:colOff>
      <xdr:row>37</xdr:row>
      <xdr:rowOff>333375</xdr:rowOff>
    </xdr:to>
    <xdr:pic>
      <xdr:nvPicPr>
        <xdr:cNvPr id="3" name="Goto_Electricity"/>
        <xdr:cNvPicPr preferRelativeResize="1">
          <a:picLocks noChangeAspect="1"/>
        </xdr:cNvPicPr>
      </xdr:nvPicPr>
      <xdr:blipFill>
        <a:blip r:embed="rId3"/>
        <a:stretch>
          <a:fillRect/>
        </a:stretch>
      </xdr:blipFill>
      <xdr:spPr>
        <a:xfrm>
          <a:off x="6762750" y="6915150"/>
          <a:ext cx="1266825" cy="304800"/>
        </a:xfrm>
        <a:prstGeom prst="rect">
          <a:avLst/>
        </a:prstGeom>
        <a:noFill/>
        <a:ln w="9525" cmpd="sng">
          <a:noFill/>
        </a:ln>
      </xdr:spPr>
    </xdr:pic>
    <xdr:clientData/>
  </xdr:twoCellAnchor>
  <xdr:twoCellAnchor editAs="oneCell">
    <xdr:from>
      <xdr:col>5</xdr:col>
      <xdr:colOff>266700</xdr:colOff>
      <xdr:row>38</xdr:row>
      <xdr:rowOff>19050</xdr:rowOff>
    </xdr:from>
    <xdr:to>
      <xdr:col>6</xdr:col>
      <xdr:colOff>247650</xdr:colOff>
      <xdr:row>38</xdr:row>
      <xdr:rowOff>323850</xdr:rowOff>
    </xdr:to>
    <xdr:pic>
      <xdr:nvPicPr>
        <xdr:cNvPr id="4" name="Goto_Materials"/>
        <xdr:cNvPicPr preferRelativeResize="1">
          <a:picLocks noChangeAspect="1"/>
        </xdr:cNvPicPr>
      </xdr:nvPicPr>
      <xdr:blipFill>
        <a:blip r:embed="rId4"/>
        <a:stretch>
          <a:fillRect/>
        </a:stretch>
      </xdr:blipFill>
      <xdr:spPr>
        <a:xfrm>
          <a:off x="6762750" y="7267575"/>
          <a:ext cx="1266825" cy="304800"/>
        </a:xfrm>
        <a:prstGeom prst="rect">
          <a:avLst/>
        </a:prstGeom>
        <a:noFill/>
        <a:ln w="9525" cmpd="sng">
          <a:noFill/>
        </a:ln>
      </xdr:spPr>
    </xdr:pic>
    <xdr:clientData/>
  </xdr:twoCellAnchor>
  <xdr:twoCellAnchor editAs="oneCell">
    <xdr:from>
      <xdr:col>2</xdr:col>
      <xdr:colOff>38100</xdr:colOff>
      <xdr:row>68</xdr:row>
      <xdr:rowOff>161925</xdr:rowOff>
    </xdr:from>
    <xdr:to>
      <xdr:col>3</xdr:col>
      <xdr:colOff>438150</xdr:colOff>
      <xdr:row>70</xdr:row>
      <xdr:rowOff>104775</xdr:rowOff>
    </xdr:to>
    <xdr:pic>
      <xdr:nvPicPr>
        <xdr:cNvPr id="5" name="CommandButton1"/>
        <xdr:cNvPicPr preferRelativeResize="1">
          <a:picLocks noChangeAspect="1"/>
        </xdr:cNvPicPr>
      </xdr:nvPicPr>
      <xdr:blipFill>
        <a:blip r:embed="rId5"/>
        <a:stretch>
          <a:fillRect/>
        </a:stretch>
      </xdr:blipFill>
      <xdr:spPr>
        <a:xfrm>
          <a:off x="857250" y="13658850"/>
          <a:ext cx="223837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35</xdr:row>
      <xdr:rowOff>57150</xdr:rowOff>
    </xdr:from>
    <xdr:to>
      <xdr:col>3</xdr:col>
      <xdr:colOff>1095375</xdr:colOff>
      <xdr:row>36</xdr:row>
      <xdr:rowOff>133350</xdr:rowOff>
    </xdr:to>
    <xdr:pic>
      <xdr:nvPicPr>
        <xdr:cNvPr id="1" name="CommandButton1"/>
        <xdr:cNvPicPr preferRelativeResize="1">
          <a:picLocks noChangeAspect="1"/>
        </xdr:cNvPicPr>
      </xdr:nvPicPr>
      <xdr:blipFill>
        <a:blip r:embed="rId1"/>
        <a:stretch>
          <a:fillRect/>
        </a:stretch>
      </xdr:blipFill>
      <xdr:spPr>
        <a:xfrm>
          <a:off x="4867275" y="5238750"/>
          <a:ext cx="11049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xdr:row>
      <xdr:rowOff>123825</xdr:rowOff>
    </xdr:from>
    <xdr:to>
      <xdr:col>2</xdr:col>
      <xdr:colOff>428625</xdr:colOff>
      <xdr:row>5</xdr:row>
      <xdr:rowOff>104775</xdr:rowOff>
    </xdr:to>
    <xdr:pic>
      <xdr:nvPicPr>
        <xdr:cNvPr id="1" name="CommandButton1"/>
        <xdr:cNvPicPr preferRelativeResize="1">
          <a:picLocks noChangeAspect="1"/>
        </xdr:cNvPicPr>
      </xdr:nvPicPr>
      <xdr:blipFill>
        <a:blip r:embed="rId1"/>
        <a:stretch>
          <a:fillRect/>
        </a:stretch>
      </xdr:blipFill>
      <xdr:spPr>
        <a:xfrm>
          <a:off x="2066925" y="552450"/>
          <a:ext cx="1647825"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428625</xdr:colOff>
      <xdr:row>87</xdr:row>
      <xdr:rowOff>47625</xdr:rowOff>
    </xdr:from>
    <xdr:to>
      <xdr:col>7</xdr:col>
      <xdr:colOff>1085850</xdr:colOff>
      <xdr:row>89</xdr:row>
      <xdr:rowOff>104775</xdr:rowOff>
    </xdr:to>
    <xdr:pic>
      <xdr:nvPicPr>
        <xdr:cNvPr id="1" name="CommandButton1"/>
        <xdr:cNvPicPr preferRelativeResize="1">
          <a:picLocks noChangeAspect="1"/>
        </xdr:cNvPicPr>
      </xdr:nvPicPr>
      <xdr:blipFill>
        <a:blip r:embed="rId1"/>
        <a:stretch>
          <a:fillRect/>
        </a:stretch>
      </xdr:blipFill>
      <xdr:spPr>
        <a:xfrm>
          <a:off x="6848475" y="15478125"/>
          <a:ext cx="2028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133350</xdr:rowOff>
    </xdr:from>
    <xdr:to>
      <xdr:col>10</xdr:col>
      <xdr:colOff>0</xdr:colOff>
      <xdr:row>13</xdr:row>
      <xdr:rowOff>9525</xdr:rowOff>
    </xdr:to>
    <xdr:sp>
      <xdr:nvSpPr>
        <xdr:cNvPr id="1" name="Text Box 96"/>
        <xdr:cNvSpPr txBox="1">
          <a:spLocks noChangeArrowheads="1"/>
        </xdr:cNvSpPr>
      </xdr:nvSpPr>
      <xdr:spPr>
        <a:xfrm>
          <a:off x="390525" y="647700"/>
          <a:ext cx="10810875" cy="2162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module calculates CO2 emissions from electricity used on roadways, in streetlights, traffic signals, message signs, and other electrical systems that support roadways. It is not intended to capture electricity used in buildings. The user can input total electricity consumption in megawatt-hours (MWh), if that data is available. Alternatively, the user can enter detailed data on the type, number, and usage of electrical appliances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estimate electricity consumption.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Mitigation options for electricity use in roadways include reducing the number or wattage of lamps, signs, and other appliances installed; switching to more energy efficient appliances; and reducing the number of hours that appliances are operated. When inputing detailed data, the user enters parallel information on number and type of appliances for a baseline scenario and for a mitigated scenario. Changes in the number, type, and activity of appliances are compared between the two scenarios.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user is responsible for determining appropriate mitigation options for the specific project or scenario evaluated.
</a:t>
          </a:r>
        </a:p>
      </xdr:txBody>
    </xdr:sp>
    <xdr:clientData/>
  </xdr:twoCellAnchor>
  <xdr:twoCellAnchor editAs="oneCell">
    <xdr:from>
      <xdr:col>6</xdr:col>
      <xdr:colOff>333375</xdr:colOff>
      <xdr:row>0</xdr:row>
      <xdr:rowOff>104775</xdr:rowOff>
    </xdr:from>
    <xdr:to>
      <xdr:col>6</xdr:col>
      <xdr:colOff>1362075</xdr:colOff>
      <xdr:row>0</xdr:row>
      <xdr:rowOff>400050</xdr:rowOff>
    </xdr:to>
    <xdr:pic>
      <xdr:nvPicPr>
        <xdr:cNvPr id="2" name="ResetElecModuleButton"/>
        <xdr:cNvPicPr preferRelativeResize="1">
          <a:picLocks noChangeAspect="1"/>
        </xdr:cNvPicPr>
      </xdr:nvPicPr>
      <xdr:blipFill>
        <a:blip r:embed="rId1"/>
        <a:stretch>
          <a:fillRect/>
        </a:stretch>
      </xdr:blipFill>
      <xdr:spPr>
        <a:xfrm>
          <a:off x="6486525" y="104775"/>
          <a:ext cx="1028700" cy="295275"/>
        </a:xfrm>
        <a:prstGeom prst="rect">
          <a:avLst/>
        </a:prstGeom>
        <a:noFill/>
        <a:ln w="9525" cmpd="sng">
          <a:noFill/>
        </a:ln>
      </xdr:spPr>
    </xdr:pic>
    <xdr:clientData/>
  </xdr:twoCellAnchor>
  <xdr:twoCellAnchor editAs="oneCell">
    <xdr:from>
      <xdr:col>8</xdr:col>
      <xdr:colOff>0</xdr:colOff>
      <xdr:row>0</xdr:row>
      <xdr:rowOff>95250</xdr:rowOff>
    </xdr:from>
    <xdr:to>
      <xdr:col>9</xdr:col>
      <xdr:colOff>190500</xdr:colOff>
      <xdr:row>0</xdr:row>
      <xdr:rowOff>390525</xdr:rowOff>
    </xdr:to>
    <xdr:pic>
      <xdr:nvPicPr>
        <xdr:cNvPr id="3" name="Return_To_Summary"/>
        <xdr:cNvPicPr preferRelativeResize="1">
          <a:picLocks noChangeAspect="1"/>
        </xdr:cNvPicPr>
      </xdr:nvPicPr>
      <xdr:blipFill>
        <a:blip r:embed="rId2"/>
        <a:stretch>
          <a:fillRect/>
        </a:stretch>
      </xdr:blipFill>
      <xdr:spPr>
        <a:xfrm>
          <a:off x="9496425" y="95250"/>
          <a:ext cx="1143000" cy="295275"/>
        </a:xfrm>
        <a:prstGeom prst="rect">
          <a:avLst/>
        </a:prstGeom>
        <a:noFill/>
        <a:ln w="9525" cmpd="sng">
          <a:noFill/>
        </a:ln>
      </xdr:spPr>
    </xdr:pic>
    <xdr:clientData/>
  </xdr:twoCellAnchor>
  <xdr:twoCellAnchor editAs="oneCell">
    <xdr:from>
      <xdr:col>2</xdr:col>
      <xdr:colOff>28575</xdr:colOff>
      <xdr:row>16</xdr:row>
      <xdr:rowOff>142875</xdr:rowOff>
    </xdr:from>
    <xdr:to>
      <xdr:col>6</xdr:col>
      <xdr:colOff>1123950</xdr:colOff>
      <xdr:row>18</xdr:row>
      <xdr:rowOff>47625</xdr:rowOff>
    </xdr:to>
    <xdr:pic>
      <xdr:nvPicPr>
        <xdr:cNvPr id="4" name="Electricity1Button"/>
        <xdr:cNvPicPr preferRelativeResize="1">
          <a:picLocks noChangeAspect="1"/>
        </xdr:cNvPicPr>
      </xdr:nvPicPr>
      <xdr:blipFill>
        <a:blip r:embed="rId3"/>
        <a:stretch>
          <a:fillRect/>
        </a:stretch>
      </xdr:blipFill>
      <xdr:spPr>
        <a:xfrm>
          <a:off x="2933700" y="3505200"/>
          <a:ext cx="4343400" cy="314325"/>
        </a:xfrm>
        <a:prstGeom prst="rect">
          <a:avLst/>
        </a:prstGeom>
        <a:noFill/>
        <a:ln w="9525" cmpd="sng">
          <a:noFill/>
        </a:ln>
      </xdr:spPr>
    </xdr:pic>
    <xdr:clientData/>
  </xdr:twoCellAnchor>
  <xdr:twoCellAnchor editAs="oneCell">
    <xdr:from>
      <xdr:col>2</xdr:col>
      <xdr:colOff>28575</xdr:colOff>
      <xdr:row>18</xdr:row>
      <xdr:rowOff>0</xdr:rowOff>
    </xdr:from>
    <xdr:to>
      <xdr:col>6</xdr:col>
      <xdr:colOff>1323975</xdr:colOff>
      <xdr:row>19</xdr:row>
      <xdr:rowOff>161925</xdr:rowOff>
    </xdr:to>
    <xdr:pic>
      <xdr:nvPicPr>
        <xdr:cNvPr id="5" name="Electricity3Button"/>
        <xdr:cNvPicPr preferRelativeResize="1">
          <a:picLocks noChangeAspect="1"/>
        </xdr:cNvPicPr>
      </xdr:nvPicPr>
      <xdr:blipFill>
        <a:blip r:embed="rId4"/>
        <a:stretch>
          <a:fillRect/>
        </a:stretch>
      </xdr:blipFill>
      <xdr:spPr>
        <a:xfrm>
          <a:off x="2933700" y="3771900"/>
          <a:ext cx="4543425" cy="342900"/>
        </a:xfrm>
        <a:prstGeom prst="rect">
          <a:avLst/>
        </a:prstGeom>
        <a:noFill/>
        <a:ln w="9525" cmpd="sng">
          <a:noFill/>
        </a:ln>
      </xdr:spPr>
    </xdr:pic>
    <xdr:clientData/>
  </xdr:twoCellAnchor>
  <xdr:twoCellAnchor>
    <xdr:from>
      <xdr:col>2</xdr:col>
      <xdr:colOff>66675</xdr:colOff>
      <xdr:row>72</xdr:row>
      <xdr:rowOff>285750</xdr:rowOff>
    </xdr:from>
    <xdr:to>
      <xdr:col>4</xdr:col>
      <xdr:colOff>114300</xdr:colOff>
      <xdr:row>74</xdr:row>
      <xdr:rowOff>0</xdr:rowOff>
    </xdr:to>
    <xdr:pic>
      <xdr:nvPicPr>
        <xdr:cNvPr id="6" name="TrafficRadioButton"/>
        <xdr:cNvPicPr preferRelativeResize="1">
          <a:picLocks noChangeAspect="1"/>
        </xdr:cNvPicPr>
      </xdr:nvPicPr>
      <xdr:blipFill>
        <a:blip r:embed="rId5"/>
        <a:stretch>
          <a:fillRect/>
        </a:stretch>
      </xdr:blipFill>
      <xdr:spPr>
        <a:xfrm>
          <a:off x="2971800" y="6000750"/>
          <a:ext cx="1647825" cy="0"/>
        </a:xfrm>
        <a:prstGeom prst="rect">
          <a:avLst/>
        </a:prstGeom>
        <a:noFill/>
        <a:ln w="9525" cmpd="sng">
          <a:noFill/>
        </a:ln>
      </xdr:spPr>
    </xdr:pic>
    <xdr:clientData/>
  </xdr:twoCellAnchor>
  <xdr:twoCellAnchor>
    <xdr:from>
      <xdr:col>2</xdr:col>
      <xdr:colOff>66675</xdr:colOff>
      <xdr:row>73</xdr:row>
      <xdr:rowOff>114300</xdr:rowOff>
    </xdr:from>
    <xdr:to>
      <xdr:col>3</xdr:col>
      <xdr:colOff>371475</xdr:colOff>
      <xdr:row>75</xdr:row>
      <xdr:rowOff>0</xdr:rowOff>
    </xdr:to>
    <xdr:pic>
      <xdr:nvPicPr>
        <xdr:cNvPr id="7" name="SignalRadioButton"/>
        <xdr:cNvPicPr preferRelativeResize="1">
          <a:picLocks noChangeAspect="1"/>
        </xdr:cNvPicPr>
      </xdr:nvPicPr>
      <xdr:blipFill>
        <a:blip r:embed="rId6"/>
        <a:stretch>
          <a:fillRect/>
        </a:stretch>
      </xdr:blipFill>
      <xdr:spPr>
        <a:xfrm>
          <a:off x="2971800" y="6000750"/>
          <a:ext cx="1076325" cy="0"/>
        </a:xfrm>
        <a:prstGeom prst="rect">
          <a:avLst/>
        </a:prstGeom>
        <a:noFill/>
        <a:ln w="9525" cmpd="sng">
          <a:noFill/>
        </a:ln>
      </xdr:spPr>
    </xdr:pic>
    <xdr:clientData/>
  </xdr:twoCellAnchor>
  <xdr:twoCellAnchor>
    <xdr:from>
      <xdr:col>2</xdr:col>
      <xdr:colOff>66675</xdr:colOff>
      <xdr:row>74</xdr:row>
      <xdr:rowOff>114300</xdr:rowOff>
    </xdr:from>
    <xdr:to>
      <xdr:col>3</xdr:col>
      <xdr:colOff>171450</xdr:colOff>
      <xdr:row>76</xdr:row>
      <xdr:rowOff>0</xdr:rowOff>
    </xdr:to>
    <xdr:pic>
      <xdr:nvPicPr>
        <xdr:cNvPr id="8" name="LampRadioButton"/>
        <xdr:cNvPicPr preferRelativeResize="1">
          <a:picLocks noChangeAspect="1"/>
        </xdr:cNvPicPr>
      </xdr:nvPicPr>
      <xdr:blipFill>
        <a:blip r:embed="rId7"/>
        <a:stretch>
          <a:fillRect/>
        </a:stretch>
      </xdr:blipFill>
      <xdr:spPr>
        <a:xfrm>
          <a:off x="2971800" y="6000750"/>
          <a:ext cx="876300" cy="0"/>
        </a:xfrm>
        <a:prstGeom prst="rect">
          <a:avLst/>
        </a:prstGeom>
        <a:noFill/>
        <a:ln w="9525" cmpd="sng">
          <a:noFill/>
        </a:ln>
      </xdr:spPr>
    </xdr:pic>
    <xdr:clientData/>
  </xdr:twoCellAnchor>
  <xdr:twoCellAnchor>
    <xdr:from>
      <xdr:col>4</xdr:col>
      <xdr:colOff>104775</xdr:colOff>
      <xdr:row>92</xdr:row>
      <xdr:rowOff>95250</xdr:rowOff>
    </xdr:from>
    <xdr:to>
      <xdr:col>6</xdr:col>
      <xdr:colOff>676275</xdr:colOff>
      <xdr:row>94</xdr:row>
      <xdr:rowOff>95250</xdr:rowOff>
    </xdr:to>
    <xdr:pic>
      <xdr:nvPicPr>
        <xdr:cNvPr id="9" name="CommandButton1"/>
        <xdr:cNvPicPr preferRelativeResize="1">
          <a:picLocks noChangeAspect="1"/>
        </xdr:cNvPicPr>
      </xdr:nvPicPr>
      <xdr:blipFill>
        <a:blip r:embed="rId8"/>
        <a:stretch>
          <a:fillRect/>
        </a:stretch>
      </xdr:blipFill>
      <xdr:spPr>
        <a:xfrm>
          <a:off x="4610100" y="6000750"/>
          <a:ext cx="22193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0</xdr:rowOff>
    </xdr:from>
    <xdr:to>
      <xdr:col>8</xdr:col>
      <xdr:colOff>1552575</xdr:colOff>
      <xdr:row>22</xdr:row>
      <xdr:rowOff>76200</xdr:rowOff>
    </xdr:to>
    <xdr:sp>
      <xdr:nvSpPr>
        <xdr:cNvPr id="1" name="Text Box 3"/>
        <xdr:cNvSpPr txBox="1">
          <a:spLocks noChangeArrowheads="1"/>
        </xdr:cNvSpPr>
      </xdr:nvSpPr>
      <xdr:spPr>
        <a:xfrm>
          <a:off x="771525" y="714375"/>
          <a:ext cx="10363200" cy="3648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module calculates carbon dioxide emissions embodied in pavement materials. The user can calculate emissions from major types of pavement layers (concrete, asphalt, cement treated aggregate, and aggregate) using data on volumes of finished layers and any recycled materials substituted for conventional materials. A separate section estimates emissions from any additional raw materials used in roadways or other infrastructure, such as rail tracks.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module captures  emissions associated with several lifecycle stages of infrastructure. Lifecycle stages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Stages in bold are captured within the Materials Module. The Materials Production stage is captured for all major material pavement layers, but is not captured for other raw materials input at the bottom of the module. Emissions from Materials Production include those associated with processing raw materials into secondary materials, such as producing cement mix from aggregate, water, and cement. Emissions from Materials transportation and installation are covered in separate modules within GreenDOT.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pavement layer, baseline scenario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are calculated assuming no use of recycled materials. Mitigated scenario emissions account for any substitution of recycled materials. The user is responsible for establishing appropriate mixing ratios for recycled materials.</a:t>
          </a:r>
        </a:p>
      </xdr:txBody>
    </xdr:sp>
    <xdr:clientData/>
  </xdr:twoCellAnchor>
  <xdr:twoCellAnchor>
    <xdr:from>
      <xdr:col>1</xdr:col>
      <xdr:colOff>257175</xdr:colOff>
      <xdr:row>10</xdr:row>
      <xdr:rowOff>57150</xdr:rowOff>
    </xdr:from>
    <xdr:to>
      <xdr:col>8</xdr:col>
      <xdr:colOff>1133475</xdr:colOff>
      <xdr:row>14</xdr:row>
      <xdr:rowOff>47625</xdr:rowOff>
    </xdr:to>
    <xdr:grpSp>
      <xdr:nvGrpSpPr>
        <xdr:cNvPr id="2" name="Group 40"/>
        <xdr:cNvGrpSpPr>
          <a:grpSpLocks/>
        </xdr:cNvGrpSpPr>
      </xdr:nvGrpSpPr>
      <xdr:grpSpPr>
        <a:xfrm>
          <a:off x="866775" y="2209800"/>
          <a:ext cx="9848850" cy="638175"/>
          <a:chOff x="41" y="227"/>
          <a:chExt cx="986" cy="79"/>
        </a:xfrm>
        <a:solidFill>
          <a:srgbClr val="FFFFFF"/>
        </a:solidFill>
      </xdr:grpSpPr>
      <xdr:sp>
        <xdr:nvSpPr>
          <xdr:cNvPr id="3" name="Rectangle 25"/>
          <xdr:cNvSpPr>
            <a:spLocks/>
          </xdr:cNvSpPr>
        </xdr:nvSpPr>
        <xdr:spPr>
          <a:xfrm>
            <a:off x="41" y="227"/>
            <a:ext cx="101" cy="78"/>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Calibri"/>
                <a:ea typeface="Calibri"/>
                <a:cs typeface="Calibri"/>
              </a:rPr>
              <a:t>Raw Materials Extraction</a:t>
            </a:r>
          </a:p>
        </xdr:txBody>
      </xdr:sp>
      <xdr:sp>
        <xdr:nvSpPr>
          <xdr:cNvPr id="4" name="Rectangle 26"/>
          <xdr:cNvSpPr>
            <a:spLocks/>
          </xdr:cNvSpPr>
        </xdr:nvSpPr>
        <xdr:spPr>
          <a:xfrm>
            <a:off x="164" y="227"/>
            <a:ext cx="101" cy="78"/>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Calibri"/>
                <a:ea typeface="Calibri"/>
                <a:cs typeface="Calibri"/>
              </a:rPr>
              <a:t>Raw Materials Transportation</a:t>
            </a:r>
          </a:p>
        </xdr:txBody>
      </xdr:sp>
      <xdr:sp>
        <xdr:nvSpPr>
          <xdr:cNvPr id="5" name="Rectangle 27"/>
          <xdr:cNvSpPr>
            <a:spLocks/>
          </xdr:cNvSpPr>
        </xdr:nvSpPr>
        <xdr:spPr>
          <a:xfrm>
            <a:off x="291" y="227"/>
            <a:ext cx="101" cy="79"/>
          </a:xfrm>
          <a:prstGeom prst="rect">
            <a:avLst/>
          </a:prstGeom>
          <a:solidFill>
            <a:srgbClr val="FFFFFF"/>
          </a:solidFill>
          <a:ln w="25400"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Calibri"/>
                <a:ea typeface="Calibri"/>
                <a:cs typeface="Calibri"/>
              </a:rPr>
              <a:t>Materials Production</a:t>
            </a:r>
          </a:p>
        </xdr:txBody>
      </xdr:sp>
      <xdr:sp>
        <xdr:nvSpPr>
          <xdr:cNvPr id="6" name="Rectangle 28"/>
          <xdr:cNvSpPr>
            <a:spLocks/>
          </xdr:cNvSpPr>
        </xdr:nvSpPr>
        <xdr:spPr>
          <a:xfrm>
            <a:off x="414" y="228"/>
            <a:ext cx="101" cy="78"/>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Calibri"/>
                <a:ea typeface="Calibri"/>
                <a:cs typeface="Calibri"/>
              </a:rPr>
              <a:t>Materials Transportation </a:t>
            </a:r>
            <a:r>
              <a:rPr lang="en-US" cap="none" sz="800" b="0" i="0" u="none" baseline="0">
                <a:solidFill>
                  <a:srgbClr val="000000"/>
                </a:solidFill>
                <a:latin typeface="Calibri"/>
                <a:ea typeface="Calibri"/>
                <a:cs typeface="Calibri"/>
              </a:rPr>
              <a:t>(On-Road Module) </a:t>
            </a:r>
          </a:p>
        </xdr:txBody>
      </xdr:sp>
      <xdr:sp>
        <xdr:nvSpPr>
          <xdr:cNvPr id="7" name="Rectangle 29"/>
          <xdr:cNvSpPr>
            <a:spLocks/>
          </xdr:cNvSpPr>
        </xdr:nvSpPr>
        <xdr:spPr>
          <a:xfrm>
            <a:off x="536" y="229"/>
            <a:ext cx="97" cy="7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Calibri"/>
                <a:ea typeface="Calibri"/>
                <a:cs typeface="Calibri"/>
              </a:rPr>
              <a:t>Materials Installation
</a:t>
            </a:r>
            <a:r>
              <a:rPr lang="en-US" cap="none" sz="800" b="0" i="0" u="none" baseline="0">
                <a:solidFill>
                  <a:srgbClr val="000000"/>
                </a:solidFill>
                <a:latin typeface="Calibri"/>
                <a:ea typeface="Calibri"/>
                <a:cs typeface="Calibri"/>
              </a:rPr>
              <a:t> (Off-Road Module)</a:t>
            </a:r>
          </a:p>
        </xdr:txBody>
      </xdr:sp>
      <xdr:sp>
        <xdr:nvSpPr>
          <xdr:cNvPr id="8" name="Rectangle 30"/>
          <xdr:cNvSpPr>
            <a:spLocks/>
          </xdr:cNvSpPr>
        </xdr:nvSpPr>
        <xdr:spPr>
          <a:xfrm>
            <a:off x="661" y="231"/>
            <a:ext cx="101"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Calibri"/>
                <a:ea typeface="Calibri"/>
                <a:cs typeface="Calibri"/>
              </a:rPr>
              <a:t>Infrastructure Operation</a:t>
            </a:r>
          </a:p>
        </xdr:txBody>
      </xdr:sp>
      <xdr:sp>
        <xdr:nvSpPr>
          <xdr:cNvPr id="9" name="Rectangle 31"/>
          <xdr:cNvSpPr>
            <a:spLocks/>
          </xdr:cNvSpPr>
        </xdr:nvSpPr>
        <xdr:spPr>
          <a:xfrm>
            <a:off x="784" y="231"/>
            <a:ext cx="101"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Calibri"/>
                <a:ea typeface="Calibri"/>
                <a:cs typeface="Calibri"/>
              </a:rPr>
              <a:t>Infrastructure Repair</a:t>
            </a:r>
          </a:p>
        </xdr:txBody>
      </xdr:sp>
      <xdr:sp>
        <xdr:nvSpPr>
          <xdr:cNvPr id="10" name="Rectangle 32"/>
          <xdr:cNvSpPr>
            <a:spLocks/>
          </xdr:cNvSpPr>
        </xdr:nvSpPr>
        <xdr:spPr>
          <a:xfrm>
            <a:off x="909" y="232"/>
            <a:ext cx="118" cy="74"/>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Calibri"/>
                <a:ea typeface="Calibri"/>
                <a:cs typeface="Calibri"/>
              </a:rPr>
              <a:t>Infrastructure Decommissioning/
</a:t>
            </a:r>
            <a:r>
              <a:rPr lang="en-US" cap="none" sz="1000" b="0" i="0" u="none" baseline="0">
                <a:solidFill>
                  <a:srgbClr val="000000"/>
                </a:solidFill>
                <a:latin typeface="Calibri"/>
                <a:ea typeface="Calibri"/>
                <a:cs typeface="Calibri"/>
              </a:rPr>
              <a:t>Disposal</a:t>
            </a:r>
          </a:p>
        </xdr:txBody>
      </xdr:sp>
      <xdr:sp>
        <xdr:nvSpPr>
          <xdr:cNvPr id="11" name="AutoShape 33"/>
          <xdr:cNvSpPr>
            <a:spLocks/>
          </xdr:cNvSpPr>
        </xdr:nvSpPr>
        <xdr:spPr>
          <a:xfrm>
            <a:off x="143" y="266"/>
            <a:ext cx="2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AutoShape 34"/>
          <xdr:cNvSpPr>
            <a:spLocks/>
          </xdr:cNvSpPr>
        </xdr:nvSpPr>
        <xdr:spPr>
          <a:xfrm>
            <a:off x="266" y="266"/>
            <a:ext cx="24" cy="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AutoShape 35"/>
          <xdr:cNvSpPr>
            <a:spLocks/>
          </xdr:cNvSpPr>
        </xdr:nvSpPr>
        <xdr:spPr>
          <a:xfrm>
            <a:off x="393" y="267"/>
            <a:ext cx="2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AutoShape 36"/>
          <xdr:cNvSpPr>
            <a:spLocks/>
          </xdr:cNvSpPr>
        </xdr:nvSpPr>
        <xdr:spPr>
          <a:xfrm>
            <a:off x="515" y="267"/>
            <a:ext cx="21" cy="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AutoShape 37"/>
          <xdr:cNvSpPr>
            <a:spLocks/>
          </xdr:cNvSpPr>
        </xdr:nvSpPr>
        <xdr:spPr>
          <a:xfrm flipV="1">
            <a:off x="637" y="267"/>
            <a:ext cx="24" cy="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AutoShape 38"/>
          <xdr:cNvSpPr>
            <a:spLocks/>
          </xdr:cNvSpPr>
        </xdr:nvSpPr>
        <xdr:spPr>
          <a:xfrm>
            <a:off x="762" y="267"/>
            <a:ext cx="22" cy="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AutoShape 39"/>
          <xdr:cNvSpPr>
            <a:spLocks/>
          </xdr:cNvSpPr>
        </xdr:nvSpPr>
        <xdr:spPr>
          <a:xfrm>
            <a:off x="885" y="268"/>
            <a:ext cx="24" cy="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editAs="oneCell">
    <xdr:from>
      <xdr:col>5</xdr:col>
      <xdr:colOff>1285875</xdr:colOff>
      <xdr:row>0</xdr:row>
      <xdr:rowOff>85725</xdr:rowOff>
    </xdr:from>
    <xdr:to>
      <xdr:col>5</xdr:col>
      <xdr:colOff>2314575</xdr:colOff>
      <xdr:row>0</xdr:row>
      <xdr:rowOff>381000</xdr:rowOff>
    </xdr:to>
    <xdr:pic>
      <xdr:nvPicPr>
        <xdr:cNvPr id="18" name="ResetMaterials"/>
        <xdr:cNvPicPr preferRelativeResize="1">
          <a:picLocks noChangeAspect="1"/>
        </xdr:cNvPicPr>
      </xdr:nvPicPr>
      <xdr:blipFill>
        <a:blip r:embed="rId1"/>
        <a:stretch>
          <a:fillRect/>
        </a:stretch>
      </xdr:blipFill>
      <xdr:spPr>
        <a:xfrm>
          <a:off x="6562725" y="85725"/>
          <a:ext cx="1028700" cy="295275"/>
        </a:xfrm>
        <a:prstGeom prst="rect">
          <a:avLst/>
        </a:prstGeom>
        <a:noFill/>
        <a:ln w="9525" cmpd="sng">
          <a:noFill/>
        </a:ln>
      </xdr:spPr>
    </xdr:pic>
    <xdr:clientData/>
  </xdr:twoCellAnchor>
  <xdr:twoCellAnchor editAs="oneCell">
    <xdr:from>
      <xdr:col>8</xdr:col>
      <xdr:colOff>990600</xdr:colOff>
      <xdr:row>0</xdr:row>
      <xdr:rowOff>95250</xdr:rowOff>
    </xdr:from>
    <xdr:to>
      <xdr:col>9</xdr:col>
      <xdr:colOff>419100</xdr:colOff>
      <xdr:row>0</xdr:row>
      <xdr:rowOff>390525</xdr:rowOff>
    </xdr:to>
    <xdr:pic>
      <xdr:nvPicPr>
        <xdr:cNvPr id="19" name="GoToMain"/>
        <xdr:cNvPicPr preferRelativeResize="1">
          <a:picLocks noChangeAspect="1"/>
        </xdr:cNvPicPr>
      </xdr:nvPicPr>
      <xdr:blipFill>
        <a:blip r:embed="rId2"/>
        <a:stretch>
          <a:fillRect/>
        </a:stretch>
      </xdr:blipFill>
      <xdr:spPr>
        <a:xfrm>
          <a:off x="10572750" y="95250"/>
          <a:ext cx="1143000" cy="295275"/>
        </a:xfrm>
        <a:prstGeom prst="rect">
          <a:avLst/>
        </a:prstGeom>
        <a:noFill/>
        <a:ln w="9525" cmpd="sng">
          <a:noFill/>
        </a:ln>
      </xdr:spPr>
    </xdr:pic>
    <xdr:clientData/>
  </xdr:twoCellAnchor>
  <xdr:twoCellAnchor editAs="oneCell">
    <xdr:from>
      <xdr:col>6</xdr:col>
      <xdr:colOff>533400</xdr:colOff>
      <xdr:row>0</xdr:row>
      <xdr:rowOff>95250</xdr:rowOff>
    </xdr:from>
    <xdr:to>
      <xdr:col>8</xdr:col>
      <xdr:colOff>571500</xdr:colOff>
      <xdr:row>0</xdr:row>
      <xdr:rowOff>390525</xdr:rowOff>
    </xdr:to>
    <xdr:pic>
      <xdr:nvPicPr>
        <xdr:cNvPr id="20" name="CommandButton4"/>
        <xdr:cNvPicPr preferRelativeResize="1">
          <a:picLocks noChangeAspect="1"/>
        </xdr:cNvPicPr>
      </xdr:nvPicPr>
      <xdr:blipFill>
        <a:blip r:embed="rId3"/>
        <a:stretch>
          <a:fillRect/>
        </a:stretch>
      </xdr:blipFill>
      <xdr:spPr>
        <a:xfrm>
          <a:off x="8639175" y="95250"/>
          <a:ext cx="1514475" cy="295275"/>
        </a:xfrm>
        <a:prstGeom prst="rect">
          <a:avLst/>
        </a:prstGeom>
        <a:noFill/>
        <a:ln w="9525" cmpd="sng">
          <a:noFill/>
        </a:ln>
      </xdr:spPr>
    </xdr:pic>
    <xdr:clientData/>
  </xdr:twoCellAnchor>
  <xdr:twoCellAnchor editAs="oneCell">
    <xdr:from>
      <xdr:col>1</xdr:col>
      <xdr:colOff>95250</xdr:colOff>
      <xdr:row>50</xdr:row>
      <xdr:rowOff>0</xdr:rowOff>
    </xdr:from>
    <xdr:to>
      <xdr:col>2</xdr:col>
      <xdr:colOff>981075</xdr:colOff>
      <xdr:row>51</xdr:row>
      <xdr:rowOff>133350</xdr:rowOff>
    </xdr:to>
    <xdr:pic>
      <xdr:nvPicPr>
        <xdr:cNvPr id="21" name="CommandButton2"/>
        <xdr:cNvPicPr preferRelativeResize="1">
          <a:picLocks noChangeAspect="1"/>
        </xdr:cNvPicPr>
      </xdr:nvPicPr>
      <xdr:blipFill>
        <a:blip r:embed="rId4"/>
        <a:stretch>
          <a:fillRect/>
        </a:stretch>
      </xdr:blipFill>
      <xdr:spPr>
        <a:xfrm>
          <a:off x="704850" y="9144000"/>
          <a:ext cx="2133600" cy="295275"/>
        </a:xfrm>
        <a:prstGeom prst="rect">
          <a:avLst/>
        </a:prstGeom>
        <a:noFill/>
        <a:ln w="9525" cmpd="sng">
          <a:noFill/>
        </a:ln>
      </xdr:spPr>
    </xdr:pic>
    <xdr:clientData/>
  </xdr:twoCellAnchor>
  <xdr:twoCellAnchor editAs="oneCell">
    <xdr:from>
      <xdr:col>1</xdr:col>
      <xdr:colOff>95250</xdr:colOff>
      <xdr:row>70</xdr:row>
      <xdr:rowOff>0</xdr:rowOff>
    </xdr:from>
    <xdr:to>
      <xdr:col>2</xdr:col>
      <xdr:colOff>981075</xdr:colOff>
      <xdr:row>71</xdr:row>
      <xdr:rowOff>133350</xdr:rowOff>
    </xdr:to>
    <xdr:pic>
      <xdr:nvPicPr>
        <xdr:cNvPr id="22" name="CommandButton3"/>
        <xdr:cNvPicPr preferRelativeResize="1">
          <a:picLocks noChangeAspect="1"/>
        </xdr:cNvPicPr>
      </xdr:nvPicPr>
      <xdr:blipFill>
        <a:blip r:embed="rId5"/>
        <a:stretch>
          <a:fillRect/>
        </a:stretch>
      </xdr:blipFill>
      <xdr:spPr>
        <a:xfrm>
          <a:off x="704850" y="12496800"/>
          <a:ext cx="2133600" cy="295275"/>
        </a:xfrm>
        <a:prstGeom prst="rect">
          <a:avLst/>
        </a:prstGeom>
        <a:noFill/>
        <a:ln w="9525" cmpd="sng">
          <a:noFill/>
        </a:ln>
      </xdr:spPr>
    </xdr:pic>
    <xdr:clientData/>
  </xdr:twoCellAnchor>
  <xdr:twoCellAnchor editAs="oneCell">
    <xdr:from>
      <xdr:col>1</xdr:col>
      <xdr:colOff>95250</xdr:colOff>
      <xdr:row>93</xdr:row>
      <xdr:rowOff>0</xdr:rowOff>
    </xdr:from>
    <xdr:to>
      <xdr:col>2</xdr:col>
      <xdr:colOff>981075</xdr:colOff>
      <xdr:row>94</xdr:row>
      <xdr:rowOff>133350</xdr:rowOff>
    </xdr:to>
    <xdr:pic>
      <xdr:nvPicPr>
        <xdr:cNvPr id="23" name="CommandButton5"/>
        <xdr:cNvPicPr preferRelativeResize="1">
          <a:picLocks noChangeAspect="1"/>
        </xdr:cNvPicPr>
      </xdr:nvPicPr>
      <xdr:blipFill>
        <a:blip r:embed="rId6"/>
        <a:stretch>
          <a:fillRect/>
        </a:stretch>
      </xdr:blipFill>
      <xdr:spPr>
        <a:xfrm>
          <a:off x="704850" y="16306800"/>
          <a:ext cx="2133600" cy="295275"/>
        </a:xfrm>
        <a:prstGeom prst="rect">
          <a:avLst/>
        </a:prstGeom>
        <a:noFill/>
        <a:ln w="9525" cmpd="sng">
          <a:noFill/>
        </a:ln>
      </xdr:spPr>
    </xdr:pic>
    <xdr:clientData/>
  </xdr:twoCellAnchor>
  <xdr:twoCellAnchor editAs="oneCell">
    <xdr:from>
      <xdr:col>1</xdr:col>
      <xdr:colOff>95250</xdr:colOff>
      <xdr:row>113</xdr:row>
      <xdr:rowOff>0</xdr:rowOff>
    </xdr:from>
    <xdr:to>
      <xdr:col>2</xdr:col>
      <xdr:colOff>981075</xdr:colOff>
      <xdr:row>114</xdr:row>
      <xdr:rowOff>123825</xdr:rowOff>
    </xdr:to>
    <xdr:pic>
      <xdr:nvPicPr>
        <xdr:cNvPr id="24" name="CommandButton6"/>
        <xdr:cNvPicPr preferRelativeResize="1">
          <a:picLocks noChangeAspect="1"/>
        </xdr:cNvPicPr>
      </xdr:nvPicPr>
      <xdr:blipFill>
        <a:blip r:embed="rId7"/>
        <a:stretch>
          <a:fillRect/>
        </a:stretch>
      </xdr:blipFill>
      <xdr:spPr>
        <a:xfrm>
          <a:off x="704850" y="19631025"/>
          <a:ext cx="2133600"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66675</xdr:rowOff>
    </xdr:from>
    <xdr:to>
      <xdr:col>11</xdr:col>
      <xdr:colOff>561975</xdr:colOff>
      <xdr:row>9</xdr:row>
      <xdr:rowOff>47625</xdr:rowOff>
    </xdr:to>
    <xdr:sp>
      <xdr:nvSpPr>
        <xdr:cNvPr id="1" name="Text Box 3"/>
        <xdr:cNvSpPr txBox="1">
          <a:spLocks noChangeArrowheads="1"/>
        </xdr:cNvSpPr>
      </xdr:nvSpPr>
      <xdr:spPr>
        <a:xfrm>
          <a:off x="161925" y="590550"/>
          <a:ext cx="11315700" cy="1714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Calibri"/>
              <a:ea typeface="Calibri"/>
              <a:cs typeface="Calibri"/>
            </a:rPr>
            <a:t>Instructions: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module calculates CO2 emissions from on-road vehicles including cars, light trucks, medium duty trucks, and heavy duty trucks. The module can be used to estimate emissions from DOTs' fleets of passenger vehicles and on-road maintenance vehicles, and to estimate emissions from vehicles used to haul materials and waste for construction projects. The user can enter data on total fuel consumption by volume, if that data is available. Alternatively, the user can enter detailed data on the number of miles driven in different vehicle types, and average vehicle fuel economies.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calculated, baseline emissions represent emissions from existing vehicle fleets powered by fossil fuels or electricity. Mitigated emissions account for the use of biofuels and a variety of strategies that can improve the fuel economy of existing vehicles. Note that any changes to the amount of driving or types of vehicles driven are reflected in the baseline. The user should conduct a second model run in order to compare the effects of strategies such as switching to newer vehicles or vehicles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powered by alternative technologies.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7</xdr:col>
      <xdr:colOff>695325</xdr:colOff>
      <xdr:row>80</xdr:row>
      <xdr:rowOff>57150</xdr:rowOff>
    </xdr:from>
    <xdr:to>
      <xdr:col>8</xdr:col>
      <xdr:colOff>838200</xdr:colOff>
      <xdr:row>81</xdr:row>
      <xdr:rowOff>85725</xdr:rowOff>
    </xdr:to>
    <xdr:sp>
      <xdr:nvSpPr>
        <xdr:cNvPr id="2" name="AutoShape 16"/>
        <xdr:cNvSpPr>
          <a:spLocks/>
        </xdr:cNvSpPr>
      </xdr:nvSpPr>
      <xdr:spPr>
        <a:xfrm rot="5400000">
          <a:off x="7591425" y="4267200"/>
          <a:ext cx="1200150" cy="0"/>
        </a:xfrm>
        <a:prstGeom prst="bentConnector4">
          <a:avLst>
            <a:gd name="adj1" fmla="val -36365"/>
            <a:gd name="adj2" fmla="val 7124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180975</xdr:colOff>
      <xdr:row>89</xdr:row>
      <xdr:rowOff>161925</xdr:rowOff>
    </xdr:from>
    <xdr:to>
      <xdr:col>9</xdr:col>
      <xdr:colOff>219075</xdr:colOff>
      <xdr:row>91</xdr:row>
      <xdr:rowOff>152400</xdr:rowOff>
    </xdr:to>
    <xdr:pic>
      <xdr:nvPicPr>
        <xdr:cNvPr id="3" name="GoToMitigationButton"/>
        <xdr:cNvPicPr preferRelativeResize="1">
          <a:picLocks noChangeAspect="1"/>
        </xdr:cNvPicPr>
      </xdr:nvPicPr>
      <xdr:blipFill>
        <a:blip r:embed="rId1"/>
        <a:stretch>
          <a:fillRect/>
        </a:stretch>
      </xdr:blipFill>
      <xdr:spPr>
        <a:xfrm>
          <a:off x="7077075" y="4267200"/>
          <a:ext cx="2609850" cy="0"/>
        </a:xfrm>
        <a:prstGeom prst="rect">
          <a:avLst/>
        </a:prstGeom>
        <a:noFill/>
        <a:ln w="9525" cmpd="sng">
          <a:noFill/>
        </a:ln>
      </xdr:spPr>
    </xdr:pic>
    <xdr:clientData/>
  </xdr:twoCellAnchor>
  <xdr:twoCellAnchor>
    <xdr:from>
      <xdr:col>7</xdr:col>
      <xdr:colOff>809625</xdr:colOff>
      <xdr:row>80</xdr:row>
      <xdr:rowOff>133350</xdr:rowOff>
    </xdr:from>
    <xdr:to>
      <xdr:col>9</xdr:col>
      <xdr:colOff>171450</xdr:colOff>
      <xdr:row>82</xdr:row>
      <xdr:rowOff>57150</xdr:rowOff>
    </xdr:to>
    <xdr:pic>
      <xdr:nvPicPr>
        <xdr:cNvPr id="4" name="GoToMPGButton"/>
        <xdr:cNvPicPr preferRelativeResize="1">
          <a:picLocks noChangeAspect="1"/>
        </xdr:cNvPicPr>
      </xdr:nvPicPr>
      <xdr:blipFill>
        <a:blip r:embed="rId2"/>
        <a:stretch>
          <a:fillRect/>
        </a:stretch>
      </xdr:blipFill>
      <xdr:spPr>
        <a:xfrm>
          <a:off x="7705725" y="4267200"/>
          <a:ext cx="1933575" cy="0"/>
        </a:xfrm>
        <a:prstGeom prst="rect">
          <a:avLst/>
        </a:prstGeom>
        <a:noFill/>
        <a:ln w="9525" cmpd="sng">
          <a:noFill/>
        </a:ln>
      </xdr:spPr>
    </xdr:pic>
    <xdr:clientData/>
  </xdr:twoCellAnchor>
  <xdr:twoCellAnchor>
    <xdr:from>
      <xdr:col>1</xdr:col>
      <xdr:colOff>266700</xdr:colOff>
      <xdr:row>11</xdr:row>
      <xdr:rowOff>180975</xdr:rowOff>
    </xdr:from>
    <xdr:to>
      <xdr:col>4</xdr:col>
      <xdr:colOff>400050</xdr:colOff>
      <xdr:row>13</xdr:row>
      <xdr:rowOff>133350</xdr:rowOff>
    </xdr:to>
    <xdr:pic>
      <xdr:nvPicPr>
        <xdr:cNvPr id="5" name="Onroad1Button"/>
        <xdr:cNvPicPr preferRelativeResize="1">
          <a:picLocks noChangeAspect="1"/>
        </xdr:cNvPicPr>
      </xdr:nvPicPr>
      <xdr:blipFill>
        <a:blip r:embed="rId3"/>
        <a:stretch>
          <a:fillRect/>
        </a:stretch>
      </xdr:blipFill>
      <xdr:spPr>
        <a:xfrm>
          <a:off x="876300" y="2819400"/>
          <a:ext cx="4781550" cy="314325"/>
        </a:xfrm>
        <a:prstGeom prst="rect">
          <a:avLst/>
        </a:prstGeom>
        <a:noFill/>
        <a:ln w="9525" cmpd="sng">
          <a:noFill/>
        </a:ln>
      </xdr:spPr>
    </xdr:pic>
    <xdr:clientData/>
  </xdr:twoCellAnchor>
  <xdr:twoCellAnchor>
    <xdr:from>
      <xdr:col>1</xdr:col>
      <xdr:colOff>266700</xdr:colOff>
      <xdr:row>13</xdr:row>
      <xdr:rowOff>76200</xdr:rowOff>
    </xdr:from>
    <xdr:to>
      <xdr:col>5</xdr:col>
      <xdr:colOff>428625</xdr:colOff>
      <xdr:row>15</xdr:row>
      <xdr:rowOff>95250</xdr:rowOff>
    </xdr:to>
    <xdr:pic>
      <xdr:nvPicPr>
        <xdr:cNvPr id="6" name="Onroad2Button"/>
        <xdr:cNvPicPr preferRelativeResize="1">
          <a:picLocks noChangeAspect="1"/>
        </xdr:cNvPicPr>
      </xdr:nvPicPr>
      <xdr:blipFill>
        <a:blip r:embed="rId4"/>
        <a:stretch>
          <a:fillRect/>
        </a:stretch>
      </xdr:blipFill>
      <xdr:spPr>
        <a:xfrm>
          <a:off x="876300" y="3076575"/>
          <a:ext cx="5553075" cy="381000"/>
        </a:xfrm>
        <a:prstGeom prst="rect">
          <a:avLst/>
        </a:prstGeom>
        <a:noFill/>
        <a:ln w="9525" cmpd="sng">
          <a:noFill/>
        </a:ln>
      </xdr:spPr>
    </xdr:pic>
    <xdr:clientData/>
  </xdr:twoCellAnchor>
  <xdr:twoCellAnchor editAs="oneCell">
    <xdr:from>
      <xdr:col>5</xdr:col>
      <xdr:colOff>609600</xdr:colOff>
      <xdr:row>0</xdr:row>
      <xdr:rowOff>123825</xdr:rowOff>
    </xdr:from>
    <xdr:to>
      <xdr:col>7</xdr:col>
      <xdr:colOff>866775</xdr:colOff>
      <xdr:row>0</xdr:row>
      <xdr:rowOff>419100</xdr:rowOff>
    </xdr:to>
    <xdr:pic>
      <xdr:nvPicPr>
        <xdr:cNvPr id="7" name="OnroadResetButton"/>
        <xdr:cNvPicPr preferRelativeResize="1">
          <a:picLocks noChangeAspect="1"/>
        </xdr:cNvPicPr>
      </xdr:nvPicPr>
      <xdr:blipFill>
        <a:blip r:embed="rId5"/>
        <a:stretch>
          <a:fillRect/>
        </a:stretch>
      </xdr:blipFill>
      <xdr:spPr>
        <a:xfrm>
          <a:off x="6610350" y="123825"/>
          <a:ext cx="1152525" cy="295275"/>
        </a:xfrm>
        <a:prstGeom prst="rect">
          <a:avLst/>
        </a:prstGeom>
        <a:noFill/>
        <a:ln w="9525" cmpd="sng">
          <a:noFill/>
        </a:ln>
      </xdr:spPr>
    </xdr:pic>
    <xdr:clientData/>
  </xdr:twoCellAnchor>
  <xdr:twoCellAnchor editAs="oneCell">
    <xdr:from>
      <xdr:col>8</xdr:col>
      <xdr:colOff>238125</xdr:colOff>
      <xdr:row>0</xdr:row>
      <xdr:rowOff>123825</xdr:rowOff>
    </xdr:from>
    <xdr:to>
      <xdr:col>8</xdr:col>
      <xdr:colOff>1381125</xdr:colOff>
      <xdr:row>0</xdr:row>
      <xdr:rowOff>419100</xdr:rowOff>
    </xdr:to>
    <xdr:pic>
      <xdr:nvPicPr>
        <xdr:cNvPr id="8" name="GotoMainButton"/>
        <xdr:cNvPicPr preferRelativeResize="1">
          <a:picLocks noChangeAspect="1"/>
        </xdr:cNvPicPr>
      </xdr:nvPicPr>
      <xdr:blipFill>
        <a:blip r:embed="rId6"/>
        <a:stretch>
          <a:fillRect/>
        </a:stretch>
      </xdr:blipFill>
      <xdr:spPr>
        <a:xfrm>
          <a:off x="8191500" y="123825"/>
          <a:ext cx="1143000" cy="295275"/>
        </a:xfrm>
        <a:prstGeom prst="rect">
          <a:avLst/>
        </a:prstGeom>
        <a:noFill/>
        <a:ln w="9525" cmpd="sng">
          <a:noFill/>
        </a:ln>
      </xdr:spPr>
    </xdr:pic>
    <xdr:clientData/>
  </xdr:twoCellAnchor>
  <xdr:twoCellAnchor>
    <xdr:from>
      <xdr:col>7</xdr:col>
      <xdr:colOff>285750</xdr:colOff>
      <xdr:row>76</xdr:row>
      <xdr:rowOff>133350</xdr:rowOff>
    </xdr:from>
    <xdr:to>
      <xdr:col>9</xdr:col>
      <xdr:colOff>571500</xdr:colOff>
      <xdr:row>78</xdr:row>
      <xdr:rowOff>57150</xdr:rowOff>
    </xdr:to>
    <xdr:pic>
      <xdr:nvPicPr>
        <xdr:cNvPr id="9" name="CYButton"/>
        <xdr:cNvPicPr preferRelativeResize="1">
          <a:picLocks noChangeAspect="1"/>
        </xdr:cNvPicPr>
      </xdr:nvPicPr>
      <xdr:blipFill>
        <a:blip r:embed="rId7"/>
        <a:stretch>
          <a:fillRect/>
        </a:stretch>
      </xdr:blipFill>
      <xdr:spPr>
        <a:xfrm>
          <a:off x="7181850" y="4267200"/>
          <a:ext cx="2857500" cy="0"/>
        </a:xfrm>
        <a:prstGeom prst="rect">
          <a:avLst/>
        </a:prstGeom>
        <a:noFill/>
        <a:ln w="9525" cmpd="sng">
          <a:noFill/>
        </a:ln>
      </xdr:spPr>
    </xdr:pic>
    <xdr:clientData/>
  </xdr:twoCellAnchor>
  <xdr:twoCellAnchor>
    <xdr:from>
      <xdr:col>7</xdr:col>
      <xdr:colOff>285750</xdr:colOff>
      <xdr:row>78</xdr:row>
      <xdr:rowOff>133350</xdr:rowOff>
    </xdr:from>
    <xdr:to>
      <xdr:col>10</xdr:col>
      <xdr:colOff>142875</xdr:colOff>
      <xdr:row>80</xdr:row>
      <xdr:rowOff>57150</xdr:rowOff>
    </xdr:to>
    <xdr:pic>
      <xdr:nvPicPr>
        <xdr:cNvPr id="10" name="MYButton"/>
        <xdr:cNvPicPr preferRelativeResize="1">
          <a:picLocks noChangeAspect="1"/>
        </xdr:cNvPicPr>
      </xdr:nvPicPr>
      <xdr:blipFill>
        <a:blip r:embed="rId8"/>
        <a:stretch>
          <a:fillRect/>
        </a:stretch>
      </xdr:blipFill>
      <xdr:spPr>
        <a:xfrm>
          <a:off x="7181850" y="4267200"/>
          <a:ext cx="3038475" cy="0"/>
        </a:xfrm>
        <a:prstGeom prst="rect">
          <a:avLst/>
        </a:prstGeom>
        <a:noFill/>
        <a:ln w="9525" cmpd="sng">
          <a:noFill/>
        </a:ln>
      </xdr:spPr>
    </xdr:pic>
    <xdr:clientData/>
  </xdr:twoCellAnchor>
  <xdr:twoCellAnchor>
    <xdr:from>
      <xdr:col>7</xdr:col>
      <xdr:colOff>285750</xdr:colOff>
      <xdr:row>82</xdr:row>
      <xdr:rowOff>104775</xdr:rowOff>
    </xdr:from>
    <xdr:to>
      <xdr:col>8</xdr:col>
      <xdr:colOff>904875</xdr:colOff>
      <xdr:row>84</xdr:row>
      <xdr:rowOff>28575</xdr:rowOff>
    </xdr:to>
    <xdr:pic>
      <xdr:nvPicPr>
        <xdr:cNvPr id="11" name="ClearMPGButton"/>
        <xdr:cNvPicPr preferRelativeResize="1">
          <a:picLocks noChangeAspect="1"/>
        </xdr:cNvPicPr>
      </xdr:nvPicPr>
      <xdr:blipFill>
        <a:blip r:embed="rId9"/>
        <a:stretch>
          <a:fillRect/>
        </a:stretch>
      </xdr:blipFill>
      <xdr:spPr>
        <a:xfrm>
          <a:off x="7181850" y="4267200"/>
          <a:ext cx="1676400" cy="0"/>
        </a:xfrm>
        <a:prstGeom prst="rect">
          <a:avLst/>
        </a:prstGeom>
        <a:noFill/>
        <a:ln w="9525" cmpd="sng">
          <a:noFill/>
        </a:ln>
      </xdr:spPr>
    </xdr:pic>
    <xdr:clientData/>
  </xdr:twoCellAnchor>
  <xdr:twoCellAnchor>
    <xdr:from>
      <xdr:col>5</xdr:col>
      <xdr:colOff>485775</xdr:colOff>
      <xdr:row>53</xdr:row>
      <xdr:rowOff>85725</xdr:rowOff>
    </xdr:from>
    <xdr:to>
      <xdr:col>7</xdr:col>
      <xdr:colOff>542925</xdr:colOff>
      <xdr:row>53</xdr:row>
      <xdr:rowOff>400050</xdr:rowOff>
    </xdr:to>
    <xdr:pic>
      <xdr:nvPicPr>
        <xdr:cNvPr id="12" name="OnTier2Reset"/>
        <xdr:cNvPicPr preferRelativeResize="1">
          <a:picLocks noChangeAspect="1"/>
        </xdr:cNvPicPr>
      </xdr:nvPicPr>
      <xdr:blipFill>
        <a:blip r:embed="rId10"/>
        <a:stretch>
          <a:fillRect/>
        </a:stretch>
      </xdr:blipFill>
      <xdr:spPr>
        <a:xfrm>
          <a:off x="6486525" y="4267200"/>
          <a:ext cx="952500" cy="0"/>
        </a:xfrm>
        <a:prstGeom prst="rect">
          <a:avLst/>
        </a:prstGeom>
        <a:noFill/>
        <a:ln w="9525" cmpd="sng">
          <a:noFill/>
        </a:ln>
      </xdr:spPr>
    </xdr:pic>
    <xdr:clientData/>
  </xdr:twoCellAnchor>
  <xdr:twoCellAnchor>
    <xdr:from>
      <xdr:col>3</xdr:col>
      <xdr:colOff>476250</xdr:colOff>
      <xdr:row>35</xdr:row>
      <xdr:rowOff>19050</xdr:rowOff>
    </xdr:from>
    <xdr:to>
      <xdr:col>5</xdr:col>
      <xdr:colOff>390525</xdr:colOff>
      <xdr:row>37</xdr:row>
      <xdr:rowOff>19050</xdr:rowOff>
    </xdr:to>
    <xdr:pic>
      <xdr:nvPicPr>
        <xdr:cNvPr id="13" name="OnTier1Ass"/>
        <xdr:cNvPicPr preferRelativeResize="1">
          <a:picLocks noChangeAspect="1"/>
        </xdr:cNvPicPr>
      </xdr:nvPicPr>
      <xdr:blipFill>
        <a:blip r:embed="rId11"/>
        <a:stretch>
          <a:fillRect/>
        </a:stretch>
      </xdr:blipFill>
      <xdr:spPr>
        <a:xfrm>
          <a:off x="4762500" y="4267200"/>
          <a:ext cx="1628775" cy="0"/>
        </a:xfrm>
        <a:prstGeom prst="rect">
          <a:avLst/>
        </a:prstGeom>
        <a:noFill/>
        <a:ln w="9525" cmpd="sng">
          <a:noFill/>
        </a:ln>
      </xdr:spPr>
    </xdr:pic>
    <xdr:clientData/>
  </xdr:twoCellAnchor>
  <xdr:twoCellAnchor>
    <xdr:from>
      <xdr:col>4</xdr:col>
      <xdr:colOff>266700</xdr:colOff>
      <xdr:row>102</xdr:row>
      <xdr:rowOff>171450</xdr:rowOff>
    </xdr:from>
    <xdr:to>
      <xdr:col>7</xdr:col>
      <xdr:colOff>95250</xdr:colOff>
      <xdr:row>104</xdr:row>
      <xdr:rowOff>95250</xdr:rowOff>
    </xdr:to>
    <xdr:pic>
      <xdr:nvPicPr>
        <xdr:cNvPr id="14" name="OnTier2_2Ass"/>
        <xdr:cNvPicPr preferRelativeResize="1">
          <a:picLocks noChangeAspect="1"/>
        </xdr:cNvPicPr>
      </xdr:nvPicPr>
      <xdr:blipFill>
        <a:blip r:embed="rId12"/>
        <a:stretch>
          <a:fillRect/>
        </a:stretch>
      </xdr:blipFill>
      <xdr:spPr>
        <a:xfrm>
          <a:off x="5524500" y="4267200"/>
          <a:ext cx="1466850" cy="0"/>
        </a:xfrm>
        <a:prstGeom prst="rect">
          <a:avLst/>
        </a:prstGeom>
        <a:noFill/>
        <a:ln w="9525" cmpd="sng">
          <a:noFill/>
        </a:ln>
      </xdr:spPr>
    </xdr:pic>
    <xdr:clientData/>
  </xdr:twoCellAnchor>
  <xdr:twoCellAnchor>
    <xdr:from>
      <xdr:col>7</xdr:col>
      <xdr:colOff>66675</xdr:colOff>
      <xdr:row>62</xdr:row>
      <xdr:rowOff>85725</xdr:rowOff>
    </xdr:from>
    <xdr:to>
      <xdr:col>9</xdr:col>
      <xdr:colOff>0</xdr:colOff>
      <xdr:row>64</xdr:row>
      <xdr:rowOff>28575</xdr:rowOff>
    </xdr:to>
    <xdr:pic>
      <xdr:nvPicPr>
        <xdr:cNvPr id="15" name="CommandButton1"/>
        <xdr:cNvPicPr preferRelativeResize="1">
          <a:picLocks noChangeAspect="1"/>
        </xdr:cNvPicPr>
      </xdr:nvPicPr>
      <xdr:blipFill>
        <a:blip r:embed="rId13"/>
        <a:stretch>
          <a:fillRect/>
        </a:stretch>
      </xdr:blipFill>
      <xdr:spPr>
        <a:xfrm>
          <a:off x="6962775" y="4267200"/>
          <a:ext cx="25050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0</xdr:rowOff>
    </xdr:from>
    <xdr:to>
      <xdr:col>11</xdr:col>
      <xdr:colOff>723900</xdr:colOff>
      <xdr:row>14</xdr:row>
      <xdr:rowOff>114300</xdr:rowOff>
    </xdr:to>
    <xdr:sp>
      <xdr:nvSpPr>
        <xdr:cNvPr id="1" name="Text Box 3"/>
        <xdr:cNvSpPr txBox="1">
          <a:spLocks noChangeArrowheads="1"/>
        </xdr:cNvSpPr>
      </xdr:nvSpPr>
      <xdr:spPr>
        <a:xfrm>
          <a:off x="276225" y="714375"/>
          <a:ext cx="11096625" cy="2038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Calibri"/>
              <a:ea typeface="Calibri"/>
              <a:cs typeface="Calibri"/>
            </a:rPr>
            <a:t>Instructions: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module calculates CO2 emissions from off-road vehicles used in construction and maintenance of road systems. The module can be used to estimate emissions from fuel use in off-road fleets on an annual basis, or emissions associated with a specific project. The user can enter data on aggregate fuel use, or fuel use disaggregated by equipment type. Alternatively, the user can enter detailed  activity data on pieces of equipment and number of hours used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calculated, baseline emissions represent emissions from existing equipment powered by fossil fuels or electricity. Mitigated emissions account for the use of biofuels and several strategies that can improve the fuel economy of existing vehicles. Note that any changes to the amount of activity or types of equipment used are reflected in the baseline. The user should conduct a second model run in order to compare the effects of strategies such as reducing equipment use or switching to equipment powered by alternative technologies.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user is responsible for selecting appropriate mitigation strategies for each equipment type.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285750</xdr:colOff>
      <xdr:row>0</xdr:row>
      <xdr:rowOff>123825</xdr:rowOff>
    </xdr:from>
    <xdr:to>
      <xdr:col>4</xdr:col>
      <xdr:colOff>523875</xdr:colOff>
      <xdr:row>0</xdr:row>
      <xdr:rowOff>428625</xdr:rowOff>
    </xdr:to>
    <xdr:pic>
      <xdr:nvPicPr>
        <xdr:cNvPr id="2" name="ResetOffroadModule"/>
        <xdr:cNvPicPr preferRelativeResize="1">
          <a:picLocks noChangeAspect="1"/>
        </xdr:cNvPicPr>
      </xdr:nvPicPr>
      <xdr:blipFill>
        <a:blip r:embed="rId1"/>
        <a:stretch>
          <a:fillRect/>
        </a:stretch>
      </xdr:blipFill>
      <xdr:spPr>
        <a:xfrm>
          <a:off x="3724275" y="123825"/>
          <a:ext cx="1266825" cy="304800"/>
        </a:xfrm>
        <a:prstGeom prst="rect">
          <a:avLst/>
        </a:prstGeom>
        <a:noFill/>
        <a:ln w="9525" cmpd="sng">
          <a:noFill/>
        </a:ln>
      </xdr:spPr>
    </xdr:pic>
    <xdr:clientData/>
  </xdr:twoCellAnchor>
  <xdr:twoCellAnchor editAs="oneCell">
    <xdr:from>
      <xdr:col>6</xdr:col>
      <xdr:colOff>828675</xdr:colOff>
      <xdr:row>0</xdr:row>
      <xdr:rowOff>114300</xdr:rowOff>
    </xdr:from>
    <xdr:to>
      <xdr:col>8</xdr:col>
      <xdr:colOff>361950</xdr:colOff>
      <xdr:row>0</xdr:row>
      <xdr:rowOff>419100</xdr:rowOff>
    </xdr:to>
    <xdr:pic>
      <xdr:nvPicPr>
        <xdr:cNvPr id="3" name="GoToMain"/>
        <xdr:cNvPicPr preferRelativeResize="1">
          <a:picLocks noChangeAspect="1"/>
        </xdr:cNvPicPr>
      </xdr:nvPicPr>
      <xdr:blipFill>
        <a:blip r:embed="rId2"/>
        <a:stretch>
          <a:fillRect/>
        </a:stretch>
      </xdr:blipFill>
      <xdr:spPr>
        <a:xfrm>
          <a:off x="7248525" y="114300"/>
          <a:ext cx="1266825" cy="304800"/>
        </a:xfrm>
        <a:prstGeom prst="rect">
          <a:avLst/>
        </a:prstGeom>
        <a:noFill/>
        <a:ln w="9525" cmpd="sng">
          <a:noFill/>
        </a:ln>
      </xdr:spPr>
    </xdr:pic>
    <xdr:clientData/>
  </xdr:twoCellAnchor>
  <xdr:twoCellAnchor editAs="oneCell">
    <xdr:from>
      <xdr:col>4</xdr:col>
      <xdr:colOff>704850</xdr:colOff>
      <xdr:row>0</xdr:row>
      <xdr:rowOff>123825</xdr:rowOff>
    </xdr:from>
    <xdr:to>
      <xdr:col>6</xdr:col>
      <xdr:colOff>361950</xdr:colOff>
      <xdr:row>0</xdr:row>
      <xdr:rowOff>428625</xdr:rowOff>
    </xdr:to>
    <xdr:pic>
      <xdr:nvPicPr>
        <xdr:cNvPr id="4" name="OffModuleAss"/>
        <xdr:cNvPicPr preferRelativeResize="1">
          <a:picLocks noChangeAspect="1"/>
        </xdr:cNvPicPr>
      </xdr:nvPicPr>
      <xdr:blipFill>
        <a:blip r:embed="rId3"/>
        <a:stretch>
          <a:fillRect/>
        </a:stretch>
      </xdr:blipFill>
      <xdr:spPr>
        <a:xfrm>
          <a:off x="5172075" y="123825"/>
          <a:ext cx="1609725" cy="304800"/>
        </a:xfrm>
        <a:prstGeom prst="rect">
          <a:avLst/>
        </a:prstGeom>
        <a:noFill/>
        <a:ln w="9525" cmpd="sng">
          <a:noFill/>
        </a:ln>
      </xdr:spPr>
    </xdr:pic>
    <xdr:clientData/>
  </xdr:twoCellAnchor>
  <xdr:twoCellAnchor>
    <xdr:from>
      <xdr:col>3</xdr:col>
      <xdr:colOff>285750</xdr:colOff>
      <xdr:row>28</xdr:row>
      <xdr:rowOff>47625</xdr:rowOff>
    </xdr:from>
    <xdr:to>
      <xdr:col>4</xdr:col>
      <xdr:colOff>447675</xdr:colOff>
      <xdr:row>28</xdr:row>
      <xdr:rowOff>352425</xdr:rowOff>
    </xdr:to>
    <xdr:pic>
      <xdr:nvPicPr>
        <xdr:cNvPr id="5" name="ResetOffroadTier1"/>
        <xdr:cNvPicPr preferRelativeResize="1">
          <a:picLocks noChangeAspect="1"/>
        </xdr:cNvPicPr>
      </xdr:nvPicPr>
      <xdr:blipFill>
        <a:blip r:embed="rId4"/>
        <a:stretch>
          <a:fillRect/>
        </a:stretch>
      </xdr:blipFill>
      <xdr:spPr>
        <a:xfrm>
          <a:off x="3724275" y="5019675"/>
          <a:ext cx="1190625" cy="0"/>
        </a:xfrm>
        <a:prstGeom prst="rect">
          <a:avLst/>
        </a:prstGeom>
        <a:noFill/>
        <a:ln w="9525" cmpd="sng">
          <a:noFill/>
        </a:ln>
      </xdr:spPr>
    </xdr:pic>
    <xdr:clientData/>
  </xdr:twoCellAnchor>
  <xdr:twoCellAnchor>
    <xdr:from>
      <xdr:col>3</xdr:col>
      <xdr:colOff>561975</xdr:colOff>
      <xdr:row>45</xdr:row>
      <xdr:rowOff>104775</xdr:rowOff>
    </xdr:from>
    <xdr:to>
      <xdr:col>5</xdr:col>
      <xdr:colOff>523875</xdr:colOff>
      <xdr:row>46</xdr:row>
      <xdr:rowOff>123825</xdr:rowOff>
    </xdr:to>
    <xdr:pic>
      <xdr:nvPicPr>
        <xdr:cNvPr id="6" name="OffTier1Ass"/>
        <xdr:cNvPicPr preferRelativeResize="1">
          <a:picLocks noChangeAspect="1"/>
        </xdr:cNvPicPr>
      </xdr:nvPicPr>
      <xdr:blipFill>
        <a:blip r:embed="rId5"/>
        <a:stretch>
          <a:fillRect/>
        </a:stretch>
      </xdr:blipFill>
      <xdr:spPr>
        <a:xfrm>
          <a:off x="4000500" y="5019675"/>
          <a:ext cx="2095500" cy="0"/>
        </a:xfrm>
        <a:prstGeom prst="rect">
          <a:avLst/>
        </a:prstGeom>
        <a:noFill/>
        <a:ln w="9525" cmpd="sng">
          <a:noFill/>
        </a:ln>
      </xdr:spPr>
    </xdr:pic>
    <xdr:clientData/>
  </xdr:twoCellAnchor>
  <xdr:twoCellAnchor>
    <xdr:from>
      <xdr:col>4</xdr:col>
      <xdr:colOff>0</xdr:colOff>
      <xdr:row>118</xdr:row>
      <xdr:rowOff>57150</xdr:rowOff>
    </xdr:from>
    <xdr:to>
      <xdr:col>4</xdr:col>
      <xdr:colOff>1066800</xdr:colOff>
      <xdr:row>118</xdr:row>
      <xdr:rowOff>361950</xdr:rowOff>
    </xdr:to>
    <xdr:pic>
      <xdr:nvPicPr>
        <xdr:cNvPr id="7" name="ResetOffroadTier2"/>
        <xdr:cNvPicPr preferRelativeResize="1">
          <a:picLocks noChangeAspect="1"/>
        </xdr:cNvPicPr>
      </xdr:nvPicPr>
      <xdr:blipFill>
        <a:blip r:embed="rId6"/>
        <a:stretch>
          <a:fillRect/>
        </a:stretch>
      </xdr:blipFill>
      <xdr:spPr>
        <a:xfrm>
          <a:off x="4467225" y="5019675"/>
          <a:ext cx="1066800" cy="0"/>
        </a:xfrm>
        <a:prstGeom prst="rect">
          <a:avLst/>
        </a:prstGeom>
        <a:noFill/>
        <a:ln w="9525" cmpd="sng">
          <a:noFill/>
        </a:ln>
      </xdr:spPr>
    </xdr:pic>
    <xdr:clientData/>
  </xdr:twoCellAnchor>
  <xdr:twoCellAnchor>
    <xdr:from>
      <xdr:col>9</xdr:col>
      <xdr:colOff>19050</xdr:colOff>
      <xdr:row>129</xdr:row>
      <xdr:rowOff>114300</xdr:rowOff>
    </xdr:from>
    <xdr:to>
      <xdr:col>11</xdr:col>
      <xdr:colOff>638175</xdr:colOff>
      <xdr:row>131</xdr:row>
      <xdr:rowOff>85725</xdr:rowOff>
    </xdr:to>
    <xdr:pic>
      <xdr:nvPicPr>
        <xdr:cNvPr id="8" name="OffTier2Ass"/>
        <xdr:cNvPicPr preferRelativeResize="1">
          <a:picLocks noChangeAspect="1"/>
        </xdr:cNvPicPr>
      </xdr:nvPicPr>
      <xdr:blipFill>
        <a:blip r:embed="rId7"/>
        <a:stretch>
          <a:fillRect/>
        </a:stretch>
      </xdr:blipFill>
      <xdr:spPr>
        <a:xfrm>
          <a:off x="9096375" y="5019675"/>
          <a:ext cx="2190750" cy="0"/>
        </a:xfrm>
        <a:prstGeom prst="rect">
          <a:avLst/>
        </a:prstGeom>
        <a:noFill/>
        <a:ln w="9525" cmpd="sng">
          <a:noFill/>
        </a:ln>
      </xdr:spPr>
    </xdr:pic>
    <xdr:clientData/>
  </xdr:twoCellAnchor>
  <xdr:twoCellAnchor>
    <xdr:from>
      <xdr:col>7</xdr:col>
      <xdr:colOff>400050</xdr:colOff>
      <xdr:row>134</xdr:row>
      <xdr:rowOff>0</xdr:rowOff>
    </xdr:from>
    <xdr:to>
      <xdr:col>7</xdr:col>
      <xdr:colOff>657225</xdr:colOff>
      <xdr:row>135</xdr:row>
      <xdr:rowOff>38100</xdr:rowOff>
    </xdr:to>
    <xdr:pic>
      <xdr:nvPicPr>
        <xdr:cNvPr id="9" name="CheckBox1"/>
        <xdr:cNvPicPr preferRelativeResize="1">
          <a:picLocks noChangeAspect="0"/>
        </xdr:cNvPicPr>
      </xdr:nvPicPr>
      <xdr:blipFill>
        <a:blip r:embed="rId8"/>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134</xdr:row>
      <xdr:rowOff>161925</xdr:rowOff>
    </xdr:from>
    <xdr:to>
      <xdr:col>7</xdr:col>
      <xdr:colOff>657225</xdr:colOff>
      <xdr:row>136</xdr:row>
      <xdr:rowOff>57150</xdr:rowOff>
    </xdr:to>
    <xdr:pic>
      <xdr:nvPicPr>
        <xdr:cNvPr id="10" name="CheckBox2"/>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135</xdr:row>
      <xdr:rowOff>161925</xdr:rowOff>
    </xdr:from>
    <xdr:to>
      <xdr:col>7</xdr:col>
      <xdr:colOff>657225</xdr:colOff>
      <xdr:row>137</xdr:row>
      <xdr:rowOff>66675</xdr:rowOff>
    </xdr:to>
    <xdr:pic>
      <xdr:nvPicPr>
        <xdr:cNvPr id="11" name="CheckBox3"/>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136</xdr:row>
      <xdr:rowOff>161925</xdr:rowOff>
    </xdr:from>
    <xdr:to>
      <xdr:col>7</xdr:col>
      <xdr:colOff>657225</xdr:colOff>
      <xdr:row>138</xdr:row>
      <xdr:rowOff>66675</xdr:rowOff>
    </xdr:to>
    <xdr:pic>
      <xdr:nvPicPr>
        <xdr:cNvPr id="12" name="CheckBox4"/>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137</xdr:row>
      <xdr:rowOff>161925</xdr:rowOff>
    </xdr:from>
    <xdr:to>
      <xdr:col>7</xdr:col>
      <xdr:colOff>657225</xdr:colOff>
      <xdr:row>139</xdr:row>
      <xdr:rowOff>66675</xdr:rowOff>
    </xdr:to>
    <xdr:pic>
      <xdr:nvPicPr>
        <xdr:cNvPr id="13" name="CheckBox5"/>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138</xdr:row>
      <xdr:rowOff>161925</xdr:rowOff>
    </xdr:from>
    <xdr:to>
      <xdr:col>7</xdr:col>
      <xdr:colOff>657225</xdr:colOff>
      <xdr:row>140</xdr:row>
      <xdr:rowOff>66675</xdr:rowOff>
    </xdr:to>
    <xdr:pic>
      <xdr:nvPicPr>
        <xdr:cNvPr id="14" name="CheckBox6"/>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139</xdr:row>
      <xdr:rowOff>161925</xdr:rowOff>
    </xdr:from>
    <xdr:to>
      <xdr:col>7</xdr:col>
      <xdr:colOff>657225</xdr:colOff>
      <xdr:row>141</xdr:row>
      <xdr:rowOff>66675</xdr:rowOff>
    </xdr:to>
    <xdr:pic>
      <xdr:nvPicPr>
        <xdr:cNvPr id="15" name="CheckBox7"/>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140</xdr:row>
      <xdr:rowOff>161925</xdr:rowOff>
    </xdr:from>
    <xdr:to>
      <xdr:col>7</xdr:col>
      <xdr:colOff>657225</xdr:colOff>
      <xdr:row>142</xdr:row>
      <xdr:rowOff>66675</xdr:rowOff>
    </xdr:to>
    <xdr:pic>
      <xdr:nvPicPr>
        <xdr:cNvPr id="16" name="CheckBox8"/>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141</xdr:row>
      <xdr:rowOff>161925</xdr:rowOff>
    </xdr:from>
    <xdr:to>
      <xdr:col>7</xdr:col>
      <xdr:colOff>657225</xdr:colOff>
      <xdr:row>143</xdr:row>
      <xdr:rowOff>66675</xdr:rowOff>
    </xdr:to>
    <xdr:pic>
      <xdr:nvPicPr>
        <xdr:cNvPr id="17" name="CheckBox9"/>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142</xdr:row>
      <xdr:rowOff>161925</xdr:rowOff>
    </xdr:from>
    <xdr:to>
      <xdr:col>7</xdr:col>
      <xdr:colOff>657225</xdr:colOff>
      <xdr:row>144</xdr:row>
      <xdr:rowOff>66675</xdr:rowOff>
    </xdr:to>
    <xdr:pic>
      <xdr:nvPicPr>
        <xdr:cNvPr id="18" name="CheckBox10"/>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143</xdr:row>
      <xdr:rowOff>161925</xdr:rowOff>
    </xdr:from>
    <xdr:to>
      <xdr:col>7</xdr:col>
      <xdr:colOff>657225</xdr:colOff>
      <xdr:row>145</xdr:row>
      <xdr:rowOff>66675</xdr:rowOff>
    </xdr:to>
    <xdr:pic>
      <xdr:nvPicPr>
        <xdr:cNvPr id="19" name="CheckBox11"/>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144</xdr:row>
      <xdr:rowOff>161925</xdr:rowOff>
    </xdr:from>
    <xdr:to>
      <xdr:col>7</xdr:col>
      <xdr:colOff>657225</xdr:colOff>
      <xdr:row>146</xdr:row>
      <xdr:rowOff>66675</xdr:rowOff>
    </xdr:to>
    <xdr:pic>
      <xdr:nvPicPr>
        <xdr:cNvPr id="20" name="CheckBox12"/>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145</xdr:row>
      <xdr:rowOff>161925</xdr:rowOff>
    </xdr:from>
    <xdr:to>
      <xdr:col>7</xdr:col>
      <xdr:colOff>657225</xdr:colOff>
      <xdr:row>147</xdr:row>
      <xdr:rowOff>66675</xdr:rowOff>
    </xdr:to>
    <xdr:pic>
      <xdr:nvPicPr>
        <xdr:cNvPr id="21" name="CheckBox13"/>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146</xdr:row>
      <xdr:rowOff>161925</xdr:rowOff>
    </xdr:from>
    <xdr:to>
      <xdr:col>7</xdr:col>
      <xdr:colOff>657225</xdr:colOff>
      <xdr:row>148</xdr:row>
      <xdr:rowOff>66675</xdr:rowOff>
    </xdr:to>
    <xdr:pic>
      <xdr:nvPicPr>
        <xdr:cNvPr id="22" name="CheckBox14"/>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147</xdr:row>
      <xdr:rowOff>161925</xdr:rowOff>
    </xdr:from>
    <xdr:to>
      <xdr:col>7</xdr:col>
      <xdr:colOff>657225</xdr:colOff>
      <xdr:row>149</xdr:row>
      <xdr:rowOff>66675</xdr:rowOff>
    </xdr:to>
    <xdr:pic>
      <xdr:nvPicPr>
        <xdr:cNvPr id="23" name="CheckBox15"/>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148</xdr:row>
      <xdr:rowOff>161925</xdr:rowOff>
    </xdr:from>
    <xdr:to>
      <xdr:col>7</xdr:col>
      <xdr:colOff>657225</xdr:colOff>
      <xdr:row>150</xdr:row>
      <xdr:rowOff>66675</xdr:rowOff>
    </xdr:to>
    <xdr:pic>
      <xdr:nvPicPr>
        <xdr:cNvPr id="24" name="CheckBox16"/>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149</xdr:row>
      <xdr:rowOff>161925</xdr:rowOff>
    </xdr:from>
    <xdr:to>
      <xdr:col>7</xdr:col>
      <xdr:colOff>657225</xdr:colOff>
      <xdr:row>151</xdr:row>
      <xdr:rowOff>66675</xdr:rowOff>
    </xdr:to>
    <xdr:pic>
      <xdr:nvPicPr>
        <xdr:cNvPr id="25" name="CheckBox17"/>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150</xdr:row>
      <xdr:rowOff>161925</xdr:rowOff>
    </xdr:from>
    <xdr:to>
      <xdr:col>7</xdr:col>
      <xdr:colOff>657225</xdr:colOff>
      <xdr:row>152</xdr:row>
      <xdr:rowOff>66675</xdr:rowOff>
    </xdr:to>
    <xdr:pic>
      <xdr:nvPicPr>
        <xdr:cNvPr id="26" name="CheckBox18"/>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151</xdr:row>
      <xdr:rowOff>161925</xdr:rowOff>
    </xdr:from>
    <xdr:to>
      <xdr:col>7</xdr:col>
      <xdr:colOff>657225</xdr:colOff>
      <xdr:row>153</xdr:row>
      <xdr:rowOff>66675</xdr:rowOff>
    </xdr:to>
    <xdr:pic>
      <xdr:nvPicPr>
        <xdr:cNvPr id="27" name="CheckBox19"/>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152</xdr:row>
      <xdr:rowOff>161925</xdr:rowOff>
    </xdr:from>
    <xdr:to>
      <xdr:col>7</xdr:col>
      <xdr:colOff>657225</xdr:colOff>
      <xdr:row>154</xdr:row>
      <xdr:rowOff>66675</xdr:rowOff>
    </xdr:to>
    <xdr:pic>
      <xdr:nvPicPr>
        <xdr:cNvPr id="28" name="CheckBox20"/>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153</xdr:row>
      <xdr:rowOff>161925</xdr:rowOff>
    </xdr:from>
    <xdr:to>
      <xdr:col>7</xdr:col>
      <xdr:colOff>657225</xdr:colOff>
      <xdr:row>155</xdr:row>
      <xdr:rowOff>66675</xdr:rowOff>
    </xdr:to>
    <xdr:pic>
      <xdr:nvPicPr>
        <xdr:cNvPr id="29" name="CheckBox21"/>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154</xdr:row>
      <xdr:rowOff>161925</xdr:rowOff>
    </xdr:from>
    <xdr:to>
      <xdr:col>7</xdr:col>
      <xdr:colOff>657225</xdr:colOff>
      <xdr:row>156</xdr:row>
      <xdr:rowOff>66675</xdr:rowOff>
    </xdr:to>
    <xdr:pic>
      <xdr:nvPicPr>
        <xdr:cNvPr id="30" name="CheckBox22"/>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155</xdr:row>
      <xdr:rowOff>161925</xdr:rowOff>
    </xdr:from>
    <xdr:to>
      <xdr:col>7</xdr:col>
      <xdr:colOff>657225</xdr:colOff>
      <xdr:row>157</xdr:row>
      <xdr:rowOff>66675</xdr:rowOff>
    </xdr:to>
    <xdr:pic>
      <xdr:nvPicPr>
        <xdr:cNvPr id="31" name="CheckBox23"/>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156</xdr:row>
      <xdr:rowOff>180975</xdr:rowOff>
    </xdr:from>
    <xdr:to>
      <xdr:col>7</xdr:col>
      <xdr:colOff>657225</xdr:colOff>
      <xdr:row>158</xdr:row>
      <xdr:rowOff>66675</xdr:rowOff>
    </xdr:to>
    <xdr:pic>
      <xdr:nvPicPr>
        <xdr:cNvPr id="32" name="CheckBox24"/>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157</xdr:row>
      <xdr:rowOff>161925</xdr:rowOff>
    </xdr:from>
    <xdr:to>
      <xdr:col>7</xdr:col>
      <xdr:colOff>657225</xdr:colOff>
      <xdr:row>159</xdr:row>
      <xdr:rowOff>66675</xdr:rowOff>
    </xdr:to>
    <xdr:pic>
      <xdr:nvPicPr>
        <xdr:cNvPr id="33" name="CheckBox25"/>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158</xdr:row>
      <xdr:rowOff>161925</xdr:rowOff>
    </xdr:from>
    <xdr:to>
      <xdr:col>7</xdr:col>
      <xdr:colOff>657225</xdr:colOff>
      <xdr:row>160</xdr:row>
      <xdr:rowOff>66675</xdr:rowOff>
    </xdr:to>
    <xdr:pic>
      <xdr:nvPicPr>
        <xdr:cNvPr id="34" name="CheckBox26"/>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159</xdr:row>
      <xdr:rowOff>161925</xdr:rowOff>
    </xdr:from>
    <xdr:to>
      <xdr:col>7</xdr:col>
      <xdr:colOff>657225</xdr:colOff>
      <xdr:row>161</xdr:row>
      <xdr:rowOff>66675</xdr:rowOff>
    </xdr:to>
    <xdr:pic>
      <xdr:nvPicPr>
        <xdr:cNvPr id="35" name="CheckBox27"/>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160</xdr:row>
      <xdr:rowOff>171450</xdr:rowOff>
    </xdr:from>
    <xdr:to>
      <xdr:col>7</xdr:col>
      <xdr:colOff>657225</xdr:colOff>
      <xdr:row>162</xdr:row>
      <xdr:rowOff>66675</xdr:rowOff>
    </xdr:to>
    <xdr:pic>
      <xdr:nvPicPr>
        <xdr:cNvPr id="36" name="CheckBox28"/>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161</xdr:row>
      <xdr:rowOff>171450</xdr:rowOff>
    </xdr:from>
    <xdr:to>
      <xdr:col>7</xdr:col>
      <xdr:colOff>657225</xdr:colOff>
      <xdr:row>163</xdr:row>
      <xdr:rowOff>66675</xdr:rowOff>
    </xdr:to>
    <xdr:pic>
      <xdr:nvPicPr>
        <xdr:cNvPr id="37" name="CheckBox29"/>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162</xdr:row>
      <xdr:rowOff>161925</xdr:rowOff>
    </xdr:from>
    <xdr:to>
      <xdr:col>7</xdr:col>
      <xdr:colOff>657225</xdr:colOff>
      <xdr:row>164</xdr:row>
      <xdr:rowOff>66675</xdr:rowOff>
    </xdr:to>
    <xdr:pic>
      <xdr:nvPicPr>
        <xdr:cNvPr id="38" name="CheckBox30"/>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163</xdr:row>
      <xdr:rowOff>171450</xdr:rowOff>
    </xdr:from>
    <xdr:to>
      <xdr:col>7</xdr:col>
      <xdr:colOff>657225</xdr:colOff>
      <xdr:row>165</xdr:row>
      <xdr:rowOff>66675</xdr:rowOff>
    </xdr:to>
    <xdr:pic>
      <xdr:nvPicPr>
        <xdr:cNvPr id="39" name="CheckBox31"/>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164</xdr:row>
      <xdr:rowOff>161925</xdr:rowOff>
    </xdr:from>
    <xdr:to>
      <xdr:col>7</xdr:col>
      <xdr:colOff>657225</xdr:colOff>
      <xdr:row>166</xdr:row>
      <xdr:rowOff>66675</xdr:rowOff>
    </xdr:to>
    <xdr:pic>
      <xdr:nvPicPr>
        <xdr:cNvPr id="40" name="CheckBox32"/>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165</xdr:row>
      <xdr:rowOff>161925</xdr:rowOff>
    </xdr:from>
    <xdr:to>
      <xdr:col>7</xdr:col>
      <xdr:colOff>657225</xdr:colOff>
      <xdr:row>167</xdr:row>
      <xdr:rowOff>66675</xdr:rowOff>
    </xdr:to>
    <xdr:pic>
      <xdr:nvPicPr>
        <xdr:cNvPr id="41" name="CheckBox33"/>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166</xdr:row>
      <xdr:rowOff>161925</xdr:rowOff>
    </xdr:from>
    <xdr:to>
      <xdr:col>7</xdr:col>
      <xdr:colOff>657225</xdr:colOff>
      <xdr:row>168</xdr:row>
      <xdr:rowOff>66675</xdr:rowOff>
    </xdr:to>
    <xdr:pic>
      <xdr:nvPicPr>
        <xdr:cNvPr id="42" name="CheckBox34"/>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167</xdr:row>
      <xdr:rowOff>161925</xdr:rowOff>
    </xdr:from>
    <xdr:to>
      <xdr:col>7</xdr:col>
      <xdr:colOff>657225</xdr:colOff>
      <xdr:row>169</xdr:row>
      <xdr:rowOff>66675</xdr:rowOff>
    </xdr:to>
    <xdr:pic>
      <xdr:nvPicPr>
        <xdr:cNvPr id="43" name="CheckBox35"/>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xdr:from>
      <xdr:col>7</xdr:col>
      <xdr:colOff>400050</xdr:colOff>
      <xdr:row>168</xdr:row>
      <xdr:rowOff>161925</xdr:rowOff>
    </xdr:from>
    <xdr:to>
      <xdr:col>7</xdr:col>
      <xdr:colOff>657225</xdr:colOff>
      <xdr:row>170</xdr:row>
      <xdr:rowOff>57150</xdr:rowOff>
    </xdr:to>
    <xdr:pic>
      <xdr:nvPicPr>
        <xdr:cNvPr id="44" name="CheckBox36"/>
        <xdr:cNvPicPr preferRelativeResize="1">
          <a:picLocks noChangeAspect="1"/>
        </xdr:cNvPicPr>
      </xdr:nvPicPr>
      <xdr:blipFill>
        <a:blip r:embed="rId9"/>
        <a:stretch>
          <a:fillRect/>
        </a:stretch>
      </xdr:blipFill>
      <xdr:spPr>
        <a:xfrm>
          <a:off x="7658100" y="5019675"/>
          <a:ext cx="257175" cy="0"/>
        </a:xfrm>
        <a:prstGeom prst="rect">
          <a:avLst/>
        </a:prstGeom>
        <a:noFill/>
        <a:ln w="9525" cmpd="sng">
          <a:noFill/>
        </a:ln>
      </xdr:spPr>
    </xdr:pic>
    <xdr:clientData/>
  </xdr:twoCellAnchor>
  <xdr:twoCellAnchor editAs="oneCell">
    <xdr:from>
      <xdr:col>2</xdr:col>
      <xdr:colOff>9525</xdr:colOff>
      <xdr:row>18</xdr:row>
      <xdr:rowOff>123825</xdr:rowOff>
    </xdr:from>
    <xdr:to>
      <xdr:col>5</xdr:col>
      <xdr:colOff>704850</xdr:colOff>
      <xdr:row>20</xdr:row>
      <xdr:rowOff>85725</xdr:rowOff>
    </xdr:to>
    <xdr:pic>
      <xdr:nvPicPr>
        <xdr:cNvPr id="45" name="Offroad2Button"/>
        <xdr:cNvPicPr preferRelativeResize="1">
          <a:picLocks noChangeAspect="1"/>
        </xdr:cNvPicPr>
      </xdr:nvPicPr>
      <xdr:blipFill>
        <a:blip r:embed="rId10"/>
        <a:stretch>
          <a:fillRect/>
        </a:stretch>
      </xdr:blipFill>
      <xdr:spPr>
        <a:xfrm>
          <a:off x="2219325" y="3438525"/>
          <a:ext cx="4057650" cy="295275"/>
        </a:xfrm>
        <a:prstGeom prst="rect">
          <a:avLst/>
        </a:prstGeom>
        <a:noFill/>
        <a:ln w="9525" cmpd="sng">
          <a:noFill/>
        </a:ln>
      </xdr:spPr>
    </xdr:pic>
    <xdr:clientData/>
  </xdr:twoCellAnchor>
  <xdr:twoCellAnchor editAs="oneCell">
    <xdr:from>
      <xdr:col>2</xdr:col>
      <xdr:colOff>9525</xdr:colOff>
      <xdr:row>20</xdr:row>
      <xdr:rowOff>76200</xdr:rowOff>
    </xdr:from>
    <xdr:to>
      <xdr:col>5</xdr:col>
      <xdr:colOff>638175</xdr:colOff>
      <xdr:row>22</xdr:row>
      <xdr:rowOff>142875</xdr:rowOff>
    </xdr:to>
    <xdr:pic>
      <xdr:nvPicPr>
        <xdr:cNvPr id="46" name="Offroad3Button"/>
        <xdr:cNvPicPr preferRelativeResize="1">
          <a:picLocks noChangeAspect="1"/>
        </xdr:cNvPicPr>
      </xdr:nvPicPr>
      <xdr:blipFill>
        <a:blip r:embed="rId11"/>
        <a:stretch>
          <a:fillRect/>
        </a:stretch>
      </xdr:blipFill>
      <xdr:spPr>
        <a:xfrm>
          <a:off x="2219325" y="3724275"/>
          <a:ext cx="3990975" cy="400050"/>
        </a:xfrm>
        <a:prstGeom prst="rect">
          <a:avLst/>
        </a:prstGeom>
        <a:noFill/>
        <a:ln w="9525" cmpd="sng">
          <a:noFill/>
        </a:ln>
      </xdr:spPr>
    </xdr:pic>
    <xdr:clientData/>
  </xdr:twoCellAnchor>
  <xdr:twoCellAnchor editAs="oneCell">
    <xdr:from>
      <xdr:col>2</xdr:col>
      <xdr:colOff>9525</xdr:colOff>
      <xdr:row>17</xdr:row>
      <xdr:rowOff>0</xdr:rowOff>
    </xdr:from>
    <xdr:to>
      <xdr:col>5</xdr:col>
      <xdr:colOff>619125</xdr:colOff>
      <xdr:row>18</xdr:row>
      <xdr:rowOff>123825</xdr:rowOff>
    </xdr:to>
    <xdr:pic>
      <xdr:nvPicPr>
        <xdr:cNvPr id="47" name="Offroad1Button"/>
        <xdr:cNvPicPr preferRelativeResize="1">
          <a:picLocks noChangeAspect="1"/>
        </xdr:cNvPicPr>
      </xdr:nvPicPr>
      <xdr:blipFill>
        <a:blip r:embed="rId12"/>
        <a:stretch>
          <a:fillRect/>
        </a:stretch>
      </xdr:blipFill>
      <xdr:spPr>
        <a:xfrm>
          <a:off x="2219325" y="3152775"/>
          <a:ext cx="3971925" cy="285750"/>
        </a:xfrm>
        <a:prstGeom prst="rect">
          <a:avLst/>
        </a:prstGeom>
        <a:noFill/>
        <a:ln w="9525" cmpd="sng">
          <a:noFill/>
        </a:ln>
      </xdr:spPr>
    </xdr:pic>
    <xdr:clientData/>
  </xdr:twoCellAnchor>
  <xdr:twoCellAnchor>
    <xdr:from>
      <xdr:col>4</xdr:col>
      <xdr:colOff>561975</xdr:colOff>
      <xdr:row>67</xdr:row>
      <xdr:rowOff>47625</xdr:rowOff>
    </xdr:from>
    <xdr:to>
      <xdr:col>5</xdr:col>
      <xdr:colOff>523875</xdr:colOff>
      <xdr:row>67</xdr:row>
      <xdr:rowOff>352425</xdr:rowOff>
    </xdr:to>
    <xdr:pic>
      <xdr:nvPicPr>
        <xdr:cNvPr id="48" name="ResetOffroadTier1_5"/>
        <xdr:cNvPicPr preferRelativeResize="1">
          <a:picLocks noChangeAspect="1"/>
        </xdr:cNvPicPr>
      </xdr:nvPicPr>
      <xdr:blipFill>
        <a:blip r:embed="rId13"/>
        <a:stretch>
          <a:fillRect/>
        </a:stretch>
      </xdr:blipFill>
      <xdr:spPr>
        <a:xfrm>
          <a:off x="5029200" y="5019675"/>
          <a:ext cx="1066800" cy="0"/>
        </a:xfrm>
        <a:prstGeom prst="rect">
          <a:avLst/>
        </a:prstGeom>
        <a:noFill/>
        <a:ln w="9525" cmpd="sng">
          <a:noFill/>
        </a:ln>
      </xdr:spPr>
    </xdr:pic>
    <xdr:clientData/>
  </xdr:twoCellAnchor>
  <xdr:twoCellAnchor>
    <xdr:from>
      <xdr:col>9</xdr:col>
      <xdr:colOff>209550</xdr:colOff>
      <xdr:row>73</xdr:row>
      <xdr:rowOff>28575</xdr:rowOff>
    </xdr:from>
    <xdr:to>
      <xdr:col>10</xdr:col>
      <xdr:colOff>742950</xdr:colOff>
      <xdr:row>76</xdr:row>
      <xdr:rowOff>95250</xdr:rowOff>
    </xdr:to>
    <xdr:pic>
      <xdr:nvPicPr>
        <xdr:cNvPr id="49" name="OffTier1_5Ass"/>
        <xdr:cNvPicPr preferRelativeResize="1">
          <a:picLocks noChangeAspect="1"/>
        </xdr:cNvPicPr>
      </xdr:nvPicPr>
      <xdr:blipFill>
        <a:blip r:embed="rId14"/>
        <a:stretch>
          <a:fillRect/>
        </a:stretch>
      </xdr:blipFill>
      <xdr:spPr>
        <a:xfrm>
          <a:off x="9286875" y="5019675"/>
          <a:ext cx="1266825" cy="0"/>
        </a:xfrm>
        <a:prstGeom prst="rect">
          <a:avLst/>
        </a:prstGeom>
        <a:noFill/>
        <a:ln w="9525" cmpd="sng">
          <a:noFill/>
        </a:ln>
      </xdr:spPr>
    </xdr:pic>
    <xdr:clientData/>
  </xdr:twoCellAnchor>
  <xdr:twoCellAnchor>
    <xdr:from>
      <xdr:col>5</xdr:col>
      <xdr:colOff>47625</xdr:colOff>
      <xdr:row>130</xdr:row>
      <xdr:rowOff>19050</xdr:rowOff>
    </xdr:from>
    <xdr:to>
      <xdr:col>6</xdr:col>
      <xdr:colOff>323850</xdr:colOff>
      <xdr:row>131</xdr:row>
      <xdr:rowOff>123825</xdr:rowOff>
    </xdr:to>
    <xdr:pic>
      <xdr:nvPicPr>
        <xdr:cNvPr id="50" name="CheckAllDefaults"/>
        <xdr:cNvPicPr preferRelativeResize="1">
          <a:picLocks noChangeAspect="1"/>
        </xdr:cNvPicPr>
      </xdr:nvPicPr>
      <xdr:blipFill>
        <a:blip r:embed="rId15"/>
        <a:stretch>
          <a:fillRect/>
        </a:stretch>
      </xdr:blipFill>
      <xdr:spPr>
        <a:xfrm>
          <a:off x="5619750" y="5019675"/>
          <a:ext cx="1123950" cy="0"/>
        </a:xfrm>
        <a:prstGeom prst="rect">
          <a:avLst/>
        </a:prstGeom>
        <a:noFill/>
        <a:ln w="9525" cmpd="sng">
          <a:noFill/>
        </a:ln>
      </xdr:spPr>
    </xdr:pic>
    <xdr:clientData/>
  </xdr:twoCellAnchor>
  <xdr:twoCellAnchor>
    <xdr:from>
      <xdr:col>6</xdr:col>
      <xdr:colOff>514350</xdr:colOff>
      <xdr:row>130</xdr:row>
      <xdr:rowOff>0</xdr:rowOff>
    </xdr:from>
    <xdr:to>
      <xdr:col>7</xdr:col>
      <xdr:colOff>704850</xdr:colOff>
      <xdr:row>131</xdr:row>
      <xdr:rowOff>104775</xdr:rowOff>
    </xdr:to>
    <xdr:pic>
      <xdr:nvPicPr>
        <xdr:cNvPr id="51" name="ClearAllDefaults"/>
        <xdr:cNvPicPr preferRelativeResize="1">
          <a:picLocks noChangeAspect="1"/>
        </xdr:cNvPicPr>
      </xdr:nvPicPr>
      <xdr:blipFill>
        <a:blip r:embed="rId16"/>
        <a:stretch>
          <a:fillRect/>
        </a:stretch>
      </xdr:blipFill>
      <xdr:spPr>
        <a:xfrm>
          <a:off x="6934200" y="5019675"/>
          <a:ext cx="10287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13</xdr:col>
      <xdr:colOff>76200</xdr:colOff>
      <xdr:row>8</xdr:row>
      <xdr:rowOff>9525</xdr:rowOff>
    </xdr:to>
    <xdr:sp>
      <xdr:nvSpPr>
        <xdr:cNvPr id="1" name="Text Box 96"/>
        <xdr:cNvSpPr txBox="1">
          <a:spLocks noChangeArrowheads="1"/>
        </xdr:cNvSpPr>
      </xdr:nvSpPr>
      <xdr:spPr>
        <a:xfrm>
          <a:off x="209550" y="666750"/>
          <a:ext cx="10810875"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 estimates  estimates changes  in CO2 emissions on a</a:t>
          </a:r>
          <a:r>
            <a:rPr lang="en-US" cap="none" sz="1100" b="0" i="0" u="none" baseline="0">
              <a:solidFill>
                <a:srgbClr val="000000"/>
              </a:solidFill>
              <a:latin typeface="Calibri"/>
              <a:ea typeface="Calibri"/>
              <a:cs typeface="Calibri"/>
            </a:rPr>
            <a:t> roadway segment based on changes in average traffic speeds. DOTs can use this sheet to estimate the impact of congestion reducing strategies on CO2 emissions, provided they know how strategies will  affect traffic speeds. Emissions factors in this sheet are derived from EPA's MOVES model.  Actual emissions rates depend on second-by-second vehicle engine cycles. MOVES provides  national average engine cycle profiles based on roadway type, v ehicle mix, and average traffic speed.</a:t>
          </a:r>
          <a:r>
            <a:rPr lang="en-US" cap="none" sz="1100" b="0" i="0" u="none" baseline="0">
              <a:solidFill>
                <a:srgbClr val="000000"/>
              </a:solidFill>
              <a:latin typeface="Calibri"/>
              <a:ea typeface="Calibri"/>
              <a:cs typeface="Calibri"/>
            </a:rPr>
            <a:t>
</a:t>
          </a:r>
        </a:p>
      </xdr:txBody>
    </xdr:sp>
    <xdr:clientData/>
  </xdr:twoCellAnchor>
  <xdr:twoCellAnchor editAs="oneCell">
    <xdr:from>
      <xdr:col>5</xdr:col>
      <xdr:colOff>161925</xdr:colOff>
      <xdr:row>0</xdr:row>
      <xdr:rowOff>95250</xdr:rowOff>
    </xdr:from>
    <xdr:to>
      <xdr:col>6</xdr:col>
      <xdr:colOff>457200</xdr:colOff>
      <xdr:row>1</xdr:row>
      <xdr:rowOff>123825</xdr:rowOff>
    </xdr:to>
    <xdr:pic>
      <xdr:nvPicPr>
        <xdr:cNvPr id="2" name="CommandButton1"/>
        <xdr:cNvPicPr preferRelativeResize="1">
          <a:picLocks noChangeAspect="1"/>
        </xdr:cNvPicPr>
      </xdr:nvPicPr>
      <xdr:blipFill>
        <a:blip r:embed="rId1"/>
        <a:stretch>
          <a:fillRect/>
        </a:stretch>
      </xdr:blipFill>
      <xdr:spPr>
        <a:xfrm>
          <a:off x="5753100" y="95250"/>
          <a:ext cx="114300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0</xdr:rowOff>
    </xdr:from>
    <xdr:to>
      <xdr:col>13</xdr:col>
      <xdr:colOff>695325</xdr:colOff>
      <xdr:row>18</xdr:row>
      <xdr:rowOff>57150</xdr:rowOff>
    </xdr:to>
    <xdr:sp>
      <xdr:nvSpPr>
        <xdr:cNvPr id="1" name="Text Box 96"/>
        <xdr:cNvSpPr txBox="1">
          <a:spLocks noChangeArrowheads="1"/>
        </xdr:cNvSpPr>
      </xdr:nvSpPr>
      <xdr:spPr>
        <a:xfrm>
          <a:off x="685800" y="647700"/>
          <a:ext cx="10858500" cy="2647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 estimates the impact of various operations and maintenance strategies to reduce fuel consumption from existing vehicles. For most strategies, the user must specify the percentage of VMT in each vehicle and technology category affected. For example, to estimate the impact of a strategy applied to all vehicles in the fleet, the user should enter 100% for all vehicle and technology categories.  If the</a:t>
          </a:r>
          <a:r>
            <a:rPr lang="en-US" cap="none" sz="1100" b="0" i="0" u="none" baseline="0">
              <a:solidFill>
                <a:srgbClr val="000000"/>
              </a:solidFill>
              <a:latin typeface="Calibri"/>
              <a:ea typeface="Calibri"/>
              <a:cs typeface="Calibri"/>
            </a:rPr>
            <a:t> percentage of VMT is not known, the user can enter  the percentage of vehicles as a proxy. </a:t>
          </a:r>
          <a:r>
            <a:rPr lang="en-US" cap="none" sz="1100" b="0" i="0" u="none" baseline="0">
              <a:solidFill>
                <a:srgbClr val="000000"/>
              </a:solidFill>
              <a:latin typeface="Calibri"/>
              <a:ea typeface="Calibri"/>
              <a:cs typeface="Calibri"/>
            </a:rPr>
            <a:t>Suggested (default ) values for the impact of each strategy on average fuel economy are provided. Strategies analyzed in this way include:
</a:t>
          </a:r>
          <a:r>
            <a:rPr lang="en-US" cap="none" sz="1100" b="0" i="0" u="none" baseline="0">
              <a:solidFill>
                <a:srgbClr val="000000"/>
              </a:solidFill>
              <a:latin typeface="Calibri"/>
              <a:ea typeface="Calibri"/>
              <a:cs typeface="Calibri"/>
            </a:rPr>
            <a:t>  - Fuel efficient tires: fuel efficient tires can improve fuel economy in both light-duty and heavy-duty vehicles
</a:t>
          </a:r>
          <a:r>
            <a:rPr lang="en-US" cap="none" sz="1100" b="0" i="0" u="none" baseline="0">
              <a:solidFill>
                <a:srgbClr val="000000"/>
              </a:solidFill>
              <a:latin typeface="Calibri"/>
              <a:ea typeface="Calibri"/>
              <a:cs typeface="Calibri"/>
            </a:rPr>
            <a:t>  - Tire inflation: maintaining proper tire inflation improves fuel economy
</a:t>
          </a:r>
          <a:r>
            <a:rPr lang="en-US" cap="none" sz="1100" b="0" i="0" u="none" baseline="0">
              <a:solidFill>
                <a:srgbClr val="000000"/>
              </a:solidFill>
              <a:latin typeface="Calibri"/>
              <a:ea typeface="Calibri"/>
              <a:cs typeface="Calibri"/>
            </a:rPr>
            <a:t>  - Eco-driving behavior: driving at optimum speeds; accelerating and deccelerating smoothly
</a:t>
          </a:r>
          <a:r>
            <a:rPr lang="en-US" cap="none" sz="1100" b="0" i="0" u="none" baseline="0">
              <a:solidFill>
                <a:srgbClr val="000000"/>
              </a:solidFill>
              <a:latin typeface="Calibri"/>
              <a:ea typeface="Calibri"/>
              <a:cs typeface="Calibri"/>
            </a:rPr>
            <a:t>  - Aerodynamic improvements: for large trucks, modifications to vehicle bodies can improve fuel efficiency
</a:t>
          </a:r>
          <a:r>
            <a:rPr lang="en-US" cap="none" sz="1100" b="0" i="0" u="none" baseline="0">
              <a:solidFill>
                <a:srgbClr val="000000"/>
              </a:solidFill>
              <a:latin typeface="Calibri"/>
              <a:ea typeface="Calibri"/>
              <a:cs typeface="Calibri"/>
            </a:rPr>
            <a:t>  - Maintenance (oil/lubes): regular oil changes and maintenance prevent deterioration of fuel economy; some synthetic lubricants improve fuel economy above average levels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anti-idling strategies, the user must specify the number of vehicles affected, the numbers of hours of idling reduced per day, and the number of days analyzed.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 all strategies are appropriate for all vehicles and fleets.</a:t>
          </a:r>
        </a:p>
      </xdr:txBody>
    </xdr:sp>
    <xdr:clientData/>
  </xdr:twoCellAnchor>
  <xdr:twoCellAnchor>
    <xdr:from>
      <xdr:col>8</xdr:col>
      <xdr:colOff>161925</xdr:colOff>
      <xdr:row>0</xdr:row>
      <xdr:rowOff>85725</xdr:rowOff>
    </xdr:from>
    <xdr:to>
      <xdr:col>11</xdr:col>
      <xdr:colOff>133350</xdr:colOff>
      <xdr:row>0</xdr:row>
      <xdr:rowOff>390525</xdr:rowOff>
    </xdr:to>
    <xdr:pic>
      <xdr:nvPicPr>
        <xdr:cNvPr id="2" name="CommandButton1"/>
        <xdr:cNvPicPr preferRelativeResize="1">
          <a:picLocks noChangeAspect="1"/>
        </xdr:cNvPicPr>
      </xdr:nvPicPr>
      <xdr:blipFill>
        <a:blip r:embed="rId1"/>
        <a:stretch>
          <a:fillRect/>
        </a:stretch>
      </xdr:blipFill>
      <xdr:spPr>
        <a:xfrm>
          <a:off x="7372350" y="85725"/>
          <a:ext cx="1800225" cy="304800"/>
        </a:xfrm>
        <a:prstGeom prst="rect">
          <a:avLst/>
        </a:prstGeom>
        <a:noFill/>
        <a:ln w="9525" cmpd="sng">
          <a:noFill/>
        </a:ln>
      </xdr:spPr>
    </xdr:pic>
    <xdr:clientData/>
  </xdr:twoCellAnchor>
  <xdr:twoCellAnchor>
    <xdr:from>
      <xdr:col>11</xdr:col>
      <xdr:colOff>200025</xdr:colOff>
      <xdr:row>0</xdr:row>
      <xdr:rowOff>95250</xdr:rowOff>
    </xdr:from>
    <xdr:to>
      <xdr:col>12</xdr:col>
      <xdr:colOff>561975</xdr:colOff>
      <xdr:row>0</xdr:row>
      <xdr:rowOff>400050</xdr:rowOff>
    </xdr:to>
    <xdr:pic>
      <xdr:nvPicPr>
        <xdr:cNvPr id="3" name="ResetOnStrategies"/>
        <xdr:cNvPicPr preferRelativeResize="1">
          <a:picLocks noChangeAspect="1"/>
        </xdr:cNvPicPr>
      </xdr:nvPicPr>
      <xdr:blipFill>
        <a:blip r:embed="rId2"/>
        <a:stretch>
          <a:fillRect/>
        </a:stretch>
      </xdr:blipFill>
      <xdr:spPr>
        <a:xfrm>
          <a:off x="9239250" y="95250"/>
          <a:ext cx="97155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247650</xdr:colOff>
      <xdr:row>51</xdr:row>
      <xdr:rowOff>114300</xdr:rowOff>
    </xdr:from>
    <xdr:to>
      <xdr:col>11</xdr:col>
      <xdr:colOff>19050</xdr:colOff>
      <xdr:row>53</xdr:row>
      <xdr:rowOff>57150</xdr:rowOff>
    </xdr:to>
    <xdr:pic>
      <xdr:nvPicPr>
        <xdr:cNvPr id="1" name="GoBackButton"/>
        <xdr:cNvPicPr preferRelativeResize="1">
          <a:picLocks noChangeAspect="1"/>
        </xdr:cNvPicPr>
      </xdr:nvPicPr>
      <xdr:blipFill>
        <a:blip r:embed="rId1"/>
        <a:stretch>
          <a:fillRect/>
        </a:stretch>
      </xdr:blipFill>
      <xdr:spPr>
        <a:xfrm>
          <a:off x="8286750" y="8248650"/>
          <a:ext cx="11049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3</xdr:row>
      <xdr:rowOff>85725</xdr:rowOff>
    </xdr:from>
    <xdr:to>
      <xdr:col>11</xdr:col>
      <xdr:colOff>428625</xdr:colOff>
      <xdr:row>3</xdr:row>
      <xdr:rowOff>390525</xdr:rowOff>
    </xdr:to>
    <xdr:pic>
      <xdr:nvPicPr>
        <xdr:cNvPr id="1" name="GoBackButton"/>
        <xdr:cNvPicPr preferRelativeResize="1">
          <a:picLocks noChangeAspect="1"/>
        </xdr:cNvPicPr>
      </xdr:nvPicPr>
      <xdr:blipFill>
        <a:blip r:embed="rId1"/>
        <a:stretch>
          <a:fillRect/>
        </a:stretch>
      </xdr:blipFill>
      <xdr:spPr>
        <a:xfrm>
          <a:off x="6286500" y="581025"/>
          <a:ext cx="1552575"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CHRP%2025-25-58\Task%202\congestion%20calculator\Congestion%20Relief%20CO2%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dot.ca.gov/hq/traffops/elecsys/QPL.htm" TargetMode="External" /><Relationship Id="rId2" Type="http://schemas.openxmlformats.org/officeDocument/2006/relationships/hyperlink" Target="http://en.wikipedia.org/wiki/Plasma_lamp#Heat_and_power" TargetMode="External" /><Relationship Id="rId3" Type="http://schemas.openxmlformats.org/officeDocument/2006/relationships/comments" Target="../comments13.xml" /><Relationship Id="rId4" Type="http://schemas.openxmlformats.org/officeDocument/2006/relationships/vmlDrawing" Target="../drawings/vmlDrawing3.vml" /><Relationship Id="rId5" Type="http://schemas.openxmlformats.org/officeDocument/2006/relationships/drawing" Target="../drawings/drawing12.xml" /><Relationship Id="rId6"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44"/>
  </sheetPr>
  <dimension ref="C2:K68"/>
  <sheetViews>
    <sheetView tabSelected="1" zoomScalePageLayoutView="0" workbookViewId="0" topLeftCell="A1">
      <selection activeCell="C7" sqref="C7:I7"/>
    </sheetView>
  </sheetViews>
  <sheetFormatPr defaultColWidth="9.140625" defaultRowHeight="15"/>
  <cols>
    <col min="1" max="1" width="3.140625" style="51" customWidth="1"/>
    <col min="2" max="2" width="9.140625" style="51" customWidth="1"/>
    <col min="3" max="3" width="27.57421875" style="51" customWidth="1"/>
    <col min="4" max="4" width="25.57421875" style="51" customWidth="1"/>
    <col min="5" max="5" width="32.00390625" style="51" customWidth="1"/>
    <col min="6" max="6" width="19.28125" style="51" customWidth="1"/>
    <col min="7" max="7" width="18.00390625" style="51" customWidth="1"/>
    <col min="8" max="8" width="12.8515625" style="51" bestFit="1" customWidth="1"/>
    <col min="9" max="16384" width="9.140625" style="51" customWidth="1"/>
  </cols>
  <sheetData>
    <row r="2" spans="3:9" ht="18">
      <c r="C2" s="970" t="s">
        <v>604</v>
      </c>
      <c r="D2" s="970"/>
      <c r="E2" s="970"/>
      <c r="F2" s="970"/>
      <c r="G2" s="970"/>
      <c r="H2" s="970"/>
      <c r="I2" s="970"/>
    </row>
    <row r="3" spans="3:9" ht="18">
      <c r="C3" s="970" t="s">
        <v>9</v>
      </c>
      <c r="D3" s="970"/>
      <c r="E3" s="970"/>
      <c r="F3" s="970"/>
      <c r="G3" s="970"/>
      <c r="H3" s="970"/>
      <c r="I3" s="970"/>
    </row>
    <row r="4" spans="3:9" ht="14.25">
      <c r="C4" s="969"/>
      <c r="D4" s="969"/>
      <c r="E4" s="969"/>
      <c r="F4" s="969"/>
      <c r="G4" s="969"/>
      <c r="H4" s="969"/>
      <c r="I4" s="969"/>
    </row>
    <row r="5" spans="3:9" ht="14.25">
      <c r="C5" s="969" t="s">
        <v>915</v>
      </c>
      <c r="D5" s="969"/>
      <c r="E5" s="969"/>
      <c r="F5" s="969"/>
      <c r="G5" s="969"/>
      <c r="H5" s="969"/>
      <c r="I5" s="969"/>
    </row>
    <row r="6" spans="3:9" ht="14.25">
      <c r="C6" s="969"/>
      <c r="D6" s="969"/>
      <c r="E6" s="969"/>
      <c r="F6" s="969"/>
      <c r="G6" s="969"/>
      <c r="H6" s="969"/>
      <c r="I6" s="969"/>
    </row>
    <row r="7" spans="3:9" ht="14.25">
      <c r="C7" s="969" t="s">
        <v>893</v>
      </c>
      <c r="D7" s="969"/>
      <c r="E7" s="969"/>
      <c r="F7" s="969"/>
      <c r="G7" s="969"/>
      <c r="H7" s="969"/>
      <c r="I7" s="969"/>
    </row>
    <row r="8" spans="3:9" ht="14.25">
      <c r="C8" s="826"/>
      <c r="D8" s="826"/>
      <c r="E8" s="826"/>
      <c r="F8" s="826"/>
      <c r="G8" s="826"/>
      <c r="H8" s="826"/>
      <c r="I8" s="826"/>
    </row>
    <row r="9" spans="3:9" ht="15">
      <c r="C9" s="827" t="s">
        <v>852</v>
      </c>
      <c r="D9" s="826"/>
      <c r="E9" s="826"/>
      <c r="F9" s="826"/>
      <c r="G9" s="826"/>
      <c r="H9" s="826"/>
      <c r="I9" s="826"/>
    </row>
    <row r="10" spans="3:9" ht="14.25">
      <c r="C10" s="54"/>
      <c r="D10" s="54"/>
      <c r="E10" s="54"/>
      <c r="F10" s="54"/>
      <c r="G10" s="54"/>
      <c r="H10" s="54"/>
      <c r="I10" s="54"/>
    </row>
    <row r="11" spans="3:9" ht="15">
      <c r="C11" s="56" t="s">
        <v>10</v>
      </c>
      <c r="D11" s="54"/>
      <c r="E11" s="54"/>
      <c r="F11" s="54"/>
      <c r="G11" s="54"/>
      <c r="H11" s="54"/>
      <c r="I11" s="54"/>
    </row>
    <row r="12" spans="3:9" ht="14.25">
      <c r="C12" s="54" t="s">
        <v>606</v>
      </c>
      <c r="D12" s="54"/>
      <c r="E12" s="54"/>
      <c r="F12" s="54"/>
      <c r="G12" s="54"/>
      <c r="H12" s="54"/>
      <c r="I12" s="54"/>
    </row>
    <row r="13" spans="3:9" ht="14.25">
      <c r="C13" s="54" t="s">
        <v>668</v>
      </c>
      <c r="D13" s="54"/>
      <c r="E13" s="54"/>
      <c r="F13" s="54"/>
      <c r="G13" s="54"/>
      <c r="H13" s="54"/>
      <c r="I13" s="54"/>
    </row>
    <row r="14" spans="3:9" ht="14.25">
      <c r="C14" s="54" t="s">
        <v>669</v>
      </c>
      <c r="D14" s="54"/>
      <c r="E14" s="54"/>
      <c r="F14" s="54"/>
      <c r="G14" s="54"/>
      <c r="H14" s="54"/>
      <c r="I14" s="54"/>
    </row>
    <row r="15" spans="3:9" ht="14.25">
      <c r="C15" s="54" t="s">
        <v>670</v>
      </c>
      <c r="D15" s="54"/>
      <c r="E15" s="54"/>
      <c r="F15" s="54"/>
      <c r="G15" s="54"/>
      <c r="H15" s="54"/>
      <c r="I15" s="54"/>
    </row>
    <row r="16" spans="3:9" ht="14.25">
      <c r="C16" s="54" t="s">
        <v>780</v>
      </c>
      <c r="D16" s="54"/>
      <c r="E16" s="54"/>
      <c r="F16" s="54"/>
      <c r="G16" s="54"/>
      <c r="H16" s="54"/>
      <c r="I16" s="54"/>
    </row>
    <row r="17" spans="3:9" ht="14.25">
      <c r="C17" s="54"/>
      <c r="D17" s="54"/>
      <c r="E17" s="54"/>
      <c r="F17" s="54"/>
      <c r="G17" s="54"/>
      <c r="H17" s="54"/>
      <c r="I17" s="54"/>
    </row>
    <row r="18" spans="3:9" ht="14.25">
      <c r="C18" s="54" t="s">
        <v>607</v>
      </c>
      <c r="D18" s="54"/>
      <c r="E18" s="54"/>
      <c r="F18" s="54"/>
      <c r="G18" s="54"/>
      <c r="H18" s="54"/>
      <c r="I18" s="54"/>
    </row>
    <row r="19" spans="3:9" ht="14.25">
      <c r="C19" s="54" t="s">
        <v>611</v>
      </c>
      <c r="D19" s="54"/>
      <c r="E19" s="54"/>
      <c r="F19" s="54"/>
      <c r="G19" s="54"/>
      <c r="H19" s="54"/>
      <c r="I19" s="54"/>
    </row>
    <row r="20" spans="3:9" ht="14.25">
      <c r="C20" s="54" t="s">
        <v>610</v>
      </c>
      <c r="D20" s="54"/>
      <c r="E20" s="54"/>
      <c r="F20" s="54"/>
      <c r="G20" s="54"/>
      <c r="H20" s="54"/>
      <c r="I20" s="54"/>
    </row>
    <row r="21" spans="3:9" ht="14.25">
      <c r="C21" s="54"/>
      <c r="D21" s="54"/>
      <c r="E21" s="54"/>
      <c r="F21" s="54"/>
      <c r="G21" s="54"/>
      <c r="H21" s="54"/>
      <c r="I21" s="54"/>
    </row>
    <row r="22" spans="3:9" ht="15">
      <c r="C22" s="56" t="s">
        <v>612</v>
      </c>
      <c r="D22" s="54"/>
      <c r="E22" s="54"/>
      <c r="F22" s="54"/>
      <c r="G22" s="54"/>
      <c r="H22" s="54"/>
      <c r="I22" s="54"/>
    </row>
    <row r="23" spans="3:9" ht="14.25">
      <c r="C23" s="51" t="s">
        <v>896</v>
      </c>
      <c r="D23" s="54"/>
      <c r="E23" s="54"/>
      <c r="F23" s="54"/>
      <c r="G23" s="54"/>
      <c r="H23" s="54"/>
      <c r="I23" s="54"/>
    </row>
    <row r="24" spans="3:9" ht="14.25">
      <c r="C24" s="51" t="s">
        <v>897</v>
      </c>
      <c r="D24" s="54"/>
      <c r="E24" s="54"/>
      <c r="F24" s="54"/>
      <c r="G24" s="54"/>
      <c r="H24" s="54"/>
      <c r="I24" s="54"/>
    </row>
    <row r="25" spans="4:9" ht="15" thickBot="1">
      <c r="D25" s="54"/>
      <c r="E25" s="54"/>
      <c r="F25" s="54"/>
      <c r="G25" s="54"/>
      <c r="H25" s="54"/>
      <c r="I25" s="54"/>
    </row>
    <row r="26" spans="3:9" ht="15.75" customHeight="1" thickBot="1">
      <c r="C26" s="298" t="s">
        <v>608</v>
      </c>
      <c r="D26" s="966" t="s">
        <v>813</v>
      </c>
      <c r="E26" s="967"/>
      <c r="F26" s="967"/>
      <c r="G26" s="968"/>
      <c r="H26" s="54"/>
      <c r="I26" s="54"/>
    </row>
    <row r="27" spans="4:9" ht="15" thickBot="1">
      <c r="D27" s="54"/>
      <c r="E27" s="54"/>
      <c r="F27" s="54"/>
      <c r="G27" s="54"/>
      <c r="H27" s="54"/>
      <c r="I27" s="54"/>
    </row>
    <row r="28" spans="3:9" ht="14.25">
      <c r="C28" s="961" t="s">
        <v>295</v>
      </c>
      <c r="D28" s="962"/>
      <c r="E28" s="963"/>
      <c r="F28" s="54"/>
      <c r="G28" s="54"/>
      <c r="H28" s="54"/>
      <c r="I28" s="54"/>
    </row>
    <row r="29" spans="3:9" ht="14.25">
      <c r="C29" s="228" t="s">
        <v>894</v>
      </c>
      <c r="D29" s="971" t="s">
        <v>895</v>
      </c>
      <c r="E29" s="972"/>
      <c r="F29" s="54"/>
      <c r="G29" s="54"/>
      <c r="H29" s="54"/>
      <c r="I29" s="54"/>
    </row>
    <row r="30" spans="3:9" ht="15" thickBot="1">
      <c r="C30" s="229" t="s">
        <v>296</v>
      </c>
      <c r="D30" s="964">
        <v>2010</v>
      </c>
      <c r="E30" s="965"/>
      <c r="F30" s="54"/>
      <c r="G30" s="54"/>
      <c r="H30" s="54"/>
      <c r="I30" s="54"/>
    </row>
    <row r="31" spans="4:9" ht="14.25">
      <c r="D31" s="54"/>
      <c r="E31" s="54"/>
      <c r="F31" s="54"/>
      <c r="G31" s="54"/>
      <c r="H31" s="54"/>
      <c r="I31" s="54"/>
    </row>
    <row r="32" spans="3:9" ht="14.25">
      <c r="C32" s="51" t="s">
        <v>613</v>
      </c>
      <c r="D32" s="54"/>
      <c r="E32" s="54"/>
      <c r="F32" s="54"/>
      <c r="G32" s="54"/>
      <c r="H32" s="54"/>
      <c r="I32" s="54"/>
    </row>
    <row r="33" spans="3:9" ht="14.25">
      <c r="C33" s="51" t="s">
        <v>792</v>
      </c>
      <c r="D33" s="54"/>
      <c r="E33" s="54"/>
      <c r="F33" s="54"/>
      <c r="G33" s="54"/>
      <c r="H33" s="54"/>
      <c r="I33" s="54"/>
    </row>
    <row r="34" spans="3:9" ht="14.25">
      <c r="C34" s="51" t="s">
        <v>793</v>
      </c>
      <c r="D34" s="54"/>
      <c r="E34" s="54"/>
      <c r="F34" s="54"/>
      <c r="G34" s="54"/>
      <c r="H34" s="54"/>
      <c r="I34" s="54"/>
    </row>
    <row r="35" s="54" customFormat="1" ht="15" thickBot="1"/>
    <row r="36" spans="3:9" ht="14.25">
      <c r="C36" s="961" t="s">
        <v>605</v>
      </c>
      <c r="D36" s="962"/>
      <c r="E36" s="963"/>
      <c r="F36" s="54"/>
      <c r="G36" s="54"/>
      <c r="H36" s="54"/>
      <c r="I36" s="54"/>
    </row>
    <row r="37" spans="3:7" ht="15">
      <c r="C37" s="302" t="s">
        <v>250</v>
      </c>
      <c r="D37" s="301" t="s">
        <v>460</v>
      </c>
      <c r="E37" s="303" t="s">
        <v>461</v>
      </c>
      <c r="F37" s="56"/>
      <c r="G37" s="56"/>
    </row>
    <row r="38" spans="3:6" ht="28.5" customHeight="1">
      <c r="C38" s="145" t="s">
        <v>100</v>
      </c>
      <c r="D38" s="871">
        <f>'Electricity Module'!D24</f>
        <v>0</v>
      </c>
      <c r="E38" s="872">
        <f>'Electricity Module'!D25</f>
        <v>0</v>
      </c>
      <c r="F38" s="50"/>
    </row>
    <row r="39" spans="3:5" ht="28.5" customHeight="1">
      <c r="C39" s="145" t="s">
        <v>252</v>
      </c>
      <c r="D39" s="871">
        <f>'Materials Module'!D30</f>
        <v>0</v>
      </c>
      <c r="E39" s="872">
        <f>'Materials Module'!D31</f>
        <v>0</v>
      </c>
    </row>
    <row r="40" spans="3:7" ht="28.5" customHeight="1">
      <c r="C40" s="145" t="s">
        <v>251</v>
      </c>
      <c r="D40" s="871">
        <f>'On-Road Module'!C18</f>
        <v>0</v>
      </c>
      <c r="E40" s="872">
        <f>'On-Road Module'!C19</f>
        <v>0</v>
      </c>
      <c r="F40" s="54"/>
      <c r="G40" s="54"/>
    </row>
    <row r="41" spans="3:5" ht="28.5" customHeight="1">
      <c r="C41" s="145" t="s">
        <v>602</v>
      </c>
      <c r="D41" s="871">
        <f>'Off-Road Module'!D25</f>
        <v>0</v>
      </c>
      <c r="E41" s="872">
        <f>'Off-Road Module'!D26</f>
        <v>0</v>
      </c>
    </row>
    <row r="42" spans="3:5" ht="26.25" customHeight="1" thickBot="1">
      <c r="C42" s="300" t="s">
        <v>232</v>
      </c>
      <c r="D42" s="873">
        <f>SUM(D38:D41)</f>
        <v>0</v>
      </c>
      <c r="E42" s="874">
        <f>SUM(E38:E41)</f>
        <v>0</v>
      </c>
    </row>
    <row r="45" spans="3:9" ht="15">
      <c r="C45" s="56" t="s">
        <v>609</v>
      </c>
      <c r="D45" s="54"/>
      <c r="E45" s="54"/>
      <c r="F45" s="54"/>
      <c r="G45" s="54"/>
      <c r="H45" s="54"/>
      <c r="I45" s="54"/>
    </row>
    <row r="46" spans="3:9" ht="15">
      <c r="C46" s="56"/>
      <c r="D46" s="54"/>
      <c r="E46" s="54"/>
      <c r="F46" s="54"/>
      <c r="G46" s="54"/>
      <c r="H46" s="54"/>
      <c r="I46" s="54"/>
    </row>
    <row r="47" spans="3:9" ht="14.25">
      <c r="C47" s="54" t="s">
        <v>618</v>
      </c>
      <c r="D47" s="54"/>
      <c r="E47" s="54"/>
      <c r="F47" s="54"/>
      <c r="G47" s="54"/>
      <c r="H47" s="54"/>
      <c r="I47" s="54"/>
    </row>
    <row r="48" spans="3:9" ht="14.25">
      <c r="C48" s="54" t="s">
        <v>619</v>
      </c>
      <c r="D48" s="54"/>
      <c r="E48" s="54"/>
      <c r="F48" s="54"/>
      <c r="G48" s="54"/>
      <c r="H48" s="54"/>
      <c r="I48" s="54"/>
    </row>
    <row r="49" spans="3:9" ht="14.25">
      <c r="C49" s="54" t="s">
        <v>620</v>
      </c>
      <c r="D49" s="54"/>
      <c r="E49" s="54"/>
      <c r="F49" s="54"/>
      <c r="G49" s="54"/>
      <c r="H49" s="54"/>
      <c r="I49" s="54"/>
    </row>
    <row r="50" ht="15" thickBot="1"/>
    <row r="51" spans="3:11" ht="15" customHeight="1">
      <c r="C51" s="961" t="s">
        <v>614</v>
      </c>
      <c r="D51" s="962"/>
      <c r="E51" s="962"/>
      <c r="F51" s="962"/>
      <c r="G51" s="962"/>
      <c r="H51" s="963"/>
      <c r="I51" s="945"/>
      <c r="J51" s="945"/>
      <c r="K51" s="945"/>
    </row>
    <row r="52" spans="3:11" ht="14.25">
      <c r="C52" s="865" t="s">
        <v>615</v>
      </c>
      <c r="D52" s="939" t="s">
        <v>794</v>
      </c>
      <c r="E52" s="939"/>
      <c r="F52" s="939"/>
      <c r="G52" s="939"/>
      <c r="H52" s="940"/>
      <c r="I52" s="939"/>
      <c r="J52" s="939"/>
      <c r="K52" s="939"/>
    </row>
    <row r="53" spans="3:11" ht="14.25">
      <c r="C53" s="299" t="s">
        <v>632</v>
      </c>
      <c r="D53" s="941" t="s">
        <v>616</v>
      </c>
      <c r="E53" s="941"/>
      <c r="F53" s="941"/>
      <c r="G53" s="941"/>
      <c r="H53" s="942"/>
      <c r="I53" s="941"/>
      <c r="J53" s="941"/>
      <c r="K53" s="941"/>
    </row>
    <row r="54" spans="3:11" ht="15.75" customHeight="1" thickBot="1">
      <c r="C54" s="300" t="s">
        <v>682</v>
      </c>
      <c r="D54" s="943" t="s">
        <v>617</v>
      </c>
      <c r="E54" s="943"/>
      <c r="F54" s="943"/>
      <c r="G54" s="943"/>
      <c r="H54" s="944"/>
      <c r="I54" s="941"/>
      <c r="J54" s="941"/>
      <c r="K54" s="941"/>
    </row>
    <row r="56" ht="14.25">
      <c r="C56" s="51" t="s">
        <v>853</v>
      </c>
    </row>
    <row r="57" ht="14.25">
      <c r="C57" s="51" t="s">
        <v>783</v>
      </c>
    </row>
    <row r="58" ht="14.25">
      <c r="C58" s="51" t="s">
        <v>621</v>
      </c>
    </row>
    <row r="60" ht="14.25">
      <c r="C60" s="51" t="s">
        <v>685</v>
      </c>
    </row>
    <row r="61" ht="14.25">
      <c r="C61" s="51" t="s">
        <v>684</v>
      </c>
    </row>
    <row r="63" ht="15">
      <c r="C63" s="56" t="s">
        <v>854</v>
      </c>
    </row>
    <row r="65" ht="14.25">
      <c r="C65" s="51" t="s">
        <v>888</v>
      </c>
    </row>
    <row r="66" ht="14.25">
      <c r="C66" s="51" t="s">
        <v>889</v>
      </c>
    </row>
    <row r="67" ht="14.25">
      <c r="C67" s="51" t="s">
        <v>890</v>
      </c>
    </row>
    <row r="68" ht="14.25">
      <c r="C68" s="51" t="s">
        <v>891</v>
      </c>
    </row>
    <row r="70" ht="14.25"/>
  </sheetData>
  <sheetProtection/>
  <mergeCells count="12">
    <mergeCell ref="C2:I2"/>
    <mergeCell ref="C3:I3"/>
    <mergeCell ref="C7:I7"/>
    <mergeCell ref="C36:E36"/>
    <mergeCell ref="C28:E28"/>
    <mergeCell ref="D29:E29"/>
    <mergeCell ref="C51:H51"/>
    <mergeCell ref="D30:E30"/>
    <mergeCell ref="D26:G26"/>
    <mergeCell ref="C6:I6"/>
    <mergeCell ref="C5:I5"/>
    <mergeCell ref="C4:I4"/>
  </mergeCells>
  <dataValidations count="2">
    <dataValidation type="whole" showInputMessage="1" showErrorMessage="1" sqref="D30:E30">
      <formula1>2000</formula1>
      <formula2>2020</formula2>
    </dataValidation>
    <dataValidation type="list" showInputMessage="1" showErrorMessage="1" sqref="D29:E29">
      <formula1>States</formula1>
    </dataValidation>
  </dataValidation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23">
    <tabColor indexed="42"/>
  </sheetPr>
  <dimension ref="A1:AT52"/>
  <sheetViews>
    <sheetView zoomScalePageLayoutView="0" workbookViewId="0" topLeftCell="A1">
      <selection activeCell="R36" sqref="R36"/>
    </sheetView>
  </sheetViews>
  <sheetFormatPr defaultColWidth="9.140625" defaultRowHeight="15"/>
  <cols>
    <col min="1" max="1" width="9.140625" style="140" customWidth="1"/>
    <col min="2" max="2" width="19.7109375" style="140" bestFit="1" customWidth="1"/>
    <col min="3" max="16384" width="9.140625" style="140" customWidth="1"/>
  </cols>
  <sheetData>
    <row r="1" ht="12.75">
      <c r="B1" s="508" t="s">
        <v>653</v>
      </c>
    </row>
    <row r="2" ht="12.75">
      <c r="B2" s="141" t="s">
        <v>657</v>
      </c>
    </row>
    <row r="3" ht="13.5" thickBot="1"/>
    <row r="4" spans="2:12" ht="38.25" customHeight="1">
      <c r="B4" s="1004" t="s">
        <v>654</v>
      </c>
      <c r="C4" s="1005"/>
      <c r="D4" s="1005"/>
      <c r="E4" s="1005"/>
      <c r="F4" s="1005"/>
      <c r="G4" s="1005"/>
      <c r="H4" s="1005"/>
      <c r="I4" s="1005"/>
      <c r="J4" s="1005"/>
      <c r="K4" s="1005"/>
      <c r="L4" s="1006"/>
    </row>
    <row r="5" spans="2:12" ht="12.75">
      <c r="B5" s="269" t="s">
        <v>656</v>
      </c>
      <c r="C5" s="270">
        <v>1981</v>
      </c>
      <c r="D5" s="270">
        <v>1982</v>
      </c>
      <c r="E5" s="270">
        <v>1983</v>
      </c>
      <c r="F5" s="270">
        <v>1984</v>
      </c>
      <c r="G5" s="270">
        <v>1985</v>
      </c>
      <c r="H5" s="270">
        <v>1986</v>
      </c>
      <c r="I5" s="270">
        <v>1987</v>
      </c>
      <c r="J5" s="270">
        <v>1988</v>
      </c>
      <c r="K5" s="270">
        <v>1989</v>
      </c>
      <c r="L5" s="271">
        <v>1990</v>
      </c>
    </row>
    <row r="6" spans="2:12" ht="12.75">
      <c r="B6" s="272" t="s">
        <v>497</v>
      </c>
      <c r="C6" s="231"/>
      <c r="D6" s="231"/>
      <c r="E6" s="231"/>
      <c r="F6" s="231"/>
      <c r="G6" s="231"/>
      <c r="H6" s="231"/>
      <c r="I6" s="231"/>
      <c r="J6" s="231"/>
      <c r="K6" s="231"/>
      <c r="L6" s="232"/>
    </row>
    <row r="7" spans="2:12" ht="12.75">
      <c r="B7" s="272" t="s">
        <v>501</v>
      </c>
      <c r="C7" s="231"/>
      <c r="D7" s="231"/>
      <c r="E7" s="231"/>
      <c r="F7" s="231"/>
      <c r="G7" s="231"/>
      <c r="H7" s="231"/>
      <c r="I7" s="231"/>
      <c r="J7" s="231"/>
      <c r="K7" s="231"/>
      <c r="L7" s="232"/>
    </row>
    <row r="8" spans="2:12" ht="12.75">
      <c r="B8" s="269" t="s">
        <v>656</v>
      </c>
      <c r="C8" s="273">
        <v>1991</v>
      </c>
      <c r="D8" s="273">
        <v>1992</v>
      </c>
      <c r="E8" s="273">
        <v>1993</v>
      </c>
      <c r="F8" s="273">
        <v>1994</v>
      </c>
      <c r="G8" s="273">
        <v>1995</v>
      </c>
      <c r="H8" s="273">
        <v>1996</v>
      </c>
      <c r="I8" s="273">
        <v>1997</v>
      </c>
      <c r="J8" s="273">
        <v>1998</v>
      </c>
      <c r="K8" s="273">
        <v>1999</v>
      </c>
      <c r="L8" s="274">
        <v>2000</v>
      </c>
    </row>
    <row r="9" spans="2:12" ht="12.75">
      <c r="B9" s="272" t="s">
        <v>497</v>
      </c>
      <c r="C9" s="231"/>
      <c r="D9" s="231"/>
      <c r="E9" s="231"/>
      <c r="F9" s="231"/>
      <c r="G9" s="231"/>
      <c r="H9" s="231"/>
      <c r="I9" s="231"/>
      <c r="J9" s="231"/>
      <c r="K9" s="231"/>
      <c r="L9" s="232"/>
    </row>
    <row r="10" spans="2:12" ht="12.75">
      <c r="B10" s="272" t="s">
        <v>501</v>
      </c>
      <c r="C10" s="231"/>
      <c r="D10" s="231"/>
      <c r="E10" s="231"/>
      <c r="F10" s="231"/>
      <c r="G10" s="231"/>
      <c r="H10" s="231"/>
      <c r="I10" s="231"/>
      <c r="J10" s="231"/>
      <c r="K10" s="231"/>
      <c r="L10" s="232"/>
    </row>
    <row r="11" spans="2:12" ht="12.75">
      <c r="B11" s="269" t="s">
        <v>656</v>
      </c>
      <c r="C11" s="273">
        <v>2001</v>
      </c>
      <c r="D11" s="273">
        <v>2002</v>
      </c>
      <c r="E11" s="273">
        <v>2003</v>
      </c>
      <c r="F11" s="273">
        <v>2004</v>
      </c>
      <c r="G11" s="273">
        <v>2005</v>
      </c>
      <c r="H11" s="273">
        <v>2006</v>
      </c>
      <c r="I11" s="273">
        <v>2007</v>
      </c>
      <c r="J11" s="273">
        <v>2008</v>
      </c>
      <c r="K11" s="273">
        <v>2009</v>
      </c>
      <c r="L11" s="274">
        <v>2010</v>
      </c>
    </row>
    <row r="12" spans="2:12" ht="12.75">
      <c r="B12" s="272" t="s">
        <v>497</v>
      </c>
      <c r="C12" s="231"/>
      <c r="D12" s="231"/>
      <c r="E12" s="231"/>
      <c r="F12" s="231"/>
      <c r="G12" s="231"/>
      <c r="H12" s="231"/>
      <c r="I12" s="231"/>
      <c r="J12" s="231"/>
      <c r="K12" s="231"/>
      <c r="L12" s="232"/>
    </row>
    <row r="13" spans="2:12" ht="12.75">
      <c r="B13" s="272" t="s">
        <v>501</v>
      </c>
      <c r="C13" s="231"/>
      <c r="D13" s="231"/>
      <c r="E13" s="231"/>
      <c r="F13" s="231"/>
      <c r="G13" s="231"/>
      <c r="H13" s="231"/>
      <c r="I13" s="231"/>
      <c r="J13" s="231"/>
      <c r="K13" s="231"/>
      <c r="L13" s="232"/>
    </row>
    <row r="14" spans="2:12" ht="12.75">
      <c r="B14" s="269" t="s">
        <v>656</v>
      </c>
      <c r="C14" s="273">
        <v>2011</v>
      </c>
      <c r="D14" s="273">
        <v>2012</v>
      </c>
      <c r="E14" s="273">
        <v>2013</v>
      </c>
      <c r="F14" s="273">
        <v>2014</v>
      </c>
      <c r="G14" s="273">
        <v>2015</v>
      </c>
      <c r="H14" s="273">
        <v>2016</v>
      </c>
      <c r="I14" s="273">
        <v>2017</v>
      </c>
      <c r="J14" s="273">
        <v>2018</v>
      </c>
      <c r="K14" s="273">
        <v>2019</v>
      </c>
      <c r="L14" s="274">
        <v>2020</v>
      </c>
    </row>
    <row r="15" spans="2:12" ht="12.75">
      <c r="B15" s="272" t="s">
        <v>497</v>
      </c>
      <c r="C15" s="231"/>
      <c r="D15" s="231"/>
      <c r="E15" s="231"/>
      <c r="F15" s="231"/>
      <c r="G15" s="231"/>
      <c r="H15" s="231"/>
      <c r="I15" s="231"/>
      <c r="J15" s="231"/>
      <c r="K15" s="231"/>
      <c r="L15" s="232"/>
    </row>
    <row r="16" spans="2:12" ht="13.5" thickBot="1">
      <c r="B16" s="275" t="s">
        <v>501</v>
      </c>
      <c r="C16" s="234"/>
      <c r="D16" s="234"/>
      <c r="E16" s="234"/>
      <c r="F16" s="234"/>
      <c r="G16" s="234"/>
      <c r="H16" s="234"/>
      <c r="I16" s="234"/>
      <c r="J16" s="234"/>
      <c r="K16" s="234"/>
      <c r="L16" s="276"/>
    </row>
    <row r="17" ht="13.5" thickBot="1"/>
    <row r="18" spans="2:12" ht="12.75">
      <c r="B18" s="1004" t="s">
        <v>655</v>
      </c>
      <c r="C18" s="1005"/>
      <c r="D18" s="1005"/>
      <c r="E18" s="1005"/>
      <c r="F18" s="1005"/>
      <c r="G18" s="1005"/>
      <c r="H18" s="1005"/>
      <c r="I18" s="1005"/>
      <c r="J18" s="1005"/>
      <c r="K18" s="1005"/>
      <c r="L18" s="1006"/>
    </row>
    <row r="19" spans="2:12" ht="12.75">
      <c r="B19" s="269" t="s">
        <v>656</v>
      </c>
      <c r="C19" s="270">
        <v>1981</v>
      </c>
      <c r="D19" s="270">
        <v>1982</v>
      </c>
      <c r="E19" s="270">
        <v>1983</v>
      </c>
      <c r="F19" s="270">
        <v>1984</v>
      </c>
      <c r="G19" s="270">
        <v>1985</v>
      </c>
      <c r="H19" s="270">
        <v>1986</v>
      </c>
      <c r="I19" s="270">
        <v>1987</v>
      </c>
      <c r="J19" s="270">
        <v>1988</v>
      </c>
      <c r="K19" s="270">
        <v>1989</v>
      </c>
      <c r="L19" s="271">
        <v>1990</v>
      </c>
    </row>
    <row r="20" spans="2:12" ht="12.75">
      <c r="B20" s="272" t="s">
        <v>497</v>
      </c>
      <c r="C20" s="231"/>
      <c r="D20" s="231"/>
      <c r="E20" s="231"/>
      <c r="F20" s="231"/>
      <c r="G20" s="231"/>
      <c r="H20" s="231"/>
      <c r="I20" s="231"/>
      <c r="J20" s="231"/>
      <c r="K20" s="231"/>
      <c r="L20" s="232"/>
    </row>
    <row r="21" spans="2:12" ht="12.75">
      <c r="B21" s="272" t="s">
        <v>501</v>
      </c>
      <c r="C21" s="231"/>
      <c r="D21" s="231"/>
      <c r="E21" s="231"/>
      <c r="F21" s="231"/>
      <c r="G21" s="231"/>
      <c r="H21" s="231"/>
      <c r="I21" s="231"/>
      <c r="J21" s="231"/>
      <c r="K21" s="231"/>
      <c r="L21" s="232"/>
    </row>
    <row r="22" spans="2:12" ht="12.75">
      <c r="B22" s="269" t="s">
        <v>656</v>
      </c>
      <c r="C22" s="273">
        <v>1991</v>
      </c>
      <c r="D22" s="273">
        <v>1992</v>
      </c>
      <c r="E22" s="273">
        <v>1993</v>
      </c>
      <c r="F22" s="273">
        <v>1994</v>
      </c>
      <c r="G22" s="273">
        <v>1995</v>
      </c>
      <c r="H22" s="273">
        <v>1996</v>
      </c>
      <c r="I22" s="273">
        <v>1997</v>
      </c>
      <c r="J22" s="273">
        <v>1998</v>
      </c>
      <c r="K22" s="273">
        <v>1999</v>
      </c>
      <c r="L22" s="274">
        <v>2000</v>
      </c>
    </row>
    <row r="23" spans="2:12" ht="12.75">
      <c r="B23" s="272" t="s">
        <v>497</v>
      </c>
      <c r="C23" s="231"/>
      <c r="D23" s="231"/>
      <c r="E23" s="231"/>
      <c r="F23" s="231"/>
      <c r="G23" s="231"/>
      <c r="H23" s="231"/>
      <c r="I23" s="231"/>
      <c r="J23" s="231"/>
      <c r="K23" s="231"/>
      <c r="L23" s="232"/>
    </row>
    <row r="24" spans="2:12" ht="12.75">
      <c r="B24" s="272" t="s">
        <v>501</v>
      </c>
      <c r="C24" s="231"/>
      <c r="D24" s="231"/>
      <c r="E24" s="231"/>
      <c r="F24" s="231"/>
      <c r="G24" s="231"/>
      <c r="H24" s="231"/>
      <c r="I24" s="231"/>
      <c r="J24" s="231"/>
      <c r="K24" s="231"/>
      <c r="L24" s="232"/>
    </row>
    <row r="25" spans="2:12" ht="12.75">
      <c r="B25" s="269" t="s">
        <v>656</v>
      </c>
      <c r="C25" s="273">
        <v>2001</v>
      </c>
      <c r="D25" s="273">
        <v>2002</v>
      </c>
      <c r="E25" s="273">
        <v>2003</v>
      </c>
      <c r="F25" s="273">
        <v>2004</v>
      </c>
      <c r="G25" s="273">
        <v>2005</v>
      </c>
      <c r="H25" s="273">
        <v>2006</v>
      </c>
      <c r="I25" s="273">
        <v>2007</v>
      </c>
      <c r="J25" s="273">
        <v>2008</v>
      </c>
      <c r="K25" s="273">
        <v>2009</v>
      </c>
      <c r="L25" s="274">
        <v>2010</v>
      </c>
    </row>
    <row r="26" spans="2:12" ht="12.75">
      <c r="B26" s="272" t="s">
        <v>497</v>
      </c>
      <c r="C26" s="231"/>
      <c r="D26" s="231"/>
      <c r="E26" s="231"/>
      <c r="F26" s="231"/>
      <c r="G26" s="231"/>
      <c r="H26" s="231"/>
      <c r="I26" s="231"/>
      <c r="J26" s="231"/>
      <c r="K26" s="231"/>
      <c r="L26" s="232"/>
    </row>
    <row r="27" spans="2:12" ht="12.75">
      <c r="B27" s="272" t="s">
        <v>501</v>
      </c>
      <c r="C27" s="231"/>
      <c r="D27" s="231"/>
      <c r="E27" s="231"/>
      <c r="F27" s="231"/>
      <c r="G27" s="231"/>
      <c r="H27" s="231"/>
      <c r="I27" s="231"/>
      <c r="J27" s="231"/>
      <c r="K27" s="231"/>
      <c r="L27" s="232"/>
    </row>
    <row r="28" spans="2:12" ht="12.75">
      <c r="B28" s="269" t="s">
        <v>656</v>
      </c>
      <c r="C28" s="273">
        <v>2011</v>
      </c>
      <c r="D28" s="273">
        <v>2012</v>
      </c>
      <c r="E28" s="273">
        <v>2013</v>
      </c>
      <c r="F28" s="273">
        <v>2014</v>
      </c>
      <c r="G28" s="273">
        <v>2015</v>
      </c>
      <c r="H28" s="273">
        <v>2016</v>
      </c>
      <c r="I28" s="273">
        <v>2017</v>
      </c>
      <c r="J28" s="273">
        <v>2018</v>
      </c>
      <c r="K28" s="273">
        <v>2019</v>
      </c>
      <c r="L28" s="274">
        <v>2020</v>
      </c>
    </row>
    <row r="29" spans="2:12" ht="12.75">
      <c r="B29" s="272" t="s">
        <v>497</v>
      </c>
      <c r="C29" s="231"/>
      <c r="D29" s="231"/>
      <c r="E29" s="231"/>
      <c r="F29" s="231"/>
      <c r="G29" s="231"/>
      <c r="H29" s="231"/>
      <c r="I29" s="231"/>
      <c r="J29" s="231"/>
      <c r="K29" s="231"/>
      <c r="L29" s="232"/>
    </row>
    <row r="30" spans="2:12" ht="13.5" thickBot="1">
      <c r="B30" s="275" t="s">
        <v>501</v>
      </c>
      <c r="C30" s="234"/>
      <c r="D30" s="234"/>
      <c r="E30" s="234"/>
      <c r="F30" s="234"/>
      <c r="G30" s="234"/>
      <c r="H30" s="234"/>
      <c r="I30" s="234"/>
      <c r="J30" s="234"/>
      <c r="K30" s="234"/>
      <c r="L30" s="276"/>
    </row>
    <row r="38" ht="13.5" thickBot="1"/>
    <row r="39" spans="1:45" ht="12.75">
      <c r="A39" s="163" t="s">
        <v>558</v>
      </c>
      <c r="B39" s="164"/>
      <c r="C39" s="164"/>
      <c r="D39" s="164" t="s">
        <v>559</v>
      </c>
      <c r="E39" s="164"/>
      <c r="F39" s="164" t="s">
        <v>913</v>
      </c>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5"/>
    </row>
    <row r="40" spans="1:45" ht="12.75">
      <c r="A40" s="166" t="s">
        <v>507</v>
      </c>
      <c r="B40" s="167" t="s">
        <v>508</v>
      </c>
      <c r="C40" s="167" t="s">
        <v>509</v>
      </c>
      <c r="D40" s="167" t="s">
        <v>508</v>
      </c>
      <c r="E40" s="167" t="s">
        <v>509</v>
      </c>
      <c r="F40" s="194">
        <v>1981</v>
      </c>
      <c r="G40" s="194">
        <v>1982</v>
      </c>
      <c r="H40" s="194">
        <v>1983</v>
      </c>
      <c r="I40" s="194">
        <v>1984</v>
      </c>
      <c r="J40" s="194">
        <v>1985</v>
      </c>
      <c r="K40" s="194">
        <v>1986</v>
      </c>
      <c r="L40" s="194">
        <v>1987</v>
      </c>
      <c r="M40" s="194">
        <v>1988</v>
      </c>
      <c r="N40" s="194">
        <v>1989</v>
      </c>
      <c r="O40" s="194">
        <v>1990</v>
      </c>
      <c r="P40" s="194">
        <v>1991</v>
      </c>
      <c r="Q40" s="194">
        <v>1992</v>
      </c>
      <c r="R40" s="194">
        <v>1993</v>
      </c>
      <c r="S40" s="194">
        <v>1994</v>
      </c>
      <c r="T40" s="194">
        <v>1995</v>
      </c>
      <c r="U40" s="194">
        <v>1996</v>
      </c>
      <c r="V40" s="194">
        <v>1997</v>
      </c>
      <c r="W40" s="194">
        <v>1998</v>
      </c>
      <c r="X40" s="194">
        <v>1999</v>
      </c>
      <c r="Y40" s="194">
        <v>2000</v>
      </c>
      <c r="Z40" s="194">
        <v>2001</v>
      </c>
      <c r="AA40" s="194">
        <v>2002</v>
      </c>
      <c r="AB40" s="194">
        <v>2003</v>
      </c>
      <c r="AC40" s="194">
        <v>2004</v>
      </c>
      <c r="AD40" s="194">
        <v>2005</v>
      </c>
      <c r="AE40" s="194">
        <v>2006</v>
      </c>
      <c r="AF40" s="194">
        <v>2007</v>
      </c>
      <c r="AG40" s="194">
        <v>2008</v>
      </c>
      <c r="AH40" s="194">
        <v>2009</v>
      </c>
      <c r="AI40" s="194">
        <v>2010</v>
      </c>
      <c r="AJ40" s="194">
        <v>2011</v>
      </c>
      <c r="AK40" s="194">
        <v>2012</v>
      </c>
      <c r="AL40" s="194">
        <v>2013</v>
      </c>
      <c r="AM40" s="194">
        <v>2014</v>
      </c>
      <c r="AN40" s="194">
        <v>2015</v>
      </c>
      <c r="AO40" s="194">
        <v>2016</v>
      </c>
      <c r="AP40" s="194">
        <v>2017</v>
      </c>
      <c r="AQ40" s="194">
        <v>2018</v>
      </c>
      <c r="AR40" s="194">
        <v>2019</v>
      </c>
      <c r="AS40" s="195">
        <v>2020</v>
      </c>
    </row>
    <row r="41" spans="1:45" ht="12.75">
      <c r="A41" s="145">
        <f>C41*10+E41</f>
        <v>11</v>
      </c>
      <c r="B41" s="170" t="s">
        <v>497</v>
      </c>
      <c r="C41" s="168">
        <v>1</v>
      </c>
      <c r="D41" s="168" t="s">
        <v>247</v>
      </c>
      <c r="E41" s="168">
        <v>1</v>
      </c>
      <c r="F41" s="196">
        <v>21.4</v>
      </c>
      <c r="G41" s="196">
        <v>22.2</v>
      </c>
      <c r="H41" s="196">
        <v>22.1</v>
      </c>
      <c r="I41" s="196">
        <v>22.4</v>
      </c>
      <c r="J41" s="196">
        <v>23</v>
      </c>
      <c r="K41" s="196">
        <v>23.7</v>
      </c>
      <c r="L41" s="196">
        <v>23.8</v>
      </c>
      <c r="M41" s="196">
        <v>24.1</v>
      </c>
      <c r="N41" s="197">
        <v>23.7</v>
      </c>
      <c r="O41" s="197">
        <v>23.3</v>
      </c>
      <c r="P41" s="197">
        <v>23.4</v>
      </c>
      <c r="Q41" s="197">
        <v>23.1</v>
      </c>
      <c r="R41" s="197">
        <v>23.5</v>
      </c>
      <c r="S41" s="197">
        <v>23.3</v>
      </c>
      <c r="T41" s="197">
        <v>23.4</v>
      </c>
      <c r="U41" s="197">
        <v>23.3</v>
      </c>
      <c r="V41" s="197">
        <v>23.4</v>
      </c>
      <c r="W41" s="197">
        <v>23.4</v>
      </c>
      <c r="X41" s="197">
        <v>23</v>
      </c>
      <c r="Y41" s="197">
        <v>22.9</v>
      </c>
      <c r="Z41" s="197">
        <v>23</v>
      </c>
      <c r="AA41" s="197">
        <v>23.1</v>
      </c>
      <c r="AB41" s="197">
        <v>23.2</v>
      </c>
      <c r="AC41" s="197">
        <v>23.1</v>
      </c>
      <c r="AD41" s="197">
        <v>23.5</v>
      </c>
      <c r="AE41" s="197">
        <v>23.3</v>
      </c>
      <c r="AF41" s="197">
        <v>24.1</v>
      </c>
      <c r="AG41" s="197">
        <v>24.3</v>
      </c>
      <c r="AH41" s="197">
        <v>24.5</v>
      </c>
      <c r="AI41" s="197">
        <v>24.584645793947534</v>
      </c>
      <c r="AJ41" s="197">
        <v>25.389095094363988</v>
      </c>
      <c r="AK41" s="197">
        <v>26.650273446949246</v>
      </c>
      <c r="AL41" s="197">
        <v>27.693764492803812</v>
      </c>
      <c r="AM41" s="197">
        <v>28.762662300143724</v>
      </c>
      <c r="AN41" s="197">
        <v>30.074935403502764</v>
      </c>
      <c r="AO41" s="197">
        <v>30.9742113218361</v>
      </c>
      <c r="AP41" s="197">
        <v>31.71693961286787</v>
      </c>
      <c r="AQ41" s="197">
        <v>32.357444428523166</v>
      </c>
      <c r="AR41" s="197">
        <v>32.74522170812085</v>
      </c>
      <c r="AS41" s="198">
        <v>33.07467724862829</v>
      </c>
    </row>
    <row r="42" spans="1:45" ht="12.75">
      <c r="A42" s="145">
        <f>C42*10+E42</f>
        <v>51</v>
      </c>
      <c r="B42" s="170" t="s">
        <v>501</v>
      </c>
      <c r="C42" s="168">
        <v>5</v>
      </c>
      <c r="D42" s="168" t="s">
        <v>247</v>
      </c>
      <c r="E42" s="168">
        <v>1</v>
      </c>
      <c r="F42" s="196">
        <v>25.68</v>
      </c>
      <c r="G42" s="196">
        <v>26.64</v>
      </c>
      <c r="H42" s="196">
        <v>26.52</v>
      </c>
      <c r="I42" s="196">
        <v>26.88</v>
      </c>
      <c r="J42" s="196">
        <v>27.6</v>
      </c>
      <c r="K42" s="196">
        <v>28.44</v>
      </c>
      <c r="L42" s="196">
        <v>28.56</v>
      </c>
      <c r="M42" s="196">
        <v>28.92</v>
      </c>
      <c r="N42" s="197">
        <v>28.44</v>
      </c>
      <c r="O42" s="197">
        <v>27.96</v>
      </c>
      <c r="P42" s="197">
        <v>28.08</v>
      </c>
      <c r="Q42" s="197">
        <v>27.72</v>
      </c>
      <c r="R42" s="197">
        <v>28.2</v>
      </c>
      <c r="S42" s="197">
        <v>27.96</v>
      </c>
      <c r="T42" s="197">
        <v>28.08</v>
      </c>
      <c r="U42" s="197">
        <v>27.96</v>
      </c>
      <c r="V42" s="197">
        <v>28.08</v>
      </c>
      <c r="W42" s="197">
        <v>28.08</v>
      </c>
      <c r="X42" s="197">
        <v>27.6</v>
      </c>
      <c r="Y42" s="197">
        <v>27.48</v>
      </c>
      <c r="Z42" s="197">
        <v>27.6</v>
      </c>
      <c r="AA42" s="197">
        <v>27.72</v>
      </c>
      <c r="AB42" s="197">
        <v>27.84</v>
      </c>
      <c r="AC42" s="197">
        <v>27.72</v>
      </c>
      <c r="AD42" s="197">
        <v>28.2</v>
      </c>
      <c r="AE42" s="197">
        <v>27.96</v>
      </c>
      <c r="AF42" s="197">
        <v>28.92</v>
      </c>
      <c r="AG42" s="197">
        <v>29.16</v>
      </c>
      <c r="AH42" s="197">
        <v>29.4</v>
      </c>
      <c r="AI42" s="197">
        <v>29.501574952737037</v>
      </c>
      <c r="AJ42" s="197">
        <v>30.466914113236783</v>
      </c>
      <c r="AK42" s="197">
        <v>31.980328136339093</v>
      </c>
      <c r="AL42" s="197">
        <v>33.232517391364574</v>
      </c>
      <c r="AM42" s="197">
        <v>34.51519476017247</v>
      </c>
      <c r="AN42" s="197">
        <v>36.08992248420331</v>
      </c>
      <c r="AO42" s="197">
        <v>37.16905358620332</v>
      </c>
      <c r="AP42" s="197">
        <v>38.06032753544144</v>
      </c>
      <c r="AQ42" s="197">
        <v>38.8289333142278</v>
      </c>
      <c r="AR42" s="197">
        <v>39.29426604974502</v>
      </c>
      <c r="AS42" s="198">
        <v>39.68961269835395</v>
      </c>
    </row>
    <row r="43" spans="1:45" ht="12.75">
      <c r="A43" s="145">
        <f>C43*10+E43</f>
        <v>12</v>
      </c>
      <c r="B43" s="170" t="s">
        <v>497</v>
      </c>
      <c r="C43" s="168">
        <v>1</v>
      </c>
      <c r="D43" s="168" t="s">
        <v>492</v>
      </c>
      <c r="E43" s="168">
        <v>2</v>
      </c>
      <c r="F43" s="196">
        <v>17.1</v>
      </c>
      <c r="G43" s="196">
        <v>17.4</v>
      </c>
      <c r="H43" s="196">
        <v>17.8</v>
      </c>
      <c r="I43" s="196">
        <v>17.4</v>
      </c>
      <c r="J43" s="196">
        <v>17.5</v>
      </c>
      <c r="K43" s="196">
        <v>18.2</v>
      </c>
      <c r="L43" s="196">
        <v>18.3</v>
      </c>
      <c r="M43" s="196">
        <v>17.9</v>
      </c>
      <c r="N43" s="197">
        <v>17.6</v>
      </c>
      <c r="O43" s="197">
        <v>17.4</v>
      </c>
      <c r="P43" s="197">
        <v>17.8</v>
      </c>
      <c r="Q43" s="197">
        <v>17.4</v>
      </c>
      <c r="R43" s="197">
        <v>17.5</v>
      </c>
      <c r="S43" s="197">
        <v>17.2</v>
      </c>
      <c r="T43" s="197">
        <v>17</v>
      </c>
      <c r="U43" s="197">
        <v>17.2</v>
      </c>
      <c r="V43" s="197">
        <v>17</v>
      </c>
      <c r="W43" s="197">
        <v>17.1</v>
      </c>
      <c r="X43" s="197">
        <v>16.7</v>
      </c>
      <c r="Y43" s="197">
        <v>16.9</v>
      </c>
      <c r="Z43" s="197">
        <v>16.7</v>
      </c>
      <c r="AA43" s="197">
        <v>16.7</v>
      </c>
      <c r="AB43" s="197">
        <v>16.9</v>
      </c>
      <c r="AC43" s="197">
        <v>16.7</v>
      </c>
      <c r="AD43" s="197">
        <v>17.2</v>
      </c>
      <c r="AE43" s="197">
        <v>17.5</v>
      </c>
      <c r="AF43" s="197">
        <v>17.7</v>
      </c>
      <c r="AG43" s="197">
        <v>18.2</v>
      </c>
      <c r="AH43" s="197">
        <v>18.4</v>
      </c>
      <c r="AI43" s="197">
        <v>18.655200336746297</v>
      </c>
      <c r="AJ43" s="197">
        <v>19.257169723826525</v>
      </c>
      <c r="AK43" s="197">
        <v>19.960604521593677</v>
      </c>
      <c r="AL43" s="197">
        <v>20.673909054880458</v>
      </c>
      <c r="AM43" s="197">
        <v>21.296937232954594</v>
      </c>
      <c r="AN43" s="197">
        <v>21.696098024488013</v>
      </c>
      <c r="AO43" s="197">
        <v>22.057917028474463</v>
      </c>
      <c r="AP43" s="197">
        <v>22.447411195053483</v>
      </c>
      <c r="AQ43" s="197">
        <v>22.86061717204487</v>
      </c>
      <c r="AR43" s="197">
        <v>23.23075112713572</v>
      </c>
      <c r="AS43" s="198">
        <v>23.60010139898362</v>
      </c>
    </row>
    <row r="44" spans="1:45" ht="13.5" thickBot="1">
      <c r="A44" s="152">
        <f>C44*10+E44</f>
        <v>52</v>
      </c>
      <c r="B44" s="199" t="s">
        <v>501</v>
      </c>
      <c r="C44" s="200">
        <v>5</v>
      </c>
      <c r="D44" s="200" t="s">
        <v>492</v>
      </c>
      <c r="E44" s="200">
        <v>2</v>
      </c>
      <c r="F44" s="201">
        <v>20.52</v>
      </c>
      <c r="G44" s="201">
        <v>20.88</v>
      </c>
      <c r="H44" s="201">
        <v>21.36</v>
      </c>
      <c r="I44" s="201">
        <v>20.88</v>
      </c>
      <c r="J44" s="201">
        <v>21</v>
      </c>
      <c r="K44" s="201">
        <v>21.84</v>
      </c>
      <c r="L44" s="201">
        <v>21.96</v>
      </c>
      <c r="M44" s="201">
        <v>21.48</v>
      </c>
      <c r="N44" s="202">
        <v>21.12</v>
      </c>
      <c r="O44" s="202">
        <v>20.88</v>
      </c>
      <c r="P44" s="202">
        <v>21.36</v>
      </c>
      <c r="Q44" s="202">
        <v>20.88</v>
      </c>
      <c r="R44" s="202">
        <v>21</v>
      </c>
      <c r="S44" s="202">
        <v>20.64</v>
      </c>
      <c r="T44" s="202">
        <v>20.4</v>
      </c>
      <c r="U44" s="202">
        <v>20.64</v>
      </c>
      <c r="V44" s="202">
        <v>20.4</v>
      </c>
      <c r="W44" s="202">
        <v>20.52</v>
      </c>
      <c r="X44" s="202">
        <v>20.04</v>
      </c>
      <c r="Y44" s="202">
        <v>20.28</v>
      </c>
      <c r="Z44" s="202">
        <v>20.04</v>
      </c>
      <c r="AA44" s="202">
        <v>20.04</v>
      </c>
      <c r="AB44" s="202">
        <v>20.28</v>
      </c>
      <c r="AC44" s="202">
        <v>20.04</v>
      </c>
      <c r="AD44" s="202">
        <v>20.64</v>
      </c>
      <c r="AE44" s="202">
        <v>21</v>
      </c>
      <c r="AF44" s="202">
        <v>21.24</v>
      </c>
      <c r="AG44" s="202">
        <v>21.84</v>
      </c>
      <c r="AH44" s="202">
        <v>22.08</v>
      </c>
      <c r="AI44" s="202">
        <v>22.386240404095556</v>
      </c>
      <c r="AJ44" s="202">
        <v>23.10860366859183</v>
      </c>
      <c r="AK44" s="202">
        <v>23.952725425912412</v>
      </c>
      <c r="AL44" s="202">
        <v>24.808690865856548</v>
      </c>
      <c r="AM44" s="202">
        <v>25.55632467954551</v>
      </c>
      <c r="AN44" s="202">
        <v>26.035317629385613</v>
      </c>
      <c r="AO44" s="202">
        <v>26.469500434169355</v>
      </c>
      <c r="AP44" s="202">
        <v>26.936893434064178</v>
      </c>
      <c r="AQ44" s="202">
        <v>27.43274060645384</v>
      </c>
      <c r="AR44" s="202">
        <v>27.87690135256286</v>
      </c>
      <c r="AS44" s="203">
        <v>28.320121678780346</v>
      </c>
    </row>
    <row r="46" ht="13.5" thickBot="1"/>
    <row r="47" spans="1:45" ht="12.75">
      <c r="A47" s="204" t="s">
        <v>560</v>
      </c>
      <c r="B47" s="205"/>
      <c r="C47" s="205"/>
      <c r="D47" s="205" t="s">
        <v>559</v>
      </c>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6"/>
    </row>
    <row r="48" spans="1:46" ht="12.75">
      <c r="A48" s="207" t="s">
        <v>507</v>
      </c>
      <c r="B48" s="208" t="s">
        <v>508</v>
      </c>
      <c r="C48" s="208" t="s">
        <v>509</v>
      </c>
      <c r="D48" s="208" t="s">
        <v>508</v>
      </c>
      <c r="E48" s="208" t="s">
        <v>509</v>
      </c>
      <c r="F48" s="209">
        <v>1981</v>
      </c>
      <c r="G48" s="209">
        <v>1982</v>
      </c>
      <c r="H48" s="209">
        <v>1983</v>
      </c>
      <c r="I48" s="209">
        <v>1984</v>
      </c>
      <c r="J48" s="209">
        <v>1985</v>
      </c>
      <c r="K48" s="209">
        <v>1986</v>
      </c>
      <c r="L48" s="209">
        <v>1987</v>
      </c>
      <c r="M48" s="209">
        <v>1988</v>
      </c>
      <c r="N48" s="209">
        <v>1989</v>
      </c>
      <c r="O48" s="209">
        <v>1990</v>
      </c>
      <c r="P48" s="209">
        <v>1991</v>
      </c>
      <c r="Q48" s="209">
        <v>1992</v>
      </c>
      <c r="R48" s="209">
        <v>1993</v>
      </c>
      <c r="S48" s="209">
        <v>1994</v>
      </c>
      <c r="T48" s="209">
        <v>1995</v>
      </c>
      <c r="U48" s="209">
        <v>1996</v>
      </c>
      <c r="V48" s="209">
        <v>1997</v>
      </c>
      <c r="W48" s="209">
        <v>1998</v>
      </c>
      <c r="X48" s="209">
        <v>1999</v>
      </c>
      <c r="Y48" s="209">
        <v>2000</v>
      </c>
      <c r="Z48" s="209">
        <v>2001</v>
      </c>
      <c r="AA48" s="209">
        <v>2002</v>
      </c>
      <c r="AB48" s="209">
        <v>2003</v>
      </c>
      <c r="AC48" s="209">
        <v>2004</v>
      </c>
      <c r="AD48" s="209">
        <v>2005</v>
      </c>
      <c r="AE48" s="209">
        <v>2006</v>
      </c>
      <c r="AF48" s="209">
        <v>2007</v>
      </c>
      <c r="AG48" s="209">
        <v>2008</v>
      </c>
      <c r="AH48" s="209">
        <v>2009</v>
      </c>
      <c r="AI48" s="209">
        <v>2010</v>
      </c>
      <c r="AJ48" s="209">
        <v>2011</v>
      </c>
      <c r="AK48" s="209">
        <v>2012</v>
      </c>
      <c r="AL48" s="209">
        <v>2013</v>
      </c>
      <c r="AM48" s="209">
        <v>2014</v>
      </c>
      <c r="AN48" s="209">
        <v>2015</v>
      </c>
      <c r="AO48" s="209">
        <v>2016</v>
      </c>
      <c r="AP48" s="209">
        <v>2017</v>
      </c>
      <c r="AQ48" s="209">
        <v>2018</v>
      </c>
      <c r="AR48" s="209">
        <v>2019</v>
      </c>
      <c r="AS48" s="210">
        <v>2020</v>
      </c>
      <c r="AT48" s="140" t="s">
        <v>232</v>
      </c>
    </row>
    <row r="49" spans="1:46" ht="12.75">
      <c r="A49" s="145">
        <f>C49*10+E49</f>
        <v>11</v>
      </c>
      <c r="B49" s="170" t="s">
        <v>497</v>
      </c>
      <c r="C49" s="168">
        <v>1</v>
      </c>
      <c r="D49" s="168" t="s">
        <v>247</v>
      </c>
      <c r="E49" s="168">
        <v>1</v>
      </c>
      <c r="F49" s="211">
        <f>C6</f>
        <v>0</v>
      </c>
      <c r="G49" s="211">
        <f aca="true" t="shared" si="0" ref="G49:O50">D6</f>
        <v>0</v>
      </c>
      <c r="H49" s="211">
        <f t="shared" si="0"/>
        <v>0</v>
      </c>
      <c r="I49" s="211">
        <f t="shared" si="0"/>
        <v>0</v>
      </c>
      <c r="J49" s="211">
        <f t="shared" si="0"/>
        <v>0</v>
      </c>
      <c r="K49" s="211">
        <f t="shared" si="0"/>
        <v>0</v>
      </c>
      <c r="L49" s="211">
        <f t="shared" si="0"/>
        <v>0</v>
      </c>
      <c r="M49" s="211">
        <f t="shared" si="0"/>
        <v>0</v>
      </c>
      <c r="N49" s="211">
        <f t="shared" si="0"/>
        <v>0</v>
      </c>
      <c r="O49" s="211">
        <f t="shared" si="0"/>
        <v>0</v>
      </c>
      <c r="P49" s="212">
        <f>C9</f>
        <v>0</v>
      </c>
      <c r="Q49" s="212">
        <f aca="true" t="shared" si="1" ref="Q49:Y50">D9</f>
        <v>0</v>
      </c>
      <c r="R49" s="212">
        <f t="shared" si="1"/>
        <v>0</v>
      </c>
      <c r="S49" s="212">
        <f t="shared" si="1"/>
        <v>0</v>
      </c>
      <c r="T49" s="212">
        <f t="shared" si="1"/>
        <v>0</v>
      </c>
      <c r="U49" s="212">
        <f t="shared" si="1"/>
        <v>0</v>
      </c>
      <c r="V49" s="212">
        <f t="shared" si="1"/>
        <v>0</v>
      </c>
      <c r="W49" s="212">
        <f t="shared" si="1"/>
        <v>0</v>
      </c>
      <c r="X49" s="212">
        <f t="shared" si="1"/>
        <v>0</v>
      </c>
      <c r="Y49" s="212">
        <f t="shared" si="1"/>
        <v>0</v>
      </c>
      <c r="Z49" s="212">
        <f>C12</f>
        <v>0</v>
      </c>
      <c r="AA49" s="212">
        <f aca="true" t="shared" si="2" ref="AA49:AI50">D12</f>
        <v>0</v>
      </c>
      <c r="AB49" s="212">
        <f t="shared" si="2"/>
        <v>0</v>
      </c>
      <c r="AC49" s="212">
        <f t="shared" si="2"/>
        <v>0</v>
      </c>
      <c r="AD49" s="212">
        <f t="shared" si="2"/>
        <v>0</v>
      </c>
      <c r="AE49" s="212">
        <f t="shared" si="2"/>
        <v>0</v>
      </c>
      <c r="AF49" s="212">
        <f t="shared" si="2"/>
        <v>0</v>
      </c>
      <c r="AG49" s="212">
        <f t="shared" si="2"/>
        <v>0</v>
      </c>
      <c r="AH49" s="212">
        <f t="shared" si="2"/>
        <v>0</v>
      </c>
      <c r="AI49" s="212">
        <f t="shared" si="2"/>
        <v>0</v>
      </c>
      <c r="AJ49" s="212">
        <f>C15</f>
        <v>0</v>
      </c>
      <c r="AK49" s="212">
        <f aca="true" t="shared" si="3" ref="AK49:AS50">D15</f>
        <v>0</v>
      </c>
      <c r="AL49" s="212">
        <f t="shared" si="3"/>
        <v>0</v>
      </c>
      <c r="AM49" s="212">
        <f t="shared" si="3"/>
        <v>0</v>
      </c>
      <c r="AN49" s="212">
        <f t="shared" si="3"/>
        <v>0</v>
      </c>
      <c r="AO49" s="212">
        <f t="shared" si="3"/>
        <v>0</v>
      </c>
      <c r="AP49" s="212">
        <f t="shared" si="3"/>
        <v>0</v>
      </c>
      <c r="AQ49" s="212">
        <f t="shared" si="3"/>
        <v>0</v>
      </c>
      <c r="AR49" s="212">
        <f t="shared" si="3"/>
        <v>0</v>
      </c>
      <c r="AS49" s="213">
        <f t="shared" si="3"/>
        <v>0</v>
      </c>
      <c r="AT49" s="214">
        <f>SUM(F49:AS49)</f>
        <v>0</v>
      </c>
    </row>
    <row r="50" spans="1:46" ht="12.75">
      <c r="A50" s="145">
        <f>C50*10+E50</f>
        <v>51</v>
      </c>
      <c r="B50" s="170" t="s">
        <v>501</v>
      </c>
      <c r="C50" s="168">
        <v>5</v>
      </c>
      <c r="D50" s="168" t="s">
        <v>247</v>
      </c>
      <c r="E50" s="168">
        <v>1</v>
      </c>
      <c r="F50" s="211">
        <f>C7</f>
        <v>0</v>
      </c>
      <c r="G50" s="211">
        <f t="shared" si="0"/>
        <v>0</v>
      </c>
      <c r="H50" s="211">
        <f t="shared" si="0"/>
        <v>0</v>
      </c>
      <c r="I50" s="211">
        <f t="shared" si="0"/>
        <v>0</v>
      </c>
      <c r="J50" s="211">
        <f t="shared" si="0"/>
        <v>0</v>
      </c>
      <c r="K50" s="211">
        <f t="shared" si="0"/>
        <v>0</v>
      </c>
      <c r="L50" s="211">
        <f t="shared" si="0"/>
        <v>0</v>
      </c>
      <c r="M50" s="211">
        <f t="shared" si="0"/>
        <v>0</v>
      </c>
      <c r="N50" s="211">
        <f t="shared" si="0"/>
        <v>0</v>
      </c>
      <c r="O50" s="211">
        <f t="shared" si="0"/>
        <v>0</v>
      </c>
      <c r="P50" s="212">
        <f>C10</f>
        <v>0</v>
      </c>
      <c r="Q50" s="212">
        <f t="shared" si="1"/>
        <v>0</v>
      </c>
      <c r="R50" s="212">
        <f t="shared" si="1"/>
        <v>0</v>
      </c>
      <c r="S50" s="212">
        <f t="shared" si="1"/>
        <v>0</v>
      </c>
      <c r="T50" s="212">
        <f t="shared" si="1"/>
        <v>0</v>
      </c>
      <c r="U50" s="212">
        <f t="shared" si="1"/>
        <v>0</v>
      </c>
      <c r="V50" s="212">
        <f t="shared" si="1"/>
        <v>0</v>
      </c>
      <c r="W50" s="212">
        <f t="shared" si="1"/>
        <v>0</v>
      </c>
      <c r="X50" s="212">
        <f t="shared" si="1"/>
        <v>0</v>
      </c>
      <c r="Y50" s="212">
        <f t="shared" si="1"/>
        <v>0</v>
      </c>
      <c r="Z50" s="212">
        <f>C13</f>
        <v>0</v>
      </c>
      <c r="AA50" s="212">
        <f t="shared" si="2"/>
        <v>0</v>
      </c>
      <c r="AB50" s="212">
        <f t="shared" si="2"/>
        <v>0</v>
      </c>
      <c r="AC50" s="212">
        <f t="shared" si="2"/>
        <v>0</v>
      </c>
      <c r="AD50" s="212">
        <f t="shared" si="2"/>
        <v>0</v>
      </c>
      <c r="AE50" s="212">
        <f t="shared" si="2"/>
        <v>0</v>
      </c>
      <c r="AF50" s="212">
        <f t="shared" si="2"/>
        <v>0</v>
      </c>
      <c r="AG50" s="212">
        <f t="shared" si="2"/>
        <v>0</v>
      </c>
      <c r="AH50" s="212">
        <f t="shared" si="2"/>
        <v>0</v>
      </c>
      <c r="AI50" s="212">
        <f t="shared" si="2"/>
        <v>0</v>
      </c>
      <c r="AJ50" s="212">
        <f>C16</f>
        <v>0</v>
      </c>
      <c r="AK50" s="212">
        <f t="shared" si="3"/>
        <v>0</v>
      </c>
      <c r="AL50" s="212">
        <f t="shared" si="3"/>
        <v>0</v>
      </c>
      <c r="AM50" s="212">
        <f t="shared" si="3"/>
        <v>0</v>
      </c>
      <c r="AN50" s="212">
        <f t="shared" si="3"/>
        <v>0</v>
      </c>
      <c r="AO50" s="212">
        <f t="shared" si="3"/>
        <v>0</v>
      </c>
      <c r="AP50" s="212">
        <f t="shared" si="3"/>
        <v>0</v>
      </c>
      <c r="AQ50" s="212">
        <f t="shared" si="3"/>
        <v>0</v>
      </c>
      <c r="AR50" s="212">
        <f t="shared" si="3"/>
        <v>0</v>
      </c>
      <c r="AS50" s="213">
        <f t="shared" si="3"/>
        <v>0</v>
      </c>
      <c r="AT50" s="214">
        <f>SUM(F50:AS50)</f>
        <v>0</v>
      </c>
    </row>
    <row r="51" spans="1:46" ht="12.75">
      <c r="A51" s="145">
        <f>C51*10+E51</f>
        <v>12</v>
      </c>
      <c r="B51" s="170" t="s">
        <v>497</v>
      </c>
      <c r="C51" s="168">
        <v>1</v>
      </c>
      <c r="D51" s="168" t="s">
        <v>492</v>
      </c>
      <c r="E51" s="168">
        <v>2</v>
      </c>
      <c r="F51" s="211">
        <f>C20</f>
        <v>0</v>
      </c>
      <c r="G51" s="211">
        <f aca="true" t="shared" si="4" ref="G51:O52">D20</f>
        <v>0</v>
      </c>
      <c r="H51" s="211">
        <f t="shared" si="4"/>
        <v>0</v>
      </c>
      <c r="I51" s="211">
        <f t="shared" si="4"/>
        <v>0</v>
      </c>
      <c r="J51" s="211">
        <f t="shared" si="4"/>
        <v>0</v>
      </c>
      <c r="K51" s="211">
        <f t="shared" si="4"/>
        <v>0</v>
      </c>
      <c r="L51" s="211">
        <f t="shared" si="4"/>
        <v>0</v>
      </c>
      <c r="M51" s="211">
        <f t="shared" si="4"/>
        <v>0</v>
      </c>
      <c r="N51" s="211">
        <f t="shared" si="4"/>
        <v>0</v>
      </c>
      <c r="O51" s="211">
        <f t="shared" si="4"/>
        <v>0</v>
      </c>
      <c r="P51" s="211">
        <f>C23</f>
        <v>0</v>
      </c>
      <c r="Q51" s="211">
        <f aca="true" t="shared" si="5" ref="Q51:Y52">D23</f>
        <v>0</v>
      </c>
      <c r="R51" s="212">
        <f t="shared" si="5"/>
        <v>0</v>
      </c>
      <c r="S51" s="212">
        <f t="shared" si="5"/>
        <v>0</v>
      </c>
      <c r="T51" s="212">
        <f t="shared" si="5"/>
        <v>0</v>
      </c>
      <c r="U51" s="212">
        <f t="shared" si="5"/>
        <v>0</v>
      </c>
      <c r="V51" s="212">
        <f t="shared" si="5"/>
        <v>0</v>
      </c>
      <c r="W51" s="212">
        <f t="shared" si="5"/>
        <v>0</v>
      </c>
      <c r="X51" s="212">
        <f t="shared" si="5"/>
        <v>0</v>
      </c>
      <c r="Y51" s="212">
        <f t="shared" si="5"/>
        <v>0</v>
      </c>
      <c r="Z51" s="212">
        <f>C26</f>
        <v>0</v>
      </c>
      <c r="AA51" s="212">
        <f aca="true" t="shared" si="6" ref="AA51:AI52">D26</f>
        <v>0</v>
      </c>
      <c r="AB51" s="212">
        <f t="shared" si="6"/>
        <v>0</v>
      </c>
      <c r="AC51" s="212">
        <f t="shared" si="6"/>
        <v>0</v>
      </c>
      <c r="AD51" s="212">
        <f t="shared" si="6"/>
        <v>0</v>
      </c>
      <c r="AE51" s="212">
        <f t="shared" si="6"/>
        <v>0</v>
      </c>
      <c r="AF51" s="212">
        <f t="shared" si="6"/>
        <v>0</v>
      </c>
      <c r="AG51" s="212">
        <f t="shared" si="6"/>
        <v>0</v>
      </c>
      <c r="AH51" s="212">
        <f t="shared" si="6"/>
        <v>0</v>
      </c>
      <c r="AI51" s="212">
        <f t="shared" si="6"/>
        <v>0</v>
      </c>
      <c r="AJ51" s="212">
        <f>C29</f>
        <v>0</v>
      </c>
      <c r="AK51" s="212">
        <f aca="true" t="shared" si="7" ref="AK51:AS52">D29</f>
        <v>0</v>
      </c>
      <c r="AL51" s="212">
        <f t="shared" si="7"/>
        <v>0</v>
      </c>
      <c r="AM51" s="212">
        <f t="shared" si="7"/>
        <v>0</v>
      </c>
      <c r="AN51" s="212">
        <f t="shared" si="7"/>
        <v>0</v>
      </c>
      <c r="AO51" s="212">
        <f t="shared" si="7"/>
        <v>0</v>
      </c>
      <c r="AP51" s="212">
        <f t="shared" si="7"/>
        <v>0</v>
      </c>
      <c r="AQ51" s="212">
        <f t="shared" si="7"/>
        <v>0</v>
      </c>
      <c r="AR51" s="212">
        <f t="shared" si="7"/>
        <v>0</v>
      </c>
      <c r="AS51" s="213">
        <f t="shared" si="7"/>
        <v>0</v>
      </c>
      <c r="AT51" s="214">
        <f>SUM(F51:AS51)</f>
        <v>0</v>
      </c>
    </row>
    <row r="52" spans="1:46" ht="13.5" thickBot="1">
      <c r="A52" s="152">
        <f>C52*10+E52</f>
        <v>52</v>
      </c>
      <c r="B52" s="199" t="s">
        <v>501</v>
      </c>
      <c r="C52" s="200">
        <v>5</v>
      </c>
      <c r="D52" s="200" t="s">
        <v>492</v>
      </c>
      <c r="E52" s="200">
        <v>2</v>
      </c>
      <c r="F52" s="215">
        <f>C21</f>
        <v>0</v>
      </c>
      <c r="G52" s="215">
        <f t="shared" si="4"/>
        <v>0</v>
      </c>
      <c r="H52" s="215">
        <f t="shared" si="4"/>
        <v>0</v>
      </c>
      <c r="I52" s="215">
        <f t="shared" si="4"/>
        <v>0</v>
      </c>
      <c r="J52" s="215">
        <f t="shared" si="4"/>
        <v>0</v>
      </c>
      <c r="K52" s="215">
        <f t="shared" si="4"/>
        <v>0</v>
      </c>
      <c r="L52" s="215">
        <f t="shared" si="4"/>
        <v>0</v>
      </c>
      <c r="M52" s="215">
        <f t="shared" si="4"/>
        <v>0</v>
      </c>
      <c r="N52" s="215">
        <f t="shared" si="4"/>
        <v>0</v>
      </c>
      <c r="O52" s="215">
        <f t="shared" si="4"/>
        <v>0</v>
      </c>
      <c r="P52" s="216">
        <f>C24</f>
        <v>0</v>
      </c>
      <c r="Q52" s="216">
        <f t="shared" si="5"/>
        <v>0</v>
      </c>
      <c r="R52" s="216">
        <f t="shared" si="5"/>
        <v>0</v>
      </c>
      <c r="S52" s="216">
        <f t="shared" si="5"/>
        <v>0</v>
      </c>
      <c r="T52" s="216">
        <f t="shared" si="5"/>
        <v>0</v>
      </c>
      <c r="U52" s="216">
        <f t="shared" si="5"/>
        <v>0</v>
      </c>
      <c r="V52" s="216">
        <f t="shared" si="5"/>
        <v>0</v>
      </c>
      <c r="W52" s="216">
        <f t="shared" si="5"/>
        <v>0</v>
      </c>
      <c r="X52" s="216">
        <f t="shared" si="5"/>
        <v>0</v>
      </c>
      <c r="Y52" s="216">
        <f t="shared" si="5"/>
        <v>0</v>
      </c>
      <c r="Z52" s="216">
        <f>C27</f>
        <v>0</v>
      </c>
      <c r="AA52" s="216">
        <f t="shared" si="6"/>
        <v>0</v>
      </c>
      <c r="AB52" s="216">
        <f t="shared" si="6"/>
        <v>0</v>
      </c>
      <c r="AC52" s="216">
        <f t="shared" si="6"/>
        <v>0</v>
      </c>
      <c r="AD52" s="216">
        <f t="shared" si="6"/>
        <v>0</v>
      </c>
      <c r="AE52" s="216">
        <f t="shared" si="6"/>
        <v>0</v>
      </c>
      <c r="AF52" s="216">
        <f t="shared" si="6"/>
        <v>0</v>
      </c>
      <c r="AG52" s="216">
        <f t="shared" si="6"/>
        <v>0</v>
      </c>
      <c r="AH52" s="216">
        <f t="shared" si="6"/>
        <v>0</v>
      </c>
      <c r="AI52" s="216">
        <f>L27</f>
        <v>0</v>
      </c>
      <c r="AJ52" s="216">
        <f>C30</f>
        <v>0</v>
      </c>
      <c r="AK52" s="216">
        <f t="shared" si="7"/>
        <v>0</v>
      </c>
      <c r="AL52" s="216">
        <f t="shared" si="7"/>
        <v>0</v>
      </c>
      <c r="AM52" s="216">
        <f t="shared" si="7"/>
        <v>0</v>
      </c>
      <c r="AN52" s="216">
        <f t="shared" si="7"/>
        <v>0</v>
      </c>
      <c r="AO52" s="216">
        <f t="shared" si="7"/>
        <v>0</v>
      </c>
      <c r="AP52" s="216">
        <f t="shared" si="7"/>
        <v>0</v>
      </c>
      <c r="AQ52" s="216">
        <f t="shared" si="7"/>
        <v>0</v>
      </c>
      <c r="AR52" s="216">
        <f t="shared" si="7"/>
        <v>0</v>
      </c>
      <c r="AS52" s="217">
        <f t="shared" si="7"/>
        <v>0</v>
      </c>
      <c r="AT52" s="214">
        <f>SUM(F52:AS52)</f>
        <v>0</v>
      </c>
    </row>
  </sheetData>
  <sheetProtection/>
  <mergeCells count="2">
    <mergeCell ref="B4:L4"/>
    <mergeCell ref="B18:L18"/>
  </mergeCells>
  <printOptions/>
  <pageMargins left="0.75" right="0.75" top="1" bottom="1" header="0.5" footer="0.5"/>
  <pageSetup horizontalDpi="1200" verticalDpi="1200" orientation="portrait" r:id="rId2"/>
  <drawing r:id="rId1"/>
</worksheet>
</file>

<file path=xl/worksheets/sheet11.xml><?xml version="1.0" encoding="utf-8"?>
<worksheet xmlns="http://schemas.openxmlformats.org/spreadsheetml/2006/main" xmlns:r="http://schemas.openxmlformats.org/officeDocument/2006/relationships">
  <sheetPr codeName="Sheet18">
    <tabColor indexed="42"/>
  </sheetPr>
  <dimension ref="A1:L52"/>
  <sheetViews>
    <sheetView showGridLines="0" zoomScalePageLayoutView="0" workbookViewId="0" topLeftCell="A1">
      <selection activeCell="G4" sqref="G4"/>
    </sheetView>
  </sheetViews>
  <sheetFormatPr defaultColWidth="9.140625" defaultRowHeight="15"/>
  <cols>
    <col min="1" max="1" width="33.8515625" style="58" customWidth="1"/>
    <col min="2" max="2" width="30.140625" style="58" bestFit="1" customWidth="1"/>
    <col min="3" max="3" width="9.140625" style="58" customWidth="1"/>
    <col min="4" max="4" width="27.00390625" style="58" customWidth="1"/>
    <col min="5" max="7" width="12.28125" style="58" customWidth="1"/>
    <col min="8" max="16384" width="9.140625" style="58" customWidth="1"/>
  </cols>
  <sheetData>
    <row r="1" spans="1:12" ht="15" customHeight="1">
      <c r="A1" s="1073" t="s">
        <v>331</v>
      </c>
      <c r="B1" s="1075"/>
      <c r="D1" s="304" t="s">
        <v>332</v>
      </c>
      <c r="E1" s="305"/>
      <c r="F1" s="305"/>
      <c r="G1" s="305"/>
      <c r="H1" s="305"/>
      <c r="I1" s="305"/>
      <c r="J1" s="305"/>
      <c r="K1" s="305"/>
      <c r="L1" s="306"/>
    </row>
    <row r="2" spans="1:12" ht="11.25">
      <c r="A2" s="59" t="s">
        <v>318</v>
      </c>
      <c r="B2" s="60" t="s">
        <v>333</v>
      </c>
      <c r="D2" s="61"/>
      <c r="E2" s="62"/>
      <c r="F2" s="62"/>
      <c r="G2" s="62"/>
      <c r="H2" s="62"/>
      <c r="I2" s="62" t="s">
        <v>334</v>
      </c>
      <c r="J2" s="62"/>
      <c r="K2" s="63" t="s">
        <v>335</v>
      </c>
      <c r="L2" s="64"/>
    </row>
    <row r="3" spans="1:12" ht="11.25">
      <c r="A3" s="65"/>
      <c r="B3" s="66" t="s">
        <v>336</v>
      </c>
      <c r="D3" s="67" t="s">
        <v>316</v>
      </c>
      <c r="E3" s="63" t="s">
        <v>337</v>
      </c>
      <c r="F3" s="63" t="s">
        <v>223</v>
      </c>
      <c r="G3" s="63" t="s">
        <v>919</v>
      </c>
      <c r="H3" s="63"/>
      <c r="I3" s="63" t="s">
        <v>338</v>
      </c>
      <c r="J3" s="63"/>
      <c r="K3" s="63" t="s">
        <v>338</v>
      </c>
      <c r="L3" s="68"/>
    </row>
    <row r="4" spans="1:12" ht="11.25">
      <c r="A4" s="69" t="s">
        <v>339</v>
      </c>
      <c r="B4" s="70"/>
      <c r="D4" s="67"/>
      <c r="E4" s="63"/>
      <c r="F4" s="63"/>
      <c r="G4" s="63"/>
      <c r="H4" s="63"/>
      <c r="I4" s="63"/>
      <c r="J4" s="63"/>
      <c r="K4" s="63"/>
      <c r="L4" s="68"/>
    </row>
    <row r="5" spans="1:12" ht="11.25">
      <c r="A5" s="71" t="s">
        <v>319</v>
      </c>
      <c r="B5" s="72">
        <v>0.012041886893194194</v>
      </c>
      <c r="D5" s="71" t="s">
        <v>297</v>
      </c>
      <c r="E5" s="73"/>
      <c r="F5" s="73"/>
      <c r="G5" s="73"/>
      <c r="H5" s="73"/>
      <c r="I5" s="73"/>
      <c r="J5" s="73"/>
      <c r="K5" s="73"/>
      <c r="L5" s="74"/>
    </row>
    <row r="6" spans="1:12" ht="11.25">
      <c r="A6" s="75" t="s">
        <v>302</v>
      </c>
      <c r="B6" s="72">
        <f>0.291685039370079*2</f>
        <v>0.583370078740158</v>
      </c>
      <c r="D6" s="75"/>
      <c r="E6" s="76" t="s">
        <v>303</v>
      </c>
      <c r="F6" s="76" t="s">
        <v>340</v>
      </c>
      <c r="G6" s="76">
        <v>94</v>
      </c>
      <c r="H6" s="73"/>
      <c r="I6" s="307"/>
      <c r="J6" s="73"/>
      <c r="K6" s="73">
        <f>IF(I6&lt;&gt;"",I6,G6)</f>
        <v>94</v>
      </c>
      <c r="L6" s="74"/>
    </row>
    <row r="7" spans="1:12" ht="11.25">
      <c r="A7" s="75" t="s">
        <v>303</v>
      </c>
      <c r="B7" s="72">
        <v>0.6002515829401089</v>
      </c>
      <c r="D7" s="75"/>
      <c r="E7" s="76" t="s">
        <v>302</v>
      </c>
      <c r="F7" s="76" t="s">
        <v>340</v>
      </c>
      <c r="G7" s="76">
        <v>648</v>
      </c>
      <c r="H7" s="73"/>
      <c r="I7" s="307"/>
      <c r="J7" s="73"/>
      <c r="K7" s="73">
        <f>IF(I7&lt;&gt;"",I7,G7)</f>
        <v>648</v>
      </c>
      <c r="L7" s="74"/>
    </row>
    <row r="8" spans="1:12" ht="11.25">
      <c r="A8" s="75" t="s">
        <v>305</v>
      </c>
      <c r="B8" s="77">
        <v>5.484416077758671E-07</v>
      </c>
      <c r="D8" s="75"/>
      <c r="E8" s="76" t="s">
        <v>319</v>
      </c>
      <c r="F8" s="76" t="s">
        <v>340</v>
      </c>
      <c r="G8" s="76">
        <v>3132</v>
      </c>
      <c r="H8" s="73"/>
      <c r="I8" s="307"/>
      <c r="J8" s="73"/>
      <c r="K8" s="73">
        <f>IF(I8&lt;&gt;"",I8,G8)</f>
        <v>3132</v>
      </c>
      <c r="L8" s="74"/>
    </row>
    <row r="9" spans="1:12" ht="11.25">
      <c r="A9" s="75" t="s">
        <v>313</v>
      </c>
      <c r="B9" s="72">
        <v>1.2369808640539928</v>
      </c>
      <c r="D9" s="75"/>
      <c r="E9" s="76" t="s">
        <v>305</v>
      </c>
      <c r="F9" s="76" t="s">
        <v>340</v>
      </c>
      <c r="G9" s="76">
        <v>270</v>
      </c>
      <c r="H9" s="73"/>
      <c r="I9" s="307"/>
      <c r="J9" s="73"/>
      <c r="K9" s="73">
        <f>IF(I9&lt;&gt;"",I9,G9)</f>
        <v>270</v>
      </c>
      <c r="L9" s="74"/>
    </row>
    <row r="10" spans="1:12" ht="11.25">
      <c r="A10" s="75" t="s">
        <v>320</v>
      </c>
      <c r="B10" s="72">
        <v>0.476</v>
      </c>
      <c r="D10" s="75"/>
      <c r="E10" s="73"/>
      <c r="F10" s="73"/>
      <c r="G10" s="73"/>
      <c r="H10" s="73"/>
      <c r="I10" s="73"/>
      <c r="J10" s="73"/>
      <c r="K10" s="73"/>
      <c r="L10" s="74"/>
    </row>
    <row r="11" spans="1:12" ht="11.25">
      <c r="A11" s="75" t="s">
        <v>322</v>
      </c>
      <c r="B11" s="78">
        <v>0.00032211959957099994</v>
      </c>
      <c r="D11" s="75"/>
      <c r="E11" s="76" t="s">
        <v>232</v>
      </c>
      <c r="F11" s="73"/>
      <c r="G11" s="73"/>
      <c r="H11" s="73"/>
      <c r="I11" s="73"/>
      <c r="J11" s="73"/>
      <c r="K11" s="73">
        <f>SUM(K6:K9)</f>
        <v>4144</v>
      </c>
      <c r="L11" s="74"/>
    </row>
    <row r="12" spans="1:12" ht="11.25">
      <c r="A12" s="75"/>
      <c r="B12" s="72"/>
      <c r="D12" s="75"/>
      <c r="E12" s="73"/>
      <c r="F12" s="73"/>
      <c r="G12" s="73"/>
      <c r="H12" s="73"/>
      <c r="I12" s="73"/>
      <c r="J12" s="73"/>
      <c r="K12" s="73"/>
      <c r="L12" s="74"/>
    </row>
    <row r="13" spans="1:12" ht="11.25">
      <c r="A13" s="79" t="s">
        <v>341</v>
      </c>
      <c r="B13" s="72"/>
      <c r="D13" s="75" t="s">
        <v>312</v>
      </c>
      <c r="E13" s="73"/>
      <c r="F13" s="73"/>
      <c r="G13" s="73"/>
      <c r="H13" s="73"/>
      <c r="I13" s="73"/>
      <c r="J13" s="73"/>
      <c r="K13" s="73"/>
      <c r="L13" s="74"/>
    </row>
    <row r="14" spans="1:12" ht="11.25">
      <c r="A14" s="75" t="s">
        <v>342</v>
      </c>
      <c r="B14" s="72">
        <v>0.0008641376389799999</v>
      </c>
      <c r="D14" s="75"/>
      <c r="E14" s="76" t="s">
        <v>313</v>
      </c>
      <c r="F14" s="76" t="s">
        <v>343</v>
      </c>
      <c r="G14" s="76">
        <v>5</v>
      </c>
      <c r="H14" s="73"/>
      <c r="I14" s="307"/>
      <c r="J14" s="73"/>
      <c r="K14" s="73">
        <f>IF(I14&lt;&gt;"",I14,G14)</f>
        <v>5</v>
      </c>
      <c r="L14" s="74"/>
    </row>
    <row r="15" spans="1:12" ht="11.25">
      <c r="A15" s="75" t="s">
        <v>344</v>
      </c>
      <c r="B15" s="72">
        <v>0.004996491551744748</v>
      </c>
      <c r="D15" s="75"/>
      <c r="E15" s="76" t="s">
        <v>319</v>
      </c>
      <c r="F15" s="76" t="s">
        <v>343</v>
      </c>
      <c r="G15" s="76">
        <v>95</v>
      </c>
      <c r="H15" s="73"/>
      <c r="I15" s="307"/>
      <c r="J15" s="73"/>
      <c r="K15" s="73">
        <f>IF(I15&lt;&gt;"",I15,G15)</f>
        <v>95</v>
      </c>
      <c r="L15" s="74"/>
    </row>
    <row r="16" spans="1:12" ht="11.25">
      <c r="A16" s="75" t="s">
        <v>345</v>
      </c>
      <c r="B16" s="72">
        <v>0</v>
      </c>
      <c r="D16" s="75"/>
      <c r="E16" s="76"/>
      <c r="F16" s="76"/>
      <c r="G16" s="76"/>
      <c r="H16" s="73"/>
      <c r="I16" s="80"/>
      <c r="J16" s="73"/>
      <c r="K16" s="73"/>
      <c r="L16" s="74"/>
    </row>
    <row r="17" spans="1:12" ht="11.25">
      <c r="A17" s="75" t="s">
        <v>346</v>
      </c>
      <c r="B17" s="72">
        <v>0</v>
      </c>
      <c r="D17" s="75"/>
      <c r="E17" s="76" t="s">
        <v>232</v>
      </c>
      <c r="F17" s="76"/>
      <c r="G17" s="76"/>
      <c r="H17" s="73"/>
      <c r="I17" s="80"/>
      <c r="J17" s="73"/>
      <c r="K17" s="73">
        <f>SUM(K14:K15)</f>
        <v>100</v>
      </c>
      <c r="L17" s="74"/>
    </row>
    <row r="18" spans="1:12" ht="11.25">
      <c r="A18" s="75" t="s">
        <v>347</v>
      </c>
      <c r="B18" s="72">
        <v>0</v>
      </c>
      <c r="D18" s="75"/>
      <c r="E18" s="73"/>
      <c r="F18" s="73"/>
      <c r="G18" s="73"/>
      <c r="H18" s="73"/>
      <c r="I18" s="73"/>
      <c r="J18" s="73"/>
      <c r="K18" s="73"/>
      <c r="L18" s="74"/>
    </row>
    <row r="19" spans="1:12" ht="11.25">
      <c r="A19" s="75" t="s">
        <v>348</v>
      </c>
      <c r="B19" s="72">
        <v>0.010227138948391003</v>
      </c>
      <c r="D19" s="75" t="s">
        <v>349</v>
      </c>
      <c r="E19" s="73"/>
      <c r="F19" s="73"/>
      <c r="G19" s="73"/>
      <c r="H19" s="73"/>
      <c r="I19" s="73"/>
      <c r="J19" s="73"/>
      <c r="K19" s="73"/>
      <c r="L19" s="74"/>
    </row>
    <row r="20" spans="1:12" ht="11.25">
      <c r="A20" s="75" t="s">
        <v>350</v>
      </c>
      <c r="B20" s="72">
        <v>0.14363448478629143</v>
      </c>
      <c r="D20" s="75"/>
      <c r="E20" s="76" t="s">
        <v>319</v>
      </c>
      <c r="F20" s="76" t="s">
        <v>340</v>
      </c>
      <c r="G20" s="76">
        <v>3132</v>
      </c>
      <c r="H20" s="73"/>
      <c r="I20" s="307"/>
      <c r="J20" s="73"/>
      <c r="K20" s="73">
        <f>IF(I20&lt;&gt;"",I20,G20)</f>
        <v>3132</v>
      </c>
      <c r="L20" s="74"/>
    </row>
    <row r="21" spans="1:12" ht="11.25">
      <c r="A21" s="75" t="s">
        <v>351</v>
      </c>
      <c r="B21" s="72">
        <v>0</v>
      </c>
      <c r="D21" s="75"/>
      <c r="E21" s="76" t="s">
        <v>302</v>
      </c>
      <c r="F21" s="76" t="s">
        <v>340</v>
      </c>
      <c r="G21" s="76">
        <v>270</v>
      </c>
      <c r="H21" s="73"/>
      <c r="I21" s="307"/>
      <c r="J21" s="73"/>
      <c r="K21" s="73">
        <f>IF(I21&lt;&gt;"",I21,G21)</f>
        <v>270</v>
      </c>
      <c r="L21" s="74"/>
    </row>
    <row r="22" spans="1:12" ht="11.25">
      <c r="A22" s="75" t="s">
        <v>917</v>
      </c>
      <c r="B22" s="72">
        <f>B6*0.5*0.1</f>
        <v>0.0291685039370079</v>
      </c>
      <c r="D22" s="75"/>
      <c r="E22" s="76" t="s">
        <v>305</v>
      </c>
      <c r="F22" s="76" t="s">
        <v>340</v>
      </c>
      <c r="G22" s="76">
        <v>270</v>
      </c>
      <c r="H22" s="73"/>
      <c r="I22" s="307"/>
      <c r="J22" s="73"/>
      <c r="K22" s="73">
        <f>IF(I22&lt;&gt;"",I22,G22)</f>
        <v>270</v>
      </c>
      <c r="L22" s="74"/>
    </row>
    <row r="23" spans="1:12" ht="11.25">
      <c r="A23" s="75" t="s">
        <v>845</v>
      </c>
      <c r="B23" s="72">
        <v>0</v>
      </c>
      <c r="D23" s="75"/>
      <c r="E23" s="73"/>
      <c r="F23" s="73"/>
      <c r="G23" s="73"/>
      <c r="H23" s="73"/>
      <c r="I23" s="73"/>
      <c r="J23" s="73"/>
      <c r="K23" s="73"/>
      <c r="L23" s="74"/>
    </row>
    <row r="24" spans="1:12" ht="11.25">
      <c r="A24" s="75" t="s">
        <v>807</v>
      </c>
      <c r="B24" s="72">
        <f>B6*0.5*0.15</f>
        <v>0.04375275590551185</v>
      </c>
      <c r="D24" s="75"/>
      <c r="E24" s="76" t="s">
        <v>232</v>
      </c>
      <c r="F24" s="73"/>
      <c r="G24" s="73"/>
      <c r="H24" s="73"/>
      <c r="I24" s="73"/>
      <c r="J24" s="73"/>
      <c r="K24" s="73">
        <f>SUM(K20:K22)</f>
        <v>3672</v>
      </c>
      <c r="L24" s="74"/>
    </row>
    <row r="25" spans="1:12" ht="12" thickBot="1">
      <c r="A25" s="75" t="s">
        <v>851</v>
      </c>
      <c r="B25" s="72">
        <v>0</v>
      </c>
      <c r="D25" s="82"/>
      <c r="E25" s="87"/>
      <c r="F25" s="87"/>
      <c r="G25" s="87"/>
      <c r="H25" s="87"/>
      <c r="I25" s="87"/>
      <c r="J25" s="87"/>
      <c r="K25" s="87"/>
      <c r="L25" s="88"/>
    </row>
    <row r="26" spans="1:12" ht="11.25">
      <c r="A26" s="75"/>
      <c r="B26" s="81"/>
      <c r="D26" s="131"/>
      <c r="E26" s="73"/>
      <c r="F26" s="73"/>
      <c r="G26" s="73"/>
      <c r="H26" s="73"/>
      <c r="I26" s="73"/>
      <c r="J26" s="73"/>
      <c r="K26" s="73"/>
      <c r="L26" s="73"/>
    </row>
    <row r="27" spans="1:12" ht="11.25">
      <c r="A27" s="75" t="s">
        <v>808</v>
      </c>
      <c r="B27" s="81"/>
      <c r="D27" s="131"/>
      <c r="E27" s="73"/>
      <c r="F27" s="73"/>
      <c r="G27" s="73"/>
      <c r="H27" s="73"/>
      <c r="I27" s="73"/>
      <c r="J27" s="73"/>
      <c r="K27" s="73"/>
      <c r="L27" s="73"/>
    </row>
    <row r="28" spans="1:12" ht="11.25">
      <c r="A28" s="75" t="s">
        <v>846</v>
      </c>
      <c r="B28" s="81"/>
      <c r="D28" s="131"/>
      <c r="E28" s="73"/>
      <c r="F28" s="73"/>
      <c r="G28" s="73"/>
      <c r="H28" s="73"/>
      <c r="I28" s="73"/>
      <c r="J28" s="73"/>
      <c r="K28" s="73"/>
      <c r="L28" s="73"/>
    </row>
    <row r="29" spans="1:12" ht="11.25">
      <c r="A29" s="75"/>
      <c r="B29" s="81"/>
      <c r="D29" s="131"/>
      <c r="E29" s="73"/>
      <c r="F29" s="73"/>
      <c r="G29" s="73"/>
      <c r="H29" s="73"/>
      <c r="I29" s="73"/>
      <c r="J29" s="73"/>
      <c r="K29" s="73"/>
      <c r="L29" s="73"/>
    </row>
    <row r="30" spans="1:12" ht="11.25">
      <c r="A30" s="75" t="s">
        <v>784</v>
      </c>
      <c r="B30" s="81"/>
      <c r="D30" s="634"/>
      <c r="E30" s="5"/>
      <c r="F30" s="5"/>
      <c r="G30" s="5"/>
      <c r="H30" s="5"/>
      <c r="I30" s="5"/>
      <c r="J30" s="5"/>
      <c r="K30" s="73"/>
      <c r="L30" s="73"/>
    </row>
    <row r="31" spans="1:12" ht="15">
      <c r="A31" s="75" t="s">
        <v>785</v>
      </c>
      <c r="B31" s="81"/>
      <c r="D31" s="317"/>
      <c r="E31" s="635"/>
      <c r="F31" s="635"/>
      <c r="G31" s="635"/>
      <c r="H31" s="635"/>
      <c r="I31" s="635"/>
      <c r="J31" s="635"/>
      <c r="K31" s="73"/>
      <c r="L31" s="73"/>
    </row>
    <row r="32" spans="1:12" ht="13.5" thickBot="1">
      <c r="A32" s="82"/>
      <c r="B32" s="83"/>
      <c r="D32" s="489"/>
      <c r="E32" s="1081"/>
      <c r="F32" s="1081"/>
      <c r="G32" s="1081"/>
      <c r="H32" s="1081"/>
      <c r="I32" s="1081"/>
      <c r="J32" s="1081"/>
      <c r="K32" s="73"/>
      <c r="L32" s="73"/>
    </row>
    <row r="33" spans="1:12" ht="12.75">
      <c r="A33" s="75"/>
      <c r="B33" s="84"/>
      <c r="D33" s="489"/>
      <c r="E33" s="1081"/>
      <c r="F33" s="1081"/>
      <c r="G33" s="1081"/>
      <c r="H33" s="1081"/>
      <c r="I33" s="1081"/>
      <c r="J33" s="1081"/>
      <c r="K33" s="73"/>
      <c r="L33" s="73"/>
    </row>
    <row r="34" spans="1:12" ht="13.5" thickBot="1">
      <c r="A34" s="75"/>
      <c r="B34" s="84"/>
      <c r="D34" s="489"/>
      <c r="E34" s="1081"/>
      <c r="F34" s="1081"/>
      <c r="G34" s="1081"/>
      <c r="H34" s="1081"/>
      <c r="I34" s="1081"/>
      <c r="J34" s="1081"/>
      <c r="K34" s="73"/>
      <c r="L34" s="73"/>
    </row>
    <row r="35" spans="1:12" ht="11.25">
      <c r="A35" s="1073" t="s">
        <v>352</v>
      </c>
      <c r="B35" s="1075"/>
      <c r="D35" s="634"/>
      <c r="E35" s="5"/>
      <c r="F35" s="5"/>
      <c r="G35" s="5"/>
      <c r="H35" s="5"/>
      <c r="I35" s="5"/>
      <c r="J35" s="5"/>
      <c r="K35" s="73"/>
      <c r="L35" s="73"/>
    </row>
    <row r="36" spans="1:12" ht="12.75">
      <c r="A36" s="59" t="s">
        <v>353</v>
      </c>
      <c r="B36" s="60" t="s">
        <v>333</v>
      </c>
      <c r="D36" s="131"/>
      <c r="E36" s="1082" t="s">
        <v>614</v>
      </c>
      <c r="F36" s="1083"/>
      <c r="G36" s="1084"/>
      <c r="H36" s="73"/>
      <c r="I36" s="73"/>
      <c r="J36" s="73"/>
      <c r="K36" s="73"/>
      <c r="L36" s="73"/>
    </row>
    <row r="37" spans="1:12" ht="12.75">
      <c r="A37" s="65"/>
      <c r="B37" s="66" t="s">
        <v>336</v>
      </c>
      <c r="D37" s="131"/>
      <c r="E37" s="975" t="s">
        <v>615</v>
      </c>
      <c r="F37" s="976"/>
      <c r="G37" s="977"/>
      <c r="H37" s="73"/>
      <c r="I37" s="73"/>
      <c r="J37" s="73"/>
      <c r="K37" s="73"/>
      <c r="L37" s="73"/>
    </row>
    <row r="38" spans="1:12" ht="12.75">
      <c r="A38" s="75" t="s">
        <v>354</v>
      </c>
      <c r="B38" s="72">
        <v>0.0409014772047686</v>
      </c>
      <c r="D38" s="131"/>
      <c r="E38" s="978" t="s">
        <v>632</v>
      </c>
      <c r="F38" s="979"/>
      <c r="G38" s="980"/>
      <c r="H38" s="73"/>
      <c r="I38" s="73"/>
      <c r="J38" s="73"/>
      <c r="K38" s="73"/>
      <c r="L38" s="73"/>
    </row>
    <row r="39" spans="1:12" ht="13.5" thickBot="1">
      <c r="A39" s="75" t="s">
        <v>355</v>
      </c>
      <c r="B39" s="72">
        <v>0.018519795</v>
      </c>
      <c r="D39" s="131"/>
      <c r="E39" s="981" t="s">
        <v>681</v>
      </c>
      <c r="F39" s="982"/>
      <c r="G39" s="983"/>
      <c r="H39" s="73"/>
      <c r="I39" s="73"/>
      <c r="J39" s="73"/>
      <c r="K39" s="73"/>
      <c r="L39" s="73"/>
    </row>
    <row r="40" spans="1:12" ht="11.25">
      <c r="A40" s="75"/>
      <c r="B40" s="81"/>
      <c r="D40" s="131"/>
      <c r="E40" s="73"/>
      <c r="F40" s="73"/>
      <c r="G40" s="73"/>
      <c r="H40" s="73"/>
      <c r="I40" s="73"/>
      <c r="J40" s="73"/>
      <c r="K40" s="73"/>
      <c r="L40" s="73"/>
    </row>
    <row r="41" spans="1:12" ht="11.25">
      <c r="A41" s="75"/>
      <c r="B41" s="81"/>
      <c r="D41" s="131"/>
      <c r="E41" s="73"/>
      <c r="F41" s="73"/>
      <c r="G41" s="73"/>
      <c r="H41" s="73"/>
      <c r="I41" s="73"/>
      <c r="J41" s="73"/>
      <c r="K41" s="73"/>
      <c r="L41" s="73"/>
    </row>
    <row r="42" spans="1:12" ht="11.25">
      <c r="A42" s="75"/>
      <c r="B42" s="81"/>
      <c r="D42" s="131"/>
      <c r="E42" s="73"/>
      <c r="F42" s="73"/>
      <c r="G42" s="73"/>
      <c r="H42" s="73"/>
      <c r="I42" s="73"/>
      <c r="J42" s="73"/>
      <c r="K42" s="73"/>
      <c r="L42" s="73"/>
    </row>
    <row r="43" spans="1:12" ht="12" thickBot="1">
      <c r="A43" s="82" t="s">
        <v>356</v>
      </c>
      <c r="B43" s="83"/>
      <c r="D43" s="131"/>
      <c r="E43" s="73"/>
      <c r="F43" s="73"/>
      <c r="G43" s="73"/>
      <c r="H43" s="73"/>
      <c r="I43" s="73"/>
      <c r="J43" s="73"/>
      <c r="K43" s="73"/>
      <c r="L43" s="73"/>
    </row>
    <row r="44" spans="1:12" ht="11.25">
      <c r="A44" s="131"/>
      <c r="B44" s="84"/>
      <c r="D44" s="131"/>
      <c r="E44" s="73"/>
      <c r="F44" s="73"/>
      <c r="G44" s="73"/>
      <c r="H44" s="73"/>
      <c r="I44" s="73"/>
      <c r="J44" s="73"/>
      <c r="K44" s="73"/>
      <c r="L44" s="73"/>
    </row>
    <row r="45" spans="1:12" ht="11.25">
      <c r="A45" s="131"/>
      <c r="B45" s="84"/>
      <c r="D45" s="131"/>
      <c r="E45" s="73"/>
      <c r="F45" s="73"/>
      <c r="G45" s="73"/>
      <c r="H45" s="73"/>
      <c r="I45" s="73"/>
      <c r="J45" s="73"/>
      <c r="K45" s="73"/>
      <c r="L45" s="73"/>
    </row>
    <row r="46" spans="1:12" ht="12" thickBot="1">
      <c r="A46" s="131"/>
      <c r="B46" s="84"/>
      <c r="D46" s="131"/>
      <c r="E46" s="73"/>
      <c r="F46" s="73"/>
      <c r="G46" s="73"/>
      <c r="H46" s="73"/>
      <c r="I46" s="73"/>
      <c r="J46" s="73"/>
      <c r="K46" s="73"/>
      <c r="L46" s="73"/>
    </row>
    <row r="47" spans="1:12" ht="11.25">
      <c r="A47" s="1073" t="s">
        <v>803</v>
      </c>
      <c r="B47" s="1075"/>
      <c r="D47" s="131"/>
      <c r="E47" s="73"/>
      <c r="F47" s="73"/>
      <c r="G47" s="73"/>
      <c r="H47" s="73"/>
      <c r="I47" s="73"/>
      <c r="J47" s="73"/>
      <c r="K47" s="73"/>
      <c r="L47" s="73"/>
    </row>
    <row r="48" spans="1:2" ht="11.25">
      <c r="A48" s="59" t="s">
        <v>353</v>
      </c>
      <c r="B48" s="60" t="s">
        <v>801</v>
      </c>
    </row>
    <row r="49" spans="1:2" ht="11.25">
      <c r="A49" s="65"/>
      <c r="B49" s="66" t="s">
        <v>802</v>
      </c>
    </row>
    <row r="50" spans="1:2" ht="11.25">
      <c r="A50" s="75" t="s">
        <v>800</v>
      </c>
      <c r="B50" s="793">
        <v>0.3</v>
      </c>
    </row>
    <row r="51" spans="1:2" ht="11.25">
      <c r="A51" s="75"/>
      <c r="B51" s="81"/>
    </row>
    <row r="52" spans="1:2" ht="12" thickBot="1">
      <c r="A52" s="82" t="s">
        <v>799</v>
      </c>
      <c r="B52" s="83"/>
    </row>
  </sheetData>
  <sheetProtection/>
  <mergeCells count="10">
    <mergeCell ref="A1:B1"/>
    <mergeCell ref="A35:B35"/>
    <mergeCell ref="E32:J32"/>
    <mergeCell ref="E36:G36"/>
    <mergeCell ref="A47:B47"/>
    <mergeCell ref="E37:G37"/>
    <mergeCell ref="E38:G38"/>
    <mergeCell ref="E39:G39"/>
    <mergeCell ref="E33:J33"/>
    <mergeCell ref="E34:J34"/>
  </mergeCell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9">
    <tabColor indexed="42"/>
  </sheetPr>
  <dimension ref="A1:J39"/>
  <sheetViews>
    <sheetView showGridLines="0" zoomScalePageLayoutView="0" workbookViewId="0" topLeftCell="A1">
      <selection activeCell="C12" sqref="C12"/>
    </sheetView>
  </sheetViews>
  <sheetFormatPr defaultColWidth="9.140625" defaultRowHeight="15"/>
  <cols>
    <col min="1" max="1" width="30.421875" style="58" customWidth="1"/>
    <col min="2" max="2" width="18.8515625" style="58" bestFit="1" customWidth="1"/>
    <col min="3" max="3" width="9.140625" style="58" customWidth="1"/>
    <col min="4" max="4" width="13.28125" style="58" customWidth="1"/>
    <col min="5" max="7" width="9.140625" style="58" customWidth="1"/>
    <col min="8" max="10" width="13.00390625" style="58" customWidth="1"/>
    <col min="11" max="16384" width="9.140625" style="58" customWidth="1"/>
  </cols>
  <sheetData>
    <row r="1" ht="11.25">
      <c r="A1" s="475" t="s">
        <v>692</v>
      </c>
    </row>
    <row r="2" ht="11.25">
      <c r="A2" s="58" t="s">
        <v>693</v>
      </c>
    </row>
    <row r="3" ht="11.25">
      <c r="A3" s="139" t="s">
        <v>694</v>
      </c>
    </row>
    <row r="4" ht="11.25"/>
    <row r="5" ht="11.25"/>
    <row r="6" ht="11.25"/>
    <row r="7" ht="12" thickBot="1"/>
    <row r="8" spans="1:10" ht="15" customHeight="1">
      <c r="A8" s="1079" t="s">
        <v>689</v>
      </c>
      <c r="B8" s="1085"/>
      <c r="C8" s="1085"/>
      <c r="D8" s="1085"/>
      <c r="E8" s="1080"/>
      <c r="H8" s="961" t="s">
        <v>614</v>
      </c>
      <c r="I8" s="962"/>
      <c r="J8" s="963"/>
    </row>
    <row r="9" spans="1:10" ht="22.5">
      <c r="A9" s="463" t="s">
        <v>318</v>
      </c>
      <c r="B9" s="63" t="s">
        <v>486</v>
      </c>
      <c r="C9" s="465" t="s">
        <v>298</v>
      </c>
      <c r="D9" s="466" t="s">
        <v>691</v>
      </c>
      <c r="E9" s="467" t="s">
        <v>489</v>
      </c>
      <c r="H9" s="975" t="s">
        <v>615</v>
      </c>
      <c r="I9" s="976"/>
      <c r="J9" s="977"/>
    </row>
    <row r="10" spans="1:10" ht="12.75">
      <c r="A10" s="458"/>
      <c r="B10" s="459" t="s">
        <v>487</v>
      </c>
      <c r="C10" s="465"/>
      <c r="D10" s="472" t="s">
        <v>690</v>
      </c>
      <c r="E10" s="467"/>
      <c r="H10" s="978" t="s">
        <v>632</v>
      </c>
      <c r="I10" s="979"/>
      <c r="J10" s="980"/>
    </row>
    <row r="11" spans="1:10" ht="13.5" thickBot="1">
      <c r="A11" s="69" t="s">
        <v>339</v>
      </c>
      <c r="B11" s="138"/>
      <c r="C11" s="468"/>
      <c r="D11" s="468"/>
      <c r="E11" s="469"/>
      <c r="H11" s="981" t="s">
        <v>681</v>
      </c>
      <c r="I11" s="982"/>
      <c r="J11" s="983"/>
    </row>
    <row r="12" spans="1:5" ht="11.25">
      <c r="A12" s="71" t="s">
        <v>319</v>
      </c>
      <c r="B12" s="464">
        <v>50</v>
      </c>
      <c r="C12" s="470">
        <f>'Materials Module'!T137</f>
        <v>0</v>
      </c>
      <c r="D12" s="473">
        <v>20</v>
      </c>
      <c r="E12" s="471">
        <f>C12/D12*B12</f>
        <v>0</v>
      </c>
    </row>
    <row r="13" spans="1:5" ht="11.25">
      <c r="A13" s="75" t="s">
        <v>302</v>
      </c>
      <c r="B13" s="464">
        <v>50</v>
      </c>
      <c r="C13" s="470">
        <f>'Materials Module'!T138</f>
        <v>0</v>
      </c>
      <c r="D13" s="473">
        <v>20</v>
      </c>
      <c r="E13" s="471">
        <f aca="true" t="shared" si="0" ref="E13:E28">C13/D13*B13</f>
        <v>0</v>
      </c>
    </row>
    <row r="14" spans="1:5" ht="11.25">
      <c r="A14" s="75" t="s">
        <v>303</v>
      </c>
      <c r="B14" s="464">
        <v>50</v>
      </c>
      <c r="C14" s="470">
        <f>'Materials Module'!T139</f>
        <v>0</v>
      </c>
      <c r="D14" s="473">
        <v>20</v>
      </c>
      <c r="E14" s="471">
        <f t="shared" si="0"/>
        <v>0</v>
      </c>
    </row>
    <row r="15" spans="1:5" ht="11.25">
      <c r="A15" s="75" t="s">
        <v>305</v>
      </c>
      <c r="B15" s="464">
        <v>50</v>
      </c>
      <c r="C15" s="470">
        <f>'Materials Module'!T140</f>
        <v>0</v>
      </c>
      <c r="D15" s="473">
        <v>20</v>
      </c>
      <c r="E15" s="471">
        <f t="shared" si="0"/>
        <v>0</v>
      </c>
    </row>
    <row r="16" spans="1:5" ht="11.25">
      <c r="A16" s="75" t="s">
        <v>313</v>
      </c>
      <c r="B16" s="464">
        <v>50</v>
      </c>
      <c r="C16" s="470">
        <f>'Materials Module'!T141</f>
        <v>0</v>
      </c>
      <c r="D16" s="473">
        <v>20</v>
      </c>
      <c r="E16" s="471">
        <f t="shared" si="0"/>
        <v>0</v>
      </c>
    </row>
    <row r="17" spans="1:5" ht="11.25">
      <c r="A17" s="75" t="s">
        <v>320</v>
      </c>
      <c r="B17" s="464">
        <v>50</v>
      </c>
      <c r="C17" s="470">
        <f>'Materials Module'!T142</f>
        <v>0</v>
      </c>
      <c r="D17" s="473">
        <v>20</v>
      </c>
      <c r="E17" s="471">
        <f t="shared" si="0"/>
        <v>0</v>
      </c>
    </row>
    <row r="18" spans="1:5" ht="11.25">
      <c r="A18" s="75" t="s">
        <v>322</v>
      </c>
      <c r="B18" s="464">
        <v>50</v>
      </c>
      <c r="C18" s="470">
        <f>'Materials Module'!T143</f>
        <v>0</v>
      </c>
      <c r="D18" s="473">
        <v>20</v>
      </c>
      <c r="E18" s="471">
        <f t="shared" si="0"/>
        <v>0</v>
      </c>
    </row>
    <row r="19" spans="1:5" ht="11.25">
      <c r="A19" s="75"/>
      <c r="B19" s="464"/>
      <c r="C19" s="470"/>
      <c r="D19" s="473"/>
      <c r="E19" s="471"/>
    </row>
    <row r="20" spans="1:5" ht="11.25">
      <c r="A20" s="79" t="s">
        <v>341</v>
      </c>
      <c r="B20" s="464"/>
      <c r="C20" s="470"/>
      <c r="D20" s="473"/>
      <c r="E20" s="471"/>
    </row>
    <row r="21" spans="1:5" ht="11.25">
      <c r="A21" s="75" t="s">
        <v>686</v>
      </c>
      <c r="B21" s="464">
        <v>0</v>
      </c>
      <c r="C21" s="470">
        <f>'Materials Module'!T146</f>
        <v>0</v>
      </c>
      <c r="D21" s="473">
        <v>20</v>
      </c>
      <c r="E21" s="471">
        <f t="shared" si="0"/>
        <v>0</v>
      </c>
    </row>
    <row r="22" spans="1:5" ht="11.25">
      <c r="A22" s="75" t="s">
        <v>687</v>
      </c>
      <c r="B22" s="464">
        <v>0</v>
      </c>
      <c r="C22" s="470">
        <f>'Materials Module'!T147</f>
        <v>0</v>
      </c>
      <c r="D22" s="473">
        <v>20</v>
      </c>
      <c r="E22" s="471">
        <f t="shared" si="0"/>
        <v>0</v>
      </c>
    </row>
    <row r="23" spans="1:5" ht="11.25">
      <c r="A23" s="75" t="s">
        <v>345</v>
      </c>
      <c r="B23" s="464">
        <v>50</v>
      </c>
      <c r="C23" s="470">
        <f>'Materials Module'!T148</f>
        <v>0</v>
      </c>
      <c r="D23" s="473">
        <v>20</v>
      </c>
      <c r="E23" s="471">
        <f t="shared" si="0"/>
        <v>0</v>
      </c>
    </row>
    <row r="24" spans="1:5" ht="11.25">
      <c r="A24" s="75" t="s">
        <v>346</v>
      </c>
      <c r="B24" s="464">
        <v>50</v>
      </c>
      <c r="C24" s="470">
        <f>'Materials Module'!T149</f>
        <v>0</v>
      </c>
      <c r="D24" s="473">
        <v>20</v>
      </c>
      <c r="E24" s="471">
        <f t="shared" si="0"/>
        <v>0</v>
      </c>
    </row>
    <row r="25" spans="1:5" ht="11.25">
      <c r="A25" s="75" t="s">
        <v>347</v>
      </c>
      <c r="B25" s="464">
        <v>50</v>
      </c>
      <c r="C25" s="470">
        <f>'Materials Module'!T150</f>
        <v>0</v>
      </c>
      <c r="D25" s="473">
        <v>20</v>
      </c>
      <c r="E25" s="471">
        <f t="shared" si="0"/>
        <v>0</v>
      </c>
    </row>
    <row r="26" spans="1:5" ht="11.25">
      <c r="A26" s="75" t="s">
        <v>348</v>
      </c>
      <c r="B26" s="464">
        <v>50</v>
      </c>
      <c r="C26" s="470">
        <f>'Materials Module'!T151</f>
        <v>0</v>
      </c>
      <c r="D26" s="473">
        <v>20</v>
      </c>
      <c r="E26" s="471">
        <f t="shared" si="0"/>
        <v>0</v>
      </c>
    </row>
    <row r="27" spans="1:5" ht="11.25">
      <c r="A27" s="75" t="s">
        <v>350</v>
      </c>
      <c r="B27" s="464">
        <v>50</v>
      </c>
      <c r="C27" s="470">
        <f>'Materials Module'!T152</f>
        <v>0</v>
      </c>
      <c r="D27" s="473">
        <v>20</v>
      </c>
      <c r="E27" s="471">
        <f t="shared" si="0"/>
        <v>0</v>
      </c>
    </row>
    <row r="28" spans="1:5" ht="11.25">
      <c r="A28" s="75" t="s">
        <v>351</v>
      </c>
      <c r="B28" s="464">
        <v>50</v>
      </c>
      <c r="C28" s="470">
        <f>'Materials Module'!T153</f>
        <v>0</v>
      </c>
      <c r="D28" s="473">
        <v>20</v>
      </c>
      <c r="E28" s="471">
        <f t="shared" si="0"/>
        <v>0</v>
      </c>
    </row>
    <row r="29" spans="1:5" ht="11.25">
      <c r="A29" s="75"/>
      <c r="B29" s="84"/>
      <c r="E29" s="460"/>
    </row>
    <row r="30" spans="1:6" ht="12" thickBot="1">
      <c r="A30" s="82" t="s">
        <v>232</v>
      </c>
      <c r="B30" s="461"/>
      <c r="C30" s="461">
        <f>SUM(C12:C28)</f>
        <v>0</v>
      </c>
      <c r="D30" s="462"/>
      <c r="E30" s="474">
        <f>SUM(E12:E28)</f>
        <v>0</v>
      </c>
      <c r="F30" s="139"/>
    </row>
    <row r="31" spans="1:2" ht="11.25">
      <c r="A31" s="131"/>
      <c r="B31" s="84"/>
    </row>
    <row r="32" spans="1:2" ht="11.25">
      <c r="A32" s="131"/>
      <c r="B32" s="84"/>
    </row>
    <row r="33" spans="1:2" ht="11.25">
      <c r="A33" s="131"/>
      <c r="B33" s="84"/>
    </row>
    <row r="34" spans="1:2" ht="11.25">
      <c r="A34" s="131"/>
      <c r="B34" s="84"/>
    </row>
    <row r="35" spans="1:2" ht="11.25">
      <c r="A35" s="75"/>
      <c r="B35" s="84"/>
    </row>
    <row r="36" spans="1:2" ht="11.25">
      <c r="A36" s="131"/>
      <c r="B36" s="84"/>
    </row>
    <row r="37" spans="1:2" ht="11.25">
      <c r="A37" s="131"/>
      <c r="B37" s="84"/>
    </row>
    <row r="38" spans="1:2" ht="11.25">
      <c r="A38" s="131"/>
      <c r="B38" s="84"/>
    </row>
    <row r="39" spans="1:2" ht="11.25">
      <c r="A39" s="131"/>
      <c r="B39" s="84"/>
    </row>
    <row r="41" ht="15" customHeight="1"/>
  </sheetData>
  <sheetProtection/>
  <mergeCells count="5">
    <mergeCell ref="A8:E8"/>
    <mergeCell ref="H8:J8"/>
    <mergeCell ref="H9:J9"/>
    <mergeCell ref="H10:J10"/>
    <mergeCell ref="H11:J11"/>
  </mergeCells>
  <printOptions/>
  <pageMargins left="0.75" right="0.75" top="1" bottom="1" header="0.5" footer="0.5"/>
  <pageSetup horizontalDpi="1200" verticalDpi="1200" orientation="portrait" r:id="rId2"/>
  <drawing r:id="rId1"/>
</worksheet>
</file>

<file path=xl/worksheets/sheet13.xml><?xml version="1.0" encoding="utf-8"?>
<worksheet xmlns="http://schemas.openxmlformats.org/spreadsheetml/2006/main" xmlns:r="http://schemas.openxmlformats.org/officeDocument/2006/relationships">
  <sheetPr codeName="Sheet20">
    <tabColor indexed="42"/>
  </sheetPr>
  <dimension ref="A1:N201"/>
  <sheetViews>
    <sheetView zoomScalePageLayoutView="0" workbookViewId="0" topLeftCell="A24">
      <selection activeCell="F143" sqref="F143"/>
    </sheetView>
  </sheetViews>
  <sheetFormatPr defaultColWidth="9.140625" defaultRowHeight="15"/>
  <cols>
    <col min="1" max="1" width="22.7109375" style="92" customWidth="1"/>
    <col min="2" max="2" width="38.8515625" style="92" bestFit="1" customWidth="1"/>
    <col min="3" max="3" width="12.140625" style="92" customWidth="1"/>
    <col min="4" max="4" width="11.140625" style="92" customWidth="1"/>
    <col min="5" max="5" width="11.421875" style="92" customWidth="1"/>
    <col min="6" max="6" width="12.57421875" style="92" customWidth="1"/>
    <col min="7" max="7" width="8.00390625" style="92" customWidth="1"/>
    <col min="8" max="8" width="20.140625" style="92" customWidth="1"/>
    <col min="9" max="9" width="12.57421875" style="92" customWidth="1"/>
    <col min="10" max="10" width="15.140625" style="92" bestFit="1" customWidth="1"/>
    <col min="11" max="11" width="16.140625" style="92" customWidth="1"/>
    <col min="12" max="12" width="28.8515625" style="92" customWidth="1"/>
    <col min="13" max="13" width="10.421875" style="92" customWidth="1"/>
    <col min="14" max="14" width="13.00390625" style="92" customWidth="1"/>
    <col min="15" max="16384" width="9.140625" style="92" customWidth="1"/>
  </cols>
  <sheetData>
    <row r="1" spans="1:2" ht="12.75">
      <c r="A1" s="1087" t="s">
        <v>357</v>
      </c>
      <c r="B1" s="1088"/>
    </row>
    <row r="2" spans="1:2" ht="12.75">
      <c r="A2" s="85" t="s">
        <v>358</v>
      </c>
      <c r="B2" s="86" t="s">
        <v>359</v>
      </c>
    </row>
    <row r="3" spans="1:2" ht="12.75">
      <c r="A3" s="89"/>
      <c r="B3" s="90"/>
    </row>
    <row r="4" spans="1:2" ht="12.75">
      <c r="A4" s="71" t="s">
        <v>360</v>
      </c>
      <c r="B4" s="58">
        <v>1.2</v>
      </c>
    </row>
    <row r="5" spans="1:2" ht="12.75">
      <c r="A5" s="75"/>
      <c r="B5" s="91"/>
    </row>
    <row r="6" spans="1:2" ht="12.75">
      <c r="A6" s="75"/>
      <c r="B6" s="84"/>
    </row>
    <row r="7" spans="1:10" ht="12.75">
      <c r="A7" s="93" t="s">
        <v>361</v>
      </c>
      <c r="B7" s="94"/>
      <c r="C7" s="94"/>
      <c r="D7" s="94"/>
      <c r="E7" s="94"/>
      <c r="F7" s="94"/>
      <c r="G7" s="94"/>
      <c r="H7" s="94"/>
      <c r="I7" s="94"/>
      <c r="J7" s="94"/>
    </row>
    <row r="8" spans="1:10" s="96" customFormat="1" ht="63.75">
      <c r="A8" s="95" t="s">
        <v>362</v>
      </c>
      <c r="B8" s="95" t="s">
        <v>363</v>
      </c>
      <c r="C8" s="95" t="s">
        <v>447</v>
      </c>
      <c r="D8" s="95" t="s">
        <v>448</v>
      </c>
      <c r="E8" s="95" t="s">
        <v>449</v>
      </c>
      <c r="F8" s="95"/>
      <c r="G8" s="95" t="s">
        <v>364</v>
      </c>
      <c r="H8" s="95" t="s">
        <v>365</v>
      </c>
      <c r="I8" s="95" t="s">
        <v>450</v>
      </c>
      <c r="J8" s="95" t="s">
        <v>451</v>
      </c>
    </row>
    <row r="9" spans="3:10" ht="12.75">
      <c r="C9" s="97"/>
      <c r="D9" s="97"/>
      <c r="E9" s="97"/>
      <c r="G9" s="98"/>
      <c r="H9" s="98"/>
      <c r="I9" s="97"/>
      <c r="J9" s="97"/>
    </row>
    <row r="10" spans="1:10" ht="12.75">
      <c r="A10" s="99" t="s">
        <v>366</v>
      </c>
      <c r="C10" s="97"/>
      <c r="D10" s="97"/>
      <c r="E10" s="97"/>
      <c r="G10" s="98"/>
      <c r="H10" s="98"/>
      <c r="I10" s="97"/>
      <c r="J10" s="97"/>
    </row>
    <row r="11" spans="3:13" ht="12.75">
      <c r="C11" s="100">
        <v>150</v>
      </c>
      <c r="D11" s="100">
        <v>15000</v>
      </c>
      <c r="E11" s="97">
        <f>D11/C11</f>
        <v>100</v>
      </c>
      <c r="G11" s="101">
        <v>1.2266666666666666</v>
      </c>
      <c r="H11" s="98">
        <v>0.5</v>
      </c>
      <c r="I11" s="97">
        <f>C11*G11*H11*(24*365)/1000</f>
        <v>805.92</v>
      </c>
      <c r="J11" s="102">
        <f>I11/D11</f>
        <v>0.053728</v>
      </c>
      <c r="M11" s="103" t="s">
        <v>367</v>
      </c>
    </row>
    <row r="12" spans="3:13" ht="12.75">
      <c r="C12" s="100">
        <v>200</v>
      </c>
      <c r="D12" s="100">
        <v>22000</v>
      </c>
      <c r="E12" s="97">
        <f>D12/C12</f>
        <v>110</v>
      </c>
      <c r="G12" s="101">
        <v>1.23</v>
      </c>
      <c r="H12" s="98">
        <v>0.5</v>
      </c>
      <c r="I12" s="97">
        <f>C12*G12*H12*(24*365)/1000</f>
        <v>1077.48</v>
      </c>
      <c r="J12" s="102">
        <f>I12/D12</f>
        <v>0.04897636363636364</v>
      </c>
      <c r="M12" s="104" t="s">
        <v>368</v>
      </c>
    </row>
    <row r="13" spans="3:14" ht="12.75">
      <c r="C13" s="100">
        <v>250</v>
      </c>
      <c r="D13" s="100">
        <v>27500</v>
      </c>
      <c r="E13" s="97">
        <f>D13/C13</f>
        <v>110</v>
      </c>
      <c r="G13" s="101">
        <v>1.184</v>
      </c>
      <c r="H13" s="98">
        <v>0.5</v>
      </c>
      <c r="I13" s="97">
        <f>C13*G13*H13*(24*365)/1000</f>
        <v>1296.48</v>
      </c>
      <c r="J13" s="102">
        <f>I13/D13</f>
        <v>0.047144727272727276</v>
      </c>
      <c r="N13" s="92" t="s">
        <v>369</v>
      </c>
    </row>
    <row r="14" spans="3:14" ht="12.75">
      <c r="C14" s="100">
        <v>400</v>
      </c>
      <c r="D14" s="100">
        <v>50000</v>
      </c>
      <c r="E14" s="97">
        <f>D14/C14</f>
        <v>125</v>
      </c>
      <c r="G14" s="101">
        <v>1.195</v>
      </c>
      <c r="H14" s="98">
        <v>0.5</v>
      </c>
      <c r="I14" s="97">
        <f>C14*G14*H14*(24*365)/1000</f>
        <v>2093.64</v>
      </c>
      <c r="J14" s="102">
        <f>I14/D14</f>
        <v>0.041872799999999995</v>
      </c>
      <c r="N14" s="105" t="s">
        <v>370</v>
      </c>
    </row>
    <row r="15" spans="3:13" ht="12.75">
      <c r="C15" s="100">
        <v>1000</v>
      </c>
      <c r="D15" s="100">
        <v>140000</v>
      </c>
      <c r="E15" s="97">
        <f>D15/C15</f>
        <v>140</v>
      </c>
      <c r="G15" s="101">
        <v>1.2</v>
      </c>
      <c r="H15" s="98">
        <v>0.5</v>
      </c>
      <c r="I15" s="97">
        <f>C15*G15*H15*(24*365)/1000</f>
        <v>5256</v>
      </c>
      <c r="J15" s="102">
        <f>I15/D15</f>
        <v>0.03754285714285714</v>
      </c>
      <c r="M15" s="106" t="s">
        <v>371</v>
      </c>
    </row>
    <row r="16" spans="3:11" ht="12.75">
      <c r="C16" s="97"/>
      <c r="D16" s="97"/>
      <c r="E16" s="107">
        <f>AVERAGE(E11:E15)</f>
        <v>117</v>
      </c>
      <c r="F16" s="99" t="s">
        <v>372</v>
      </c>
      <c r="G16" s="107">
        <f>AVERAGE(G11:G15)</f>
        <v>1.2071333333333334</v>
      </c>
      <c r="H16" s="99" t="s">
        <v>372</v>
      </c>
      <c r="I16" s="97"/>
      <c r="J16" s="108">
        <f>AVERAGE(J11:J15)</f>
        <v>0.045852949610389604</v>
      </c>
      <c r="K16" s="99" t="s">
        <v>372</v>
      </c>
    </row>
    <row r="17" spans="3:10" ht="12.75">
      <c r="C17" s="97"/>
      <c r="D17" s="97"/>
      <c r="E17" s="97"/>
      <c r="G17" s="98"/>
      <c r="H17" s="98"/>
      <c r="I17" s="97"/>
      <c r="J17" s="97"/>
    </row>
    <row r="18" spans="3:10" ht="12.75">
      <c r="C18" s="97"/>
      <c r="D18" s="97"/>
      <c r="E18" s="97"/>
      <c r="G18" s="98"/>
      <c r="H18" s="98"/>
      <c r="I18" s="97"/>
      <c r="J18" s="97"/>
    </row>
    <row r="19" spans="1:10" ht="12.75">
      <c r="A19" s="99" t="s">
        <v>373</v>
      </c>
      <c r="J19" s="97"/>
    </row>
    <row r="20" spans="3:10" ht="12.75">
      <c r="C20" s="100">
        <v>55</v>
      </c>
      <c r="D20" s="100">
        <v>8000</v>
      </c>
      <c r="E20" s="97">
        <f>D20/C20</f>
        <v>145.45454545454547</v>
      </c>
      <c r="G20" s="101">
        <v>1.509090909090909</v>
      </c>
      <c r="H20" s="98">
        <v>0.5</v>
      </c>
      <c r="I20" s="97">
        <f>C20*G20*H20*(24*365)/1000</f>
        <v>363.54</v>
      </c>
      <c r="J20" s="102">
        <f>I20/D20</f>
        <v>0.045442500000000004</v>
      </c>
    </row>
    <row r="21" spans="3:10" ht="12.75">
      <c r="C21" s="100">
        <v>90</v>
      </c>
      <c r="D21" s="100">
        <v>13500</v>
      </c>
      <c r="E21" s="97">
        <f>D21/C21</f>
        <v>150</v>
      </c>
      <c r="G21" s="101">
        <v>1.4555555555555555</v>
      </c>
      <c r="H21" s="98">
        <v>0.5</v>
      </c>
      <c r="I21" s="97">
        <f>C21*G21*H21*(24*365)/1000</f>
        <v>573.78</v>
      </c>
      <c r="J21" s="102">
        <f>I21/D21</f>
        <v>0.04250222222222222</v>
      </c>
    </row>
    <row r="22" spans="3:10" ht="12.75">
      <c r="C22" s="100">
        <v>135</v>
      </c>
      <c r="D22" s="100">
        <v>22500</v>
      </c>
      <c r="E22" s="97">
        <f>D22/C22</f>
        <v>166.66666666666666</v>
      </c>
      <c r="G22" s="101">
        <v>1.4592592592592593</v>
      </c>
      <c r="H22" s="98">
        <v>0.5</v>
      </c>
      <c r="I22" s="97">
        <f>C22*G22*H22*(24*365)/1000</f>
        <v>862.86</v>
      </c>
      <c r="J22" s="102">
        <f>I22/D22</f>
        <v>0.03834933333333333</v>
      </c>
    </row>
    <row r="23" spans="3:10" ht="12.75">
      <c r="C23" s="100">
        <v>180</v>
      </c>
      <c r="D23" s="100">
        <v>33000</v>
      </c>
      <c r="E23" s="97">
        <f>D23/C23</f>
        <v>183.33333333333334</v>
      </c>
      <c r="G23" s="101">
        <v>1.3722222222222222</v>
      </c>
      <c r="H23" s="98">
        <v>0.5</v>
      </c>
      <c r="I23" s="97">
        <f>C23*G23*H23*(24*365)/1000</f>
        <v>1081.86</v>
      </c>
      <c r="J23" s="102">
        <f>I23/D23</f>
        <v>0.03278363636363636</v>
      </c>
    </row>
    <row r="24" spans="3:11" ht="12.75">
      <c r="C24" s="97"/>
      <c r="D24" s="97"/>
      <c r="E24" s="107">
        <f>AVERAGE(E19:E23)</f>
        <v>161.36363636363637</v>
      </c>
      <c r="F24" s="99" t="s">
        <v>372</v>
      </c>
      <c r="G24" s="107">
        <f>AVERAGE(G19:G23)</f>
        <v>1.4490319865319865</v>
      </c>
      <c r="H24" s="99" t="s">
        <v>372</v>
      </c>
      <c r="I24" s="97"/>
      <c r="J24" s="108">
        <f>AVERAGE(J19:J23)</f>
        <v>0.03976942297979798</v>
      </c>
      <c r="K24" s="99" t="s">
        <v>372</v>
      </c>
    </row>
    <row r="25" spans="3:9" ht="12.75">
      <c r="C25" s="97"/>
      <c r="D25" s="97"/>
      <c r="E25" s="97"/>
      <c r="G25" s="98"/>
      <c r="H25" s="98"/>
      <c r="I25" s="97"/>
    </row>
    <row r="26" spans="1:9" ht="12.75">
      <c r="A26" s="99" t="s">
        <v>374</v>
      </c>
      <c r="C26" s="97"/>
      <c r="D26" s="97"/>
      <c r="E26" s="97"/>
      <c r="G26" s="98"/>
      <c r="H26" s="98"/>
      <c r="I26" s="97"/>
    </row>
    <row r="27" spans="3:10" ht="12.75">
      <c r="C27" s="100">
        <v>250</v>
      </c>
      <c r="D27" s="100">
        <v>11200</v>
      </c>
      <c r="E27" s="97">
        <f>D27/C27</f>
        <v>44.8</v>
      </c>
      <c r="G27" s="101">
        <v>1.14</v>
      </c>
      <c r="H27" s="98">
        <v>0.5</v>
      </c>
      <c r="I27" s="97">
        <f>C27*G27*H27*(24*365)/1000</f>
        <v>1248.3</v>
      </c>
      <c r="J27" s="102">
        <f>I27/D27</f>
        <v>0.11145535714285713</v>
      </c>
    </row>
    <row r="28" spans="3:10" ht="12.75">
      <c r="C28" s="100">
        <v>400</v>
      </c>
      <c r="D28" s="100">
        <v>21000</v>
      </c>
      <c r="E28" s="97">
        <f>D28/C28</f>
        <v>52.5</v>
      </c>
      <c r="G28" s="101">
        <v>1.1225</v>
      </c>
      <c r="H28" s="98">
        <v>0.5</v>
      </c>
      <c r="I28" s="97">
        <f>C28*G28*H28*(24*365)/1000</f>
        <v>1966.62</v>
      </c>
      <c r="J28" s="102">
        <f>I28/D28</f>
        <v>0.09364857142857143</v>
      </c>
    </row>
    <row r="29" spans="3:10" ht="12.75">
      <c r="C29" s="100">
        <v>1000</v>
      </c>
      <c r="D29" s="100">
        <v>57000</v>
      </c>
      <c r="E29" s="97">
        <f>D29/C29</f>
        <v>57</v>
      </c>
      <c r="G29" s="101">
        <v>1.067</v>
      </c>
      <c r="H29" s="98">
        <v>0.5</v>
      </c>
      <c r="I29" s="97">
        <f>C29*G29*H29*(24*365)/1000</f>
        <v>4673.46</v>
      </c>
      <c r="J29" s="102">
        <f>I29/D29</f>
        <v>0.08199052631578947</v>
      </c>
    </row>
    <row r="30" spans="5:11" ht="12.75">
      <c r="E30" s="107">
        <f>AVERAGE(E25:E29)</f>
        <v>51.43333333333334</v>
      </c>
      <c r="F30" s="99" t="s">
        <v>372</v>
      </c>
      <c r="G30" s="107">
        <f>AVERAGE(G25:G29)</f>
        <v>1.1098333333333334</v>
      </c>
      <c r="H30" s="99" t="s">
        <v>372</v>
      </c>
      <c r="J30" s="108">
        <f>AVERAGE(J25:J29)</f>
        <v>0.09569815162907268</v>
      </c>
      <c r="K30" s="99" t="s">
        <v>372</v>
      </c>
    </row>
    <row r="31" spans="1:10" ht="12.75">
      <c r="A31" s="99" t="s">
        <v>375</v>
      </c>
      <c r="C31" s="97"/>
      <c r="D31" s="97"/>
      <c r="E31" s="97"/>
      <c r="G31" s="98"/>
      <c r="H31" s="98"/>
      <c r="I31" s="97"/>
      <c r="J31" s="97"/>
    </row>
    <row r="32" spans="1:10" ht="12.75">
      <c r="A32" s="92" t="s">
        <v>376</v>
      </c>
      <c r="B32" s="92" t="s">
        <v>377</v>
      </c>
      <c r="C32" s="109">
        <v>180</v>
      </c>
      <c r="D32" s="109">
        <v>11700</v>
      </c>
      <c r="E32" s="97">
        <f>D32/C32</f>
        <v>65</v>
      </c>
      <c r="G32" s="98">
        <v>1</v>
      </c>
      <c r="H32" s="98">
        <v>0.5</v>
      </c>
      <c r="I32" s="97">
        <f>C32*G32*H32*(24*365)/1000</f>
        <v>788.4</v>
      </c>
      <c r="J32" s="102">
        <f>I32/D32</f>
        <v>0.06738461538461538</v>
      </c>
    </row>
    <row r="33" spans="1:10" ht="12.75">
      <c r="A33" s="92" t="s">
        <v>378</v>
      </c>
      <c r="B33" s="92" t="s">
        <v>379</v>
      </c>
      <c r="C33" s="109">
        <v>100</v>
      </c>
      <c r="D33" s="109">
        <v>6800</v>
      </c>
      <c r="E33" s="97">
        <f>D33/C33</f>
        <v>68</v>
      </c>
      <c r="G33" s="98">
        <v>1</v>
      </c>
      <c r="H33" s="98">
        <v>0.5</v>
      </c>
      <c r="I33" s="97">
        <f>C33*G33*H33*(24*365)/1000</f>
        <v>438</v>
      </c>
      <c r="J33" s="102">
        <f>I33/D33</f>
        <v>0.06441176470588235</v>
      </c>
    </row>
    <row r="34" spans="1:10" ht="12.75">
      <c r="A34" s="92" t="s">
        <v>380</v>
      </c>
      <c r="B34" s="92" t="s">
        <v>381</v>
      </c>
      <c r="C34" s="109">
        <v>58</v>
      </c>
      <c r="D34" s="109">
        <v>4000</v>
      </c>
      <c r="E34" s="97">
        <f>D34/C34</f>
        <v>68.96551724137932</v>
      </c>
      <c r="G34" s="98">
        <v>1</v>
      </c>
      <c r="H34" s="98">
        <v>0.5</v>
      </c>
      <c r="I34" s="97">
        <f>C34*G34*H34*(24*365)/1000</f>
        <v>254.04</v>
      </c>
      <c r="J34" s="102">
        <f>I34/D34</f>
        <v>0.06351</v>
      </c>
    </row>
    <row r="35" spans="1:10" ht="12.75">
      <c r="A35" s="92" t="s">
        <v>382</v>
      </c>
      <c r="B35" s="92" t="s">
        <v>383</v>
      </c>
      <c r="C35" s="104">
        <v>120</v>
      </c>
      <c r="D35" s="109">
        <v>9810</v>
      </c>
      <c r="E35" s="97">
        <f>D35/C35</f>
        <v>81.75</v>
      </c>
      <c r="G35" s="98">
        <v>1</v>
      </c>
      <c r="H35" s="98">
        <v>0.5</v>
      </c>
      <c r="I35" s="97">
        <f>C35*G35*H35*(24*365)/1000</f>
        <v>525.6</v>
      </c>
      <c r="J35" s="102">
        <f>I35/D35</f>
        <v>0.05357798165137615</v>
      </c>
    </row>
    <row r="36" spans="1:10" ht="12.75">
      <c r="A36" s="92" t="s">
        <v>384</v>
      </c>
      <c r="B36" s="92" t="s">
        <v>385</v>
      </c>
      <c r="C36" s="104">
        <v>55</v>
      </c>
      <c r="D36" s="109">
        <v>4000</v>
      </c>
      <c r="E36" s="97">
        <f>D36/C36</f>
        <v>72.72727272727273</v>
      </c>
      <c r="G36" s="98">
        <v>1</v>
      </c>
      <c r="H36" s="98">
        <v>0.5</v>
      </c>
      <c r="I36" s="97">
        <f>C36*G36*H36*(24*365)/1000</f>
        <v>240.9</v>
      </c>
      <c r="J36" s="102">
        <f>I36/D36</f>
        <v>0.060225</v>
      </c>
    </row>
    <row r="37" spans="3:11" ht="12.75">
      <c r="C37" s="97"/>
      <c r="D37" s="97"/>
      <c r="E37" s="107">
        <f>AVERAGE(E32:E36)</f>
        <v>71.28855799373041</v>
      </c>
      <c r="F37" s="99" t="s">
        <v>372</v>
      </c>
      <c r="G37" s="107">
        <f>AVERAGE(G32:G36)</f>
        <v>1</v>
      </c>
      <c r="H37" s="99" t="s">
        <v>372</v>
      </c>
      <c r="I37" s="97"/>
      <c r="J37" s="108">
        <f>AVERAGE(J32:J36)</f>
        <v>0.06182187234837477</v>
      </c>
      <c r="K37" s="99" t="s">
        <v>372</v>
      </c>
    </row>
    <row r="38" ht="12.75">
      <c r="A38" s="99"/>
    </row>
    <row r="39" ht="12.75">
      <c r="A39" s="99" t="s">
        <v>835</v>
      </c>
    </row>
    <row r="40" spans="3:10" ht="12.75">
      <c r="C40" s="92">
        <v>100</v>
      </c>
      <c r="D40" s="92">
        <v>9000</v>
      </c>
      <c r="E40" s="97">
        <f>D40/C40</f>
        <v>90</v>
      </c>
      <c r="G40" s="819">
        <v>1.2</v>
      </c>
      <c r="H40" s="98">
        <v>0.5</v>
      </c>
      <c r="I40" s="97">
        <f>C40*G40*H40*(24*365)/1000</f>
        <v>525.6</v>
      </c>
      <c r="J40" s="102">
        <f>I40/D40</f>
        <v>0.0584</v>
      </c>
    </row>
    <row r="41" spans="5:11" ht="12.75">
      <c r="E41" s="107">
        <f>AVERAGE(E40)</f>
        <v>90</v>
      </c>
      <c r="F41" s="99" t="s">
        <v>372</v>
      </c>
      <c r="G41" s="107">
        <f>AVERAGE(G40)</f>
        <v>1.2</v>
      </c>
      <c r="H41" s="99" t="s">
        <v>372</v>
      </c>
      <c r="I41" s="97"/>
      <c r="J41" s="108">
        <f>AVERAGE(J40)</f>
        <v>0.0584</v>
      </c>
      <c r="K41" s="99" t="s">
        <v>372</v>
      </c>
    </row>
    <row r="42" spans="5:6" ht="12.75">
      <c r="E42" s="92" t="s">
        <v>843</v>
      </c>
      <c r="F42" s="99"/>
    </row>
    <row r="43" ht="15">
      <c r="E43" s="820" t="s">
        <v>842</v>
      </c>
    </row>
    <row r="44" ht="12.75"/>
    <row r="45" ht="12.75">
      <c r="A45" s="99"/>
    </row>
    <row r="46" ht="12.75">
      <c r="A46" s="99" t="s">
        <v>836</v>
      </c>
    </row>
    <row r="47" spans="1:10" ht="12.75">
      <c r="A47" s="92" t="s">
        <v>840</v>
      </c>
      <c r="C47" s="92">
        <v>107</v>
      </c>
      <c r="D47" s="92">
        <v>6280</v>
      </c>
      <c r="E47" s="97">
        <f>D47/C47</f>
        <v>58.691588785046726</v>
      </c>
      <c r="G47" s="98">
        <v>1.2</v>
      </c>
      <c r="H47" s="98">
        <v>0.5</v>
      </c>
      <c r="I47" s="97">
        <f>C47*G47*H47*(24*365)/1000</f>
        <v>562.392</v>
      </c>
      <c r="J47" s="102">
        <f>I47/D47</f>
        <v>0.08955286624203823</v>
      </c>
    </row>
    <row r="48" spans="1:10" ht="12.75">
      <c r="A48" s="818" t="s">
        <v>841</v>
      </c>
      <c r="C48" s="92">
        <v>85</v>
      </c>
      <c r="D48" s="92">
        <v>6000</v>
      </c>
      <c r="E48" s="97">
        <f>D48/C48</f>
        <v>70.58823529411765</v>
      </c>
      <c r="G48" s="98">
        <v>1.2</v>
      </c>
      <c r="H48" s="98">
        <v>0.5</v>
      </c>
      <c r="I48" s="97">
        <f>C48*G48*H48*(24*365)/1000</f>
        <v>446.76</v>
      </c>
      <c r="J48" s="102">
        <f>I48/D48</f>
        <v>0.07446</v>
      </c>
    </row>
    <row r="49" spans="1:11" ht="12.75">
      <c r="A49" s="99"/>
      <c r="E49" s="107">
        <f>AVERAGE(E47:E48)</f>
        <v>64.63991203958219</v>
      </c>
      <c r="F49" s="99" t="s">
        <v>372</v>
      </c>
      <c r="G49" s="107">
        <f>AVERAGE(G47:G48)</f>
        <v>1.2</v>
      </c>
      <c r="H49" s="99" t="s">
        <v>372</v>
      </c>
      <c r="I49" s="97"/>
      <c r="J49" s="108">
        <f>AVERAGE(J47:J48)</f>
        <v>0.08200643312101911</v>
      </c>
      <c r="K49" s="99" t="s">
        <v>372</v>
      </c>
    </row>
    <row r="50" spans="1:7" ht="12.75">
      <c r="A50" s="99"/>
      <c r="G50" s="92" t="s">
        <v>839</v>
      </c>
    </row>
    <row r="51" ht="12.75">
      <c r="A51" s="99"/>
    </row>
    <row r="52" spans="1:10" ht="12.75">
      <c r="A52" s="99" t="s">
        <v>837</v>
      </c>
      <c r="C52" s="92">
        <v>175</v>
      </c>
      <c r="D52" s="92">
        <v>14000</v>
      </c>
      <c r="E52" s="97">
        <f>D52/C52</f>
        <v>80</v>
      </c>
      <c r="G52" s="819">
        <f>210/C52</f>
        <v>1.2</v>
      </c>
      <c r="H52" s="98">
        <v>0.5</v>
      </c>
      <c r="I52" s="97">
        <f>C52*G52*H52*(24*365)/1000</f>
        <v>919.8</v>
      </c>
      <c r="J52" s="102">
        <f>I52/D52</f>
        <v>0.0657</v>
      </c>
    </row>
    <row r="53" spans="1:10" ht="12.75">
      <c r="A53" s="99"/>
      <c r="C53" s="92">
        <v>250</v>
      </c>
      <c r="D53" s="92">
        <v>21000</v>
      </c>
      <c r="E53" s="97">
        <f>D53/C53</f>
        <v>84</v>
      </c>
      <c r="G53" s="819">
        <f>295/C53</f>
        <v>1.18</v>
      </c>
      <c r="H53" s="98">
        <v>0.5</v>
      </c>
      <c r="I53" s="97">
        <f>C53*G53*H53*(24*365)/1000</f>
        <v>1292.1</v>
      </c>
      <c r="J53" s="102">
        <f>I53/D53</f>
        <v>0.061528571428571426</v>
      </c>
    </row>
    <row r="54" spans="1:10" ht="12.75">
      <c r="A54" s="99"/>
      <c r="C54" s="92">
        <v>400</v>
      </c>
      <c r="D54" s="92">
        <v>36000</v>
      </c>
      <c r="E54" s="97">
        <f>D54/C54</f>
        <v>90</v>
      </c>
      <c r="G54" s="819">
        <f>458/C54</f>
        <v>1.145</v>
      </c>
      <c r="H54" s="98">
        <v>0.5</v>
      </c>
      <c r="I54" s="97">
        <f>C54*G54*H54*(24*365)/1000</f>
        <v>2006.04</v>
      </c>
      <c r="J54" s="102">
        <f>I54/D54</f>
        <v>0.05572333333333333</v>
      </c>
    </row>
    <row r="55" spans="1:10" ht="12.75">
      <c r="A55" s="99"/>
      <c r="C55" s="92">
        <v>1000</v>
      </c>
      <c r="D55" s="92">
        <v>110000</v>
      </c>
      <c r="E55" s="97">
        <f>D55/C55</f>
        <v>110</v>
      </c>
      <c r="G55" s="819">
        <f>1080/C55</f>
        <v>1.08</v>
      </c>
      <c r="H55" s="98">
        <v>0.5</v>
      </c>
      <c r="I55" s="97">
        <f>C55*G55*H55*(24*365)/1000</f>
        <v>4730.4</v>
      </c>
      <c r="J55" s="102">
        <f>I55/D55</f>
        <v>0.04300363636363636</v>
      </c>
    </row>
    <row r="56" spans="1:11" ht="12.75">
      <c r="A56" s="99"/>
      <c r="E56" s="107">
        <f>AVERAGE(E52:E55)</f>
        <v>91</v>
      </c>
      <c r="F56" s="99" t="s">
        <v>372</v>
      </c>
      <c r="G56" s="107">
        <f>AVERAGE(G52:G55)</f>
        <v>1.15125</v>
      </c>
      <c r="H56" s="99" t="s">
        <v>372</v>
      </c>
      <c r="J56" s="108">
        <f>AVERAGE(J52:J55)</f>
        <v>0.05648888528138528</v>
      </c>
      <c r="K56" s="99" t="s">
        <v>372</v>
      </c>
    </row>
    <row r="57" ht="12.75">
      <c r="C57" s="92" t="s">
        <v>838</v>
      </c>
    </row>
    <row r="58" ht="12.75"/>
    <row r="59" spans="1:10" ht="12.75">
      <c r="A59" s="93" t="s">
        <v>264</v>
      </c>
      <c r="B59" s="94"/>
      <c r="C59" s="94"/>
      <c r="D59" s="94"/>
      <c r="E59" s="94"/>
      <c r="F59" s="94"/>
      <c r="G59" s="94"/>
      <c r="H59" s="94"/>
      <c r="I59" s="94"/>
      <c r="J59" s="94"/>
    </row>
    <row r="60" spans="1:10" s="96" customFormat="1" ht="51">
      <c r="A60" s="95" t="s">
        <v>362</v>
      </c>
      <c r="B60" s="95" t="s">
        <v>363</v>
      </c>
      <c r="C60" s="95" t="s">
        <v>447</v>
      </c>
      <c r="D60" s="95" t="s">
        <v>448</v>
      </c>
      <c r="E60" s="95"/>
      <c r="F60" s="95"/>
      <c r="G60" s="95" t="s">
        <v>364</v>
      </c>
      <c r="H60" s="95" t="s">
        <v>365</v>
      </c>
      <c r="I60" s="95" t="s">
        <v>450</v>
      </c>
      <c r="J60" s="95"/>
    </row>
    <row r="61" ht="12.75"/>
    <row r="62" ht="12.75">
      <c r="A62" s="99" t="s">
        <v>289</v>
      </c>
    </row>
    <row r="63" spans="1:9" ht="12.75">
      <c r="A63" s="92" t="s">
        <v>279</v>
      </c>
      <c r="C63" s="92">
        <v>150</v>
      </c>
      <c r="G63" s="110">
        <v>1</v>
      </c>
      <c r="H63" s="111">
        <v>0.45</v>
      </c>
      <c r="I63" s="112">
        <f aca="true" t="shared" si="0" ref="I63:I72">C63*G63*H63*(24*365)/1000</f>
        <v>591.3</v>
      </c>
    </row>
    <row r="64" spans="1:9" ht="12.75">
      <c r="A64" s="92" t="s">
        <v>280</v>
      </c>
      <c r="C64" s="92">
        <v>150</v>
      </c>
      <c r="G64" s="110">
        <v>1</v>
      </c>
      <c r="H64" s="111">
        <v>0.1</v>
      </c>
      <c r="I64" s="112">
        <f t="shared" si="0"/>
        <v>131.4</v>
      </c>
    </row>
    <row r="65" spans="1:9" ht="12.75">
      <c r="A65" s="92" t="s">
        <v>281</v>
      </c>
      <c r="C65" s="92">
        <v>150</v>
      </c>
      <c r="G65" s="110">
        <v>1</v>
      </c>
      <c r="H65" s="111">
        <v>0.45</v>
      </c>
      <c r="I65" s="112">
        <f t="shared" si="0"/>
        <v>591.3</v>
      </c>
    </row>
    <row r="66" spans="1:9" ht="12.75">
      <c r="A66" s="92" t="s">
        <v>282</v>
      </c>
      <c r="C66" s="92">
        <v>70</v>
      </c>
      <c r="G66" s="110">
        <v>1</v>
      </c>
      <c r="H66" s="111">
        <v>0.45</v>
      </c>
      <c r="I66" s="112">
        <f t="shared" si="0"/>
        <v>275.94</v>
      </c>
    </row>
    <row r="67" spans="1:9" ht="12.75">
      <c r="A67" s="92" t="s">
        <v>283</v>
      </c>
      <c r="C67" s="92">
        <v>70</v>
      </c>
      <c r="G67" s="110">
        <v>1</v>
      </c>
      <c r="H67" s="111">
        <v>0.1</v>
      </c>
      <c r="I67" s="112">
        <f t="shared" si="0"/>
        <v>61.32</v>
      </c>
    </row>
    <row r="68" spans="1:9" ht="12.75">
      <c r="A68" s="92" t="s">
        <v>284</v>
      </c>
      <c r="C68" s="92">
        <v>70</v>
      </c>
      <c r="G68" s="110">
        <v>1</v>
      </c>
      <c r="H68" s="111">
        <v>0.45</v>
      </c>
      <c r="I68" s="112">
        <f t="shared" si="0"/>
        <v>275.94</v>
      </c>
    </row>
    <row r="69" spans="1:9" ht="12.75">
      <c r="A69" s="92" t="s">
        <v>277</v>
      </c>
      <c r="C69" s="92">
        <v>70</v>
      </c>
      <c r="G69" s="110">
        <v>1</v>
      </c>
      <c r="H69" s="111">
        <v>1</v>
      </c>
      <c r="I69" s="112">
        <f t="shared" si="0"/>
        <v>613.2</v>
      </c>
    </row>
    <row r="70" spans="1:9" ht="15">
      <c r="A70" t="s">
        <v>285</v>
      </c>
      <c r="C70">
        <v>150</v>
      </c>
      <c r="G70" s="113">
        <v>1</v>
      </c>
      <c r="H70" s="114">
        <v>0.05</v>
      </c>
      <c r="I70" s="115">
        <f t="shared" si="0"/>
        <v>65.7</v>
      </c>
    </row>
    <row r="71" spans="1:9" ht="15">
      <c r="A71" t="s">
        <v>286</v>
      </c>
      <c r="C71">
        <v>150</v>
      </c>
      <c r="G71" s="113">
        <v>1</v>
      </c>
      <c r="H71" s="114">
        <v>0.05</v>
      </c>
      <c r="I71" s="115">
        <f t="shared" si="0"/>
        <v>65.7</v>
      </c>
    </row>
    <row r="72" spans="1:9" ht="15">
      <c r="A72" t="s">
        <v>287</v>
      </c>
      <c r="C72">
        <v>150</v>
      </c>
      <c r="G72" s="113">
        <v>1</v>
      </c>
      <c r="H72" s="114">
        <v>0.05</v>
      </c>
      <c r="I72" s="115">
        <f t="shared" si="0"/>
        <v>65.7</v>
      </c>
    </row>
    <row r="73" ht="12.75"/>
    <row r="74" ht="12.75">
      <c r="A74" s="99" t="s">
        <v>386</v>
      </c>
    </row>
    <row r="75" spans="1:9" ht="12.75">
      <c r="A75" s="92" t="s">
        <v>387</v>
      </c>
      <c r="B75" s="104" t="s">
        <v>388</v>
      </c>
      <c r="C75" s="116">
        <v>7.9</v>
      </c>
      <c r="D75" s="112"/>
      <c r="E75" s="112"/>
      <c r="F75" s="112"/>
      <c r="G75" s="110">
        <v>1</v>
      </c>
      <c r="H75" s="111">
        <v>0.45</v>
      </c>
      <c r="I75" s="112">
        <f aca="true" t="shared" si="1" ref="I75:I84">C75*G75*H75*(24*365)/1000</f>
        <v>31.141800000000003</v>
      </c>
    </row>
    <row r="76" spans="1:9" ht="12.75">
      <c r="A76" s="92" t="s">
        <v>389</v>
      </c>
      <c r="B76" s="104" t="s">
        <v>390</v>
      </c>
      <c r="C76" s="116">
        <v>17.5</v>
      </c>
      <c r="D76" s="112"/>
      <c r="E76" s="112"/>
      <c r="F76" s="112"/>
      <c r="G76" s="110">
        <v>1</v>
      </c>
      <c r="H76" s="111">
        <v>0.1</v>
      </c>
      <c r="I76" s="112">
        <f t="shared" si="1"/>
        <v>15.33</v>
      </c>
    </row>
    <row r="77" spans="1:9" ht="12.75">
      <c r="A77" s="92" t="s">
        <v>391</v>
      </c>
      <c r="B77" s="104" t="s">
        <v>392</v>
      </c>
      <c r="C77" s="116">
        <v>10.5</v>
      </c>
      <c r="D77" s="112"/>
      <c r="E77" s="112"/>
      <c r="F77" s="112"/>
      <c r="G77" s="110">
        <v>1</v>
      </c>
      <c r="H77" s="111">
        <v>0.45</v>
      </c>
      <c r="I77" s="112">
        <f t="shared" si="1"/>
        <v>41.391000000000005</v>
      </c>
    </row>
    <row r="78" spans="1:9" ht="12.75">
      <c r="A78" s="92" t="s">
        <v>393</v>
      </c>
      <c r="B78" s="104" t="s">
        <v>394</v>
      </c>
      <c r="C78" s="116">
        <v>4</v>
      </c>
      <c r="D78" s="112"/>
      <c r="E78" s="112"/>
      <c r="F78" s="112"/>
      <c r="G78" s="110">
        <v>1</v>
      </c>
      <c r="H78" s="111">
        <v>0.45</v>
      </c>
      <c r="I78" s="112">
        <f t="shared" si="1"/>
        <v>15.768</v>
      </c>
    </row>
    <row r="79" spans="1:9" ht="12.75">
      <c r="A79" s="92" t="s">
        <v>395</v>
      </c>
      <c r="B79" s="104" t="s">
        <v>396</v>
      </c>
      <c r="C79" s="116">
        <v>7.7</v>
      </c>
      <c r="D79" s="112"/>
      <c r="E79" s="112"/>
      <c r="F79" s="112"/>
      <c r="G79" s="110">
        <v>1</v>
      </c>
      <c r="H79" s="111">
        <v>0.1</v>
      </c>
      <c r="I79" s="112">
        <f t="shared" si="1"/>
        <v>6.7452</v>
      </c>
    </row>
    <row r="80" spans="1:9" ht="12.75">
      <c r="A80" s="92" t="s">
        <v>397</v>
      </c>
      <c r="B80" s="104" t="s">
        <v>398</v>
      </c>
      <c r="C80" s="116">
        <v>5</v>
      </c>
      <c r="D80" s="112"/>
      <c r="E80" s="112"/>
      <c r="F80" s="112"/>
      <c r="G80" s="110">
        <v>1</v>
      </c>
      <c r="H80" s="111">
        <v>0.45</v>
      </c>
      <c r="I80" s="112">
        <f t="shared" si="1"/>
        <v>19.71</v>
      </c>
    </row>
    <row r="81" spans="1:9" ht="12.75">
      <c r="A81" s="92" t="s">
        <v>399</v>
      </c>
      <c r="B81" s="104" t="s">
        <v>400</v>
      </c>
      <c r="C81" s="116">
        <v>9</v>
      </c>
      <c r="D81" s="112"/>
      <c r="E81" s="112"/>
      <c r="F81" s="112"/>
      <c r="G81" s="110">
        <v>1</v>
      </c>
      <c r="H81" s="111">
        <v>1</v>
      </c>
      <c r="I81" s="112">
        <f t="shared" si="1"/>
        <v>78.84</v>
      </c>
    </row>
    <row r="82" spans="1:9" ht="15">
      <c r="A82" t="s">
        <v>401</v>
      </c>
      <c r="B82" s="117" t="s">
        <v>402</v>
      </c>
      <c r="C82" s="118">
        <v>5</v>
      </c>
      <c r="G82" s="113">
        <v>1</v>
      </c>
      <c r="H82" s="114">
        <v>0.05</v>
      </c>
      <c r="I82" s="115">
        <f t="shared" si="1"/>
        <v>2.19</v>
      </c>
    </row>
    <row r="83" spans="1:9" ht="15">
      <c r="A83" t="s">
        <v>403</v>
      </c>
      <c r="B83" s="117" t="s">
        <v>404</v>
      </c>
      <c r="C83" s="118">
        <v>8</v>
      </c>
      <c r="G83" s="113">
        <v>1</v>
      </c>
      <c r="H83" s="114">
        <v>0.02</v>
      </c>
      <c r="I83" s="115">
        <f t="shared" si="1"/>
        <v>1.4016000000000002</v>
      </c>
    </row>
    <row r="84" spans="1:9" ht="15">
      <c r="A84" t="s">
        <v>405</v>
      </c>
      <c r="B84" s="117" t="s">
        <v>406</v>
      </c>
      <c r="C84" s="118">
        <v>8.2</v>
      </c>
      <c r="G84" s="113">
        <v>1</v>
      </c>
      <c r="H84" s="114">
        <v>0.05</v>
      </c>
      <c r="I84" s="115">
        <f t="shared" si="1"/>
        <v>3.5916</v>
      </c>
    </row>
    <row r="85" ht="13.5" thickBot="1"/>
    <row r="86" spans="1:10" ht="12.75">
      <c r="A86" s="543" t="s">
        <v>407</v>
      </c>
      <c r="B86" s="544" t="s">
        <v>408</v>
      </c>
      <c r="C86" s="514"/>
      <c r="D86" s="514"/>
      <c r="E86" s="515"/>
      <c r="F86" s="522"/>
      <c r="G86" s="522"/>
      <c r="H86" s="522"/>
      <c r="I86" s="522"/>
      <c r="J86" s="522"/>
    </row>
    <row r="87" spans="1:5" ht="12.75">
      <c r="A87" s="516"/>
      <c r="B87" s="517"/>
      <c r="C87" s="1089" t="s">
        <v>274</v>
      </c>
      <c r="D87" s="1090"/>
      <c r="E87" s="1091"/>
    </row>
    <row r="88" spans="1:5" ht="12.75">
      <c r="A88" s="516" t="s">
        <v>409</v>
      </c>
      <c r="B88" s="517" t="s">
        <v>410</v>
      </c>
      <c r="C88" s="517" t="s">
        <v>411</v>
      </c>
      <c r="D88" s="517" t="s">
        <v>412</v>
      </c>
      <c r="E88" s="518" t="s">
        <v>413</v>
      </c>
    </row>
    <row r="89" spans="1:5" ht="12.75">
      <c r="A89" s="516" t="s">
        <v>414</v>
      </c>
      <c r="B89" s="517" t="s">
        <v>268</v>
      </c>
      <c r="C89" s="517">
        <v>10</v>
      </c>
      <c r="D89" s="517">
        <v>0</v>
      </c>
      <c r="E89" s="518">
        <v>4</v>
      </c>
    </row>
    <row r="90" spans="1:5" ht="12.75">
      <c r="A90" s="516" t="s">
        <v>415</v>
      </c>
      <c r="B90" s="517" t="s">
        <v>270</v>
      </c>
      <c r="C90" s="517">
        <v>13</v>
      </c>
      <c r="D90" s="517">
        <v>3</v>
      </c>
      <c r="E90" s="518">
        <v>8</v>
      </c>
    </row>
    <row r="91" spans="1:5" ht="12.75">
      <c r="A91" s="516" t="s">
        <v>416</v>
      </c>
      <c r="B91" s="517" t="s">
        <v>271</v>
      </c>
      <c r="C91" s="517">
        <v>12</v>
      </c>
      <c r="D91" s="517">
        <v>8</v>
      </c>
      <c r="E91" s="518">
        <v>8</v>
      </c>
    </row>
    <row r="92" spans="1:5" ht="13.5" thickBot="1">
      <c r="A92" s="519" t="s">
        <v>417</v>
      </c>
      <c r="B92" s="520" t="s">
        <v>272</v>
      </c>
      <c r="C92" s="520">
        <v>8</v>
      </c>
      <c r="D92" s="520">
        <v>2</v>
      </c>
      <c r="E92" s="521">
        <v>6</v>
      </c>
    </row>
    <row r="93" ht="12.75"/>
    <row r="94" spans="1:3" ht="12.75">
      <c r="A94" s="119" t="s">
        <v>264</v>
      </c>
      <c r="B94" s="120"/>
      <c r="C94" s="120"/>
    </row>
    <row r="95" spans="1:3" ht="12.75">
      <c r="A95" s="121"/>
      <c r="B95" s="121"/>
      <c r="C95" s="121"/>
    </row>
    <row r="96" spans="1:3" ht="12.75">
      <c r="A96" s="121"/>
      <c r="B96" s="1086" t="s">
        <v>418</v>
      </c>
      <c r="C96" s="1086"/>
    </row>
    <row r="97" spans="1:3" ht="12.75">
      <c r="A97" s="122" t="s">
        <v>419</v>
      </c>
      <c r="B97" s="123" t="s">
        <v>420</v>
      </c>
      <c r="C97" s="123" t="s">
        <v>262</v>
      </c>
    </row>
    <row r="98" spans="1:3" ht="12.75">
      <c r="A98" s="121" t="s">
        <v>279</v>
      </c>
      <c r="B98" s="124">
        <f>'Electricity factors'!I63</f>
        <v>591.3</v>
      </c>
      <c r="C98" s="124">
        <f>'Electricity factors'!I75</f>
        <v>31.141800000000003</v>
      </c>
    </row>
    <row r="99" spans="1:3" ht="12.75">
      <c r="A99" s="121" t="s">
        <v>280</v>
      </c>
      <c r="B99" s="124">
        <f>'Electricity factors'!I64</f>
        <v>131.4</v>
      </c>
      <c r="C99" s="124">
        <f>'Electricity factors'!I76</f>
        <v>15.33</v>
      </c>
    </row>
    <row r="100" spans="1:3" ht="12.75">
      <c r="A100" s="121" t="s">
        <v>281</v>
      </c>
      <c r="B100" s="124">
        <f>'Electricity factors'!I65</f>
        <v>591.3</v>
      </c>
      <c r="C100" s="124">
        <f>'Electricity factors'!I77</f>
        <v>41.391000000000005</v>
      </c>
    </row>
    <row r="101" spans="1:3" ht="12.75">
      <c r="A101" s="121" t="s">
        <v>282</v>
      </c>
      <c r="B101" s="124">
        <f>'Electricity factors'!I66</f>
        <v>275.94</v>
      </c>
      <c r="C101" s="124">
        <f>'Electricity factors'!I78</f>
        <v>15.768</v>
      </c>
    </row>
    <row r="102" spans="1:3" ht="12.75">
      <c r="A102" s="121" t="s">
        <v>283</v>
      </c>
      <c r="B102" s="124">
        <f>'Electricity factors'!I67</f>
        <v>61.32</v>
      </c>
      <c r="C102" s="124">
        <f>'Electricity factors'!I79</f>
        <v>6.7452</v>
      </c>
    </row>
    <row r="103" spans="1:3" ht="12.75">
      <c r="A103" s="121" t="s">
        <v>284</v>
      </c>
      <c r="B103" s="124">
        <f>'Electricity factors'!I68</f>
        <v>275.94</v>
      </c>
      <c r="C103" s="124">
        <f>'Electricity factors'!I80</f>
        <v>19.71</v>
      </c>
    </row>
    <row r="104" spans="1:3" ht="12.75">
      <c r="A104" s="121" t="s">
        <v>277</v>
      </c>
      <c r="B104" s="124">
        <f>'Electricity factors'!I69</f>
        <v>613.2</v>
      </c>
      <c r="C104" s="124">
        <f>'Electricity factors'!I81</f>
        <v>78.84</v>
      </c>
    </row>
    <row r="105" spans="1:3" ht="12.75">
      <c r="A105" s="121" t="s">
        <v>285</v>
      </c>
      <c r="B105" s="124">
        <f>'Electricity factors'!I70</f>
        <v>65.7</v>
      </c>
      <c r="C105" s="124">
        <f>'Electricity factors'!I82</f>
        <v>2.19</v>
      </c>
    </row>
    <row r="106" spans="1:3" ht="12.75">
      <c r="A106" s="121" t="s">
        <v>286</v>
      </c>
      <c r="B106" s="124">
        <f>'Electricity factors'!I71</f>
        <v>65.7</v>
      </c>
      <c r="C106" s="124">
        <f>'Electricity factors'!I83</f>
        <v>1.4016000000000002</v>
      </c>
    </row>
    <row r="107" spans="1:3" ht="12.75">
      <c r="A107" s="121" t="s">
        <v>287</v>
      </c>
      <c r="B107" s="124">
        <f>'Electricity factors'!I72</f>
        <v>65.7</v>
      </c>
      <c r="C107" s="124">
        <f>'Electricity factors'!I84</f>
        <v>3.5916</v>
      </c>
    </row>
    <row r="108" spans="1:3" ht="12.75">
      <c r="A108" s="121" t="s">
        <v>421</v>
      </c>
      <c r="B108" s="125">
        <f>AVERAGE(B105:B107)</f>
        <v>65.7</v>
      </c>
      <c r="C108" s="124">
        <f>AVERAGE(C105:C107)</f>
        <v>2.3944</v>
      </c>
    </row>
    <row r="109" spans="1:3" ht="12.75">
      <c r="A109" s="121"/>
      <c r="B109" s="121"/>
      <c r="C109" s="121"/>
    </row>
    <row r="110" spans="1:3" ht="12.75">
      <c r="A110" s="121"/>
      <c r="B110" s="1086" t="s">
        <v>418</v>
      </c>
      <c r="C110" s="1086"/>
    </row>
    <row r="111" spans="1:3" ht="12.75">
      <c r="A111" s="122" t="s">
        <v>422</v>
      </c>
      <c r="B111" s="123" t="s">
        <v>420</v>
      </c>
      <c r="C111" s="123" t="s">
        <v>262</v>
      </c>
    </row>
    <row r="112" spans="1:3" ht="12.75">
      <c r="A112" s="121" t="s">
        <v>423</v>
      </c>
      <c r="B112" s="124">
        <f>B101+B102+B103</f>
        <v>613.2</v>
      </c>
      <c r="C112" s="124">
        <f>C101+C102+C103</f>
        <v>42.223200000000006</v>
      </c>
    </row>
    <row r="113" spans="1:3" ht="12.75">
      <c r="A113" s="121" t="s">
        <v>424</v>
      </c>
      <c r="B113" s="124">
        <f>SUM(B98:B100)</f>
        <v>1314</v>
      </c>
      <c r="C113" s="124">
        <f>SUM(C98:C100)</f>
        <v>87.86280000000001</v>
      </c>
    </row>
    <row r="114" spans="1:3" ht="12.75">
      <c r="A114" s="121" t="s">
        <v>276</v>
      </c>
      <c r="B114" s="124">
        <f>SUM(B105:B107)</f>
        <v>197.10000000000002</v>
      </c>
      <c r="C114" s="124">
        <f>SUM(C105:C107)</f>
        <v>7.1832</v>
      </c>
    </row>
    <row r="115" spans="1:3" ht="12.75">
      <c r="A115" s="121"/>
      <c r="B115" s="121"/>
      <c r="C115" s="121"/>
    </row>
    <row r="116" spans="1:3" ht="12.75">
      <c r="A116" s="121"/>
      <c r="B116" s="57" t="s">
        <v>418</v>
      </c>
      <c r="C116" s="57"/>
    </row>
    <row r="117" spans="1:3" ht="12.75">
      <c r="A117" s="122" t="s">
        <v>425</v>
      </c>
      <c r="B117" s="123" t="s">
        <v>420</v>
      </c>
      <c r="C117" s="123" t="s">
        <v>262</v>
      </c>
    </row>
    <row r="118" spans="1:3" ht="12.75">
      <c r="A118" s="121" t="s">
        <v>426</v>
      </c>
      <c r="B118" s="125">
        <f>'Electricity factors'!C89*'Electricity factors'!$B$112+'Electricity factors'!D89*'Electricity factors'!$B$114+'Electricity factors'!E89*'Electricity factors'!$B$104</f>
        <v>8584.8</v>
      </c>
      <c r="C118" s="125">
        <f>'Electricity factors'!C89*'Electricity factors'!$C$112+'Electricity factors'!D89*'Electricity factors'!$C$114+'Electricity factors'!E89*'Electricity factors'!$C$104</f>
        <v>737.5920000000001</v>
      </c>
    </row>
    <row r="119" spans="1:3" ht="12.75">
      <c r="A119" s="121" t="s">
        <v>427</v>
      </c>
      <c r="B119" s="125">
        <f>'Electricity factors'!C90*'Electricity factors'!$B$112+'Electricity factors'!D90*'Electricity factors'!$B$114+'Electricity factors'!E90*'Electricity factors'!$B$104</f>
        <v>13468.5</v>
      </c>
      <c r="C119" s="125">
        <f>'Electricity factors'!C90*'Electricity factors'!$C$112+'Electricity factors'!D90*'Electricity factors'!$C$114+'Electricity factors'!E90*'Electricity factors'!$C$104</f>
        <v>1201.1712000000002</v>
      </c>
    </row>
    <row r="120" spans="1:3" ht="12.75">
      <c r="A120" s="121" t="s">
        <v>428</v>
      </c>
      <c r="B120" s="125">
        <f>'Electricity factors'!C91*'Electricity factors'!$B$112+'Electricity factors'!D91*'Electricity factors'!$B$114+'Electricity factors'!E91*'Electricity factors'!$B$104</f>
        <v>13840.800000000001</v>
      </c>
      <c r="C120" s="125">
        <f>'Electricity factors'!C91*'Electricity factors'!$C$112+'Electricity factors'!D91*'Electricity factors'!$C$114+'Electricity factors'!E91*'Electricity factors'!$C$104</f>
        <v>1194.864</v>
      </c>
    </row>
    <row r="121" spans="1:3" ht="12.75">
      <c r="A121" s="121" t="s">
        <v>429</v>
      </c>
      <c r="B121" s="125">
        <f>'Electricity factors'!C92*'Electricity factors'!$B$112+'Electricity factors'!D92*'Electricity factors'!$B$114+'Electricity factors'!E92*'Electricity factors'!$B$104</f>
        <v>8979</v>
      </c>
      <c r="C121" s="125">
        <f>'Electricity factors'!C92*'Electricity factors'!$C$112+'Electricity factors'!D92*'Electricity factors'!$C$114+'Electricity factors'!E92*'Electricity factors'!$C$104</f>
        <v>825.192</v>
      </c>
    </row>
    <row r="122" spans="1:3" ht="12.75">
      <c r="A122" s="121"/>
      <c r="B122" s="125"/>
      <c r="C122" s="121"/>
    </row>
    <row r="123" spans="1:3" ht="12.75">
      <c r="A123" s="121" t="s">
        <v>430</v>
      </c>
      <c r="B123" s="125">
        <f>'Electricity factors'!C89*'Electricity factors'!$B$113+'Electricity factors'!D89*'Electricity factors'!$B$114+'Electricity factors'!E89*'Electricity factors'!$B$104</f>
        <v>15592.8</v>
      </c>
      <c r="C123" s="125">
        <f>'Electricity factors'!C89*'Electricity factors'!$C$113+'Electricity factors'!D89*'Electricity factors'!$C$114+'Electricity factors'!E89*'Electricity factors'!$C$104</f>
        <v>1193.988</v>
      </c>
    </row>
    <row r="124" spans="1:3" ht="12.75">
      <c r="A124" s="121" t="s">
        <v>431</v>
      </c>
      <c r="B124" s="125">
        <f>'Electricity factors'!C90*'Electricity factors'!$B$113+'Electricity factors'!D90*'Electricity factors'!$B$114+'Electricity factors'!E90*'Electricity factors'!$B$104</f>
        <v>22578.9</v>
      </c>
      <c r="C124" s="125">
        <f>'Electricity factors'!C90*'Electricity factors'!$C$113+'Electricity factors'!D90*'Electricity factors'!$C$114+'Electricity factors'!E90*'Electricity factors'!$C$104</f>
        <v>1794.486</v>
      </c>
    </row>
    <row r="125" spans="1:3" ht="12.75">
      <c r="A125" s="121" t="s">
        <v>432</v>
      </c>
      <c r="B125" s="125">
        <f>'Electricity factors'!C91*'Electricity factors'!$B$113+'Electricity factors'!D91*'Electricity factors'!$B$114+'Electricity factors'!E91*'Electricity factors'!$B$104</f>
        <v>22250.4</v>
      </c>
      <c r="C125" s="125">
        <f>'Electricity factors'!C91*'Electricity factors'!$C$113+'Electricity factors'!D91*'Electricity factors'!$C$114+'Electricity factors'!E91*'Electricity factors'!$C$104</f>
        <v>1742.5392000000002</v>
      </c>
    </row>
    <row r="126" spans="1:3" ht="12.75">
      <c r="A126" s="121" t="s">
        <v>433</v>
      </c>
      <c r="B126" s="125">
        <f>'Electricity factors'!C92*'Electricity factors'!$B$113+'Electricity factors'!D92*'Electricity factors'!$B$114+'Electricity factors'!E92*'Electricity factors'!$B$104</f>
        <v>14585.400000000001</v>
      </c>
      <c r="C126" s="125">
        <f>'Electricity factors'!C92*'Electricity factors'!$C$113+'Electricity factors'!D92*'Electricity factors'!$C$114+'Electricity factors'!E92*'Electricity factors'!$C$104</f>
        <v>1190.3088</v>
      </c>
    </row>
    <row r="127" ht="12.75"/>
    <row r="128" ht="12.75"/>
    <row r="129" ht="12.75"/>
    <row r="130" ht="12.75"/>
    <row r="131" ht="12.75"/>
    <row r="132" ht="12.75"/>
    <row r="133" ht="12.75"/>
    <row r="134" ht="12.75"/>
    <row r="135" spans="1:10" ht="12.75">
      <c r="A135" s="93" t="s">
        <v>434</v>
      </c>
      <c r="B135" s="94"/>
      <c r="C135" s="94"/>
      <c r="D135" s="94"/>
      <c r="E135" s="94"/>
      <c r="F135" s="94"/>
      <c r="G135" s="94"/>
      <c r="H135" s="94"/>
      <c r="I135" s="94"/>
      <c r="J135" s="94"/>
    </row>
    <row r="136" spans="1:10" s="96" customFormat="1" ht="51">
      <c r="A136" s="95" t="s">
        <v>362</v>
      </c>
      <c r="B136" s="95" t="s">
        <v>363</v>
      </c>
      <c r="C136" s="95" t="s">
        <v>447</v>
      </c>
      <c r="D136" s="95" t="s">
        <v>448</v>
      </c>
      <c r="E136" s="95"/>
      <c r="F136" s="95"/>
      <c r="G136" s="95" t="s">
        <v>364</v>
      </c>
      <c r="H136" s="95" t="s">
        <v>365</v>
      </c>
      <c r="I136" s="95" t="s">
        <v>450</v>
      </c>
      <c r="J136" s="95"/>
    </row>
    <row r="137" ht="12.75"/>
    <row r="138" ht="12.75">
      <c r="A138" s="99" t="s">
        <v>289</v>
      </c>
    </row>
    <row r="139" spans="1:9" ht="12.75">
      <c r="A139" s="92" t="s">
        <v>435</v>
      </c>
      <c r="C139" s="126">
        <v>25</v>
      </c>
      <c r="G139" s="110">
        <v>1</v>
      </c>
      <c r="H139" s="111">
        <f>0.25*0.5</f>
        <v>0.125</v>
      </c>
      <c r="I139" s="112">
        <f>C139*G139*H139*(24*365)/1000</f>
        <v>27.375</v>
      </c>
    </row>
    <row r="140" spans="1:9" ht="12.75">
      <c r="A140" s="92" t="s">
        <v>436</v>
      </c>
      <c r="C140" s="126">
        <f>C139*40</f>
        <v>1000</v>
      </c>
      <c r="G140" s="110">
        <v>1</v>
      </c>
      <c r="H140" s="111">
        <f>0.25*0.5</f>
        <v>0.125</v>
      </c>
      <c r="I140" s="112">
        <f>C140*G140*H140*(24*365)/1000</f>
        <v>1095</v>
      </c>
    </row>
    <row r="141" spans="1:9" ht="12.75">
      <c r="A141" s="92" t="s">
        <v>437</v>
      </c>
      <c r="C141" s="126">
        <f>C140*60</f>
        <v>60000</v>
      </c>
      <c r="G141" s="110">
        <v>1</v>
      </c>
      <c r="H141" s="111">
        <f>0.25*0.5</f>
        <v>0.125</v>
      </c>
      <c r="I141" s="112">
        <f>C141*G141*H141*(24*365)/1000</f>
        <v>65700</v>
      </c>
    </row>
    <row r="142" spans="1:9" ht="12.75">
      <c r="A142" s="92" t="s">
        <v>438</v>
      </c>
      <c r="C142" s="126">
        <f>C140*30</f>
        <v>30000</v>
      </c>
      <c r="G142" s="110">
        <v>1</v>
      </c>
      <c r="H142" s="111">
        <f>0.25*0.5</f>
        <v>0.125</v>
      </c>
      <c r="I142" s="112">
        <f>C142*G142*H142*(24*365)/1000</f>
        <v>32850</v>
      </c>
    </row>
    <row r="143" ht="12.75"/>
    <row r="144" ht="12.75">
      <c r="A144" s="99" t="s">
        <v>439</v>
      </c>
    </row>
    <row r="145" spans="1:9" ht="12.75">
      <c r="A145" s="92" t="s">
        <v>435</v>
      </c>
      <c r="C145" s="126">
        <v>7.2</v>
      </c>
      <c r="G145" s="110">
        <v>1</v>
      </c>
      <c r="H145" s="111">
        <f>0.25*0.5</f>
        <v>0.125</v>
      </c>
      <c r="I145" s="112">
        <f>C145*G145*H145*(24*365)/1000</f>
        <v>7.884</v>
      </c>
    </row>
    <row r="146" spans="1:9" ht="12.75">
      <c r="A146" s="92" t="s">
        <v>436</v>
      </c>
      <c r="C146" s="126">
        <f>C145*40</f>
        <v>288</v>
      </c>
      <c r="G146" s="110">
        <v>1</v>
      </c>
      <c r="H146" s="111">
        <f>0.25*0.5</f>
        <v>0.125</v>
      </c>
      <c r="I146" s="112">
        <f>C146*G146*H146*(24*365)/1000</f>
        <v>315.36</v>
      </c>
    </row>
    <row r="147" spans="1:9" ht="12.75">
      <c r="A147" s="92" t="s">
        <v>437</v>
      </c>
      <c r="C147" s="126">
        <f>C146*60</f>
        <v>17280</v>
      </c>
      <c r="G147" s="110">
        <v>1</v>
      </c>
      <c r="H147" s="111">
        <f>0.25*0.5</f>
        <v>0.125</v>
      </c>
      <c r="I147" s="112">
        <f>C147*G147*H147*(24*365)/1000</f>
        <v>18921.6</v>
      </c>
    </row>
    <row r="148" spans="1:9" ht="12.75">
      <c r="A148" s="92" t="s">
        <v>438</v>
      </c>
      <c r="C148" s="126">
        <f>C146*30</f>
        <v>8640</v>
      </c>
      <c r="G148" s="110">
        <v>1</v>
      </c>
      <c r="H148" s="111">
        <f>0.25*0.5</f>
        <v>0.125</v>
      </c>
      <c r="I148" s="112">
        <f>C148*G148*H148*(24*365)/1000</f>
        <v>9460.8</v>
      </c>
    </row>
    <row r="149" ht="12.75">
      <c r="C149" s="112"/>
    </row>
    <row r="150" spans="1:3" ht="12.75">
      <c r="A150" s="99" t="s">
        <v>440</v>
      </c>
      <c r="C150" s="112"/>
    </row>
    <row r="151" spans="1:9" ht="12.75">
      <c r="A151" s="92" t="s">
        <v>441</v>
      </c>
      <c r="C151" s="126">
        <v>2</v>
      </c>
      <c r="G151" s="110">
        <v>1</v>
      </c>
      <c r="H151" s="111">
        <f>0.25*0.5</f>
        <v>0.125</v>
      </c>
      <c r="I151" s="112">
        <f>C151*G151*H151*(24*365)/1000</f>
        <v>2.19</v>
      </c>
    </row>
    <row r="152" spans="1:9" ht="12.75">
      <c r="A152" s="92" t="s">
        <v>436</v>
      </c>
      <c r="C152" s="126">
        <f>C151*40</f>
        <v>80</v>
      </c>
      <c r="G152" s="110">
        <v>1</v>
      </c>
      <c r="H152" s="111">
        <f>0.25*0.5</f>
        <v>0.125</v>
      </c>
      <c r="I152" s="112">
        <f>C152*G152*H152*(24*365)/1000</f>
        <v>87.6</v>
      </c>
    </row>
    <row r="153" spans="1:9" ht="12.75">
      <c r="A153" s="92" t="s">
        <v>437</v>
      </c>
      <c r="C153" s="126">
        <f>C152*60</f>
        <v>4800</v>
      </c>
      <c r="G153" s="110">
        <v>1</v>
      </c>
      <c r="H153" s="111">
        <f>0.25*0.5</f>
        <v>0.125</v>
      </c>
      <c r="I153" s="112">
        <f>C153*G153*H153*(24*365)/1000</f>
        <v>5256</v>
      </c>
    </row>
    <row r="154" spans="1:9" ht="12.75">
      <c r="A154" s="92" t="s">
        <v>438</v>
      </c>
      <c r="C154" s="126">
        <f>C152*30</f>
        <v>2400</v>
      </c>
      <c r="G154" s="110">
        <v>1</v>
      </c>
      <c r="H154" s="111">
        <f>0.25*0.5</f>
        <v>0.125</v>
      </c>
      <c r="I154" s="112">
        <f>C154*G154*H154*(24*365)/1000</f>
        <v>2628</v>
      </c>
    </row>
    <row r="157" spans="1:4" ht="12.75">
      <c r="A157" s="121"/>
      <c r="B157" s="1086" t="s">
        <v>418</v>
      </c>
      <c r="C157" s="1086"/>
      <c r="D157" s="1086"/>
    </row>
    <row r="158" spans="1:4" ht="12.75">
      <c r="A158" s="121"/>
      <c r="B158" s="127" t="s">
        <v>442</v>
      </c>
      <c r="C158" s="128" t="s">
        <v>290</v>
      </c>
      <c r="D158" s="128" t="s">
        <v>262</v>
      </c>
    </row>
    <row r="159" spans="1:4" ht="12.75">
      <c r="A159" s="122" t="s">
        <v>443</v>
      </c>
      <c r="B159" s="125">
        <f>'Electricity factors'!I139</f>
        <v>27.375</v>
      </c>
      <c r="C159" s="125">
        <f>'Electricity factors'!I145</f>
        <v>7.884</v>
      </c>
      <c r="D159" s="125">
        <f>'Electricity factors'!I151</f>
        <v>2.19</v>
      </c>
    </row>
    <row r="160" spans="1:4" ht="12.75">
      <c r="A160" s="122" t="s">
        <v>444</v>
      </c>
      <c r="B160" s="124">
        <f>'Electricity factors'!I140</f>
        <v>1095</v>
      </c>
      <c r="C160" s="124">
        <f>'Electricity factors'!I146</f>
        <v>315.36</v>
      </c>
      <c r="D160" s="124">
        <f>'Electricity factors'!I152</f>
        <v>87.6</v>
      </c>
    </row>
    <row r="161" spans="1:4" ht="12.75">
      <c r="A161" s="121" t="s">
        <v>445</v>
      </c>
      <c r="B161" s="129">
        <f>'Electricity factors'!I142</f>
        <v>32850</v>
      </c>
      <c r="C161" s="129">
        <f>'Electricity factors'!I148</f>
        <v>9460.8</v>
      </c>
      <c r="D161" s="129">
        <f>'Electricity factors'!I154</f>
        <v>2628</v>
      </c>
    </row>
    <row r="162" spans="1:4" ht="12.75">
      <c r="A162" s="121" t="s">
        <v>446</v>
      </c>
      <c r="B162" s="129">
        <f>'Electricity factors'!I141</f>
        <v>65700</v>
      </c>
      <c r="C162" s="129">
        <f>'Electricity factors'!I147</f>
        <v>18921.6</v>
      </c>
      <c r="D162" s="129">
        <f>'Electricity factors'!I153</f>
        <v>5256</v>
      </c>
    </row>
    <row r="169" ht="12.75">
      <c r="H169" s="99" t="s">
        <v>824</v>
      </c>
    </row>
    <row r="171" spans="9:11" ht="12.75">
      <c r="I171" s="92" t="s">
        <v>827</v>
      </c>
      <c r="J171" s="92" t="s">
        <v>828</v>
      </c>
      <c r="K171" s="92" t="s">
        <v>833</v>
      </c>
    </row>
    <row r="172" spans="8:11" ht="12.75">
      <c r="H172" s="92" t="s">
        <v>825</v>
      </c>
      <c r="I172" s="92">
        <v>175</v>
      </c>
      <c r="J172" s="92">
        <v>14000</v>
      </c>
      <c r="K172" s="92">
        <f>J172/I172</f>
        <v>80</v>
      </c>
    </row>
    <row r="173" spans="9:11" ht="12.75">
      <c r="I173" s="92">
        <v>250</v>
      </c>
      <c r="J173" s="92">
        <v>21000</v>
      </c>
      <c r="K173" s="92">
        <f>J173/I173</f>
        <v>84</v>
      </c>
    </row>
    <row r="174" spans="9:11" ht="12.75">
      <c r="I174" s="92">
        <v>400</v>
      </c>
      <c r="J174" s="92">
        <v>36000</v>
      </c>
      <c r="K174" s="92">
        <f>J174/I174</f>
        <v>90</v>
      </c>
    </row>
    <row r="175" spans="9:11" ht="12.75">
      <c r="I175" s="92">
        <v>1000</v>
      </c>
      <c r="J175" s="92">
        <v>110000</v>
      </c>
      <c r="K175" s="92">
        <f>J175/I175</f>
        <v>110</v>
      </c>
    </row>
    <row r="178" spans="8:11" ht="12.75">
      <c r="H178" s="92" t="s">
        <v>826</v>
      </c>
      <c r="I178" s="92">
        <v>150</v>
      </c>
      <c r="J178" s="92">
        <v>16000</v>
      </c>
      <c r="K178" s="816">
        <f aca="true" t="shared" si="2" ref="K178:K184">J178/I178</f>
        <v>106.66666666666667</v>
      </c>
    </row>
    <row r="179" spans="9:11" ht="12.75">
      <c r="I179" s="92">
        <v>200</v>
      </c>
      <c r="J179" s="92">
        <v>22000</v>
      </c>
      <c r="K179" s="816">
        <f t="shared" si="2"/>
        <v>110</v>
      </c>
    </row>
    <row r="180" spans="9:11" ht="12.75">
      <c r="I180" s="92">
        <v>250</v>
      </c>
      <c r="J180" s="92">
        <v>27500</v>
      </c>
      <c r="K180" s="816">
        <f t="shared" si="2"/>
        <v>110</v>
      </c>
    </row>
    <row r="181" spans="9:11" ht="12.75">
      <c r="I181" s="92">
        <v>310</v>
      </c>
      <c r="J181" s="92">
        <v>37000</v>
      </c>
      <c r="K181" s="816">
        <f t="shared" si="2"/>
        <v>119.35483870967742</v>
      </c>
    </row>
    <row r="182" spans="9:11" ht="12.75">
      <c r="I182" s="92">
        <v>400</v>
      </c>
      <c r="J182" s="92">
        <v>50000</v>
      </c>
      <c r="K182" s="816">
        <f t="shared" si="2"/>
        <v>125</v>
      </c>
    </row>
    <row r="183" spans="9:11" ht="12.75">
      <c r="I183" s="92">
        <v>750</v>
      </c>
      <c r="J183" s="92">
        <v>110000</v>
      </c>
      <c r="K183" s="816">
        <f t="shared" si="2"/>
        <v>146.66666666666666</v>
      </c>
    </row>
    <row r="184" spans="9:11" ht="12.75">
      <c r="I184" s="92">
        <v>1000</v>
      </c>
      <c r="J184" s="92">
        <v>140000</v>
      </c>
      <c r="K184" s="816">
        <f t="shared" si="2"/>
        <v>140</v>
      </c>
    </row>
    <row r="187" ht="12.75">
      <c r="H187" s="99" t="s">
        <v>829</v>
      </c>
    </row>
    <row r="188" spans="9:11" ht="12.75">
      <c r="I188" s="92" t="s">
        <v>830</v>
      </c>
      <c r="J188" s="92" t="s">
        <v>831</v>
      </c>
      <c r="K188" s="92" t="s">
        <v>834</v>
      </c>
    </row>
    <row r="189" spans="8:11" ht="12.75">
      <c r="H189" s="92" t="s">
        <v>832</v>
      </c>
      <c r="I189" s="92">
        <v>175</v>
      </c>
      <c r="J189" s="92">
        <v>210</v>
      </c>
      <c r="K189" s="817">
        <f>I189/J189</f>
        <v>0.8333333333333334</v>
      </c>
    </row>
    <row r="190" spans="9:11" ht="12.75">
      <c r="I190" s="92">
        <v>250</v>
      </c>
      <c r="J190" s="92">
        <v>295</v>
      </c>
      <c r="K190" s="817">
        <f>I190/J190</f>
        <v>0.847457627118644</v>
      </c>
    </row>
    <row r="191" spans="9:11" ht="12.75">
      <c r="I191" s="92">
        <v>400</v>
      </c>
      <c r="J191" s="92">
        <v>458</v>
      </c>
      <c r="K191" s="817">
        <f>I191/J191</f>
        <v>0.8733624454148472</v>
      </c>
    </row>
    <row r="192" spans="9:11" ht="12.75">
      <c r="I192" s="92">
        <v>1000</v>
      </c>
      <c r="J192" s="92">
        <v>1080</v>
      </c>
      <c r="K192" s="817">
        <f>I192/J192</f>
        <v>0.9259259259259259</v>
      </c>
    </row>
    <row r="193" ht="12.75">
      <c r="K193" s="817"/>
    </row>
    <row r="194" ht="12.75">
      <c r="K194" s="817"/>
    </row>
    <row r="195" spans="9:11" ht="12.75">
      <c r="I195" s="92">
        <v>150</v>
      </c>
      <c r="J195" s="92">
        <v>188</v>
      </c>
      <c r="K195" s="817">
        <f aca="true" t="shared" si="3" ref="K195:K201">I195/J195</f>
        <v>0.7978723404255319</v>
      </c>
    </row>
    <row r="196" spans="9:11" ht="12.75">
      <c r="I196" s="92">
        <v>200</v>
      </c>
      <c r="J196" s="92">
        <v>245</v>
      </c>
      <c r="K196" s="817">
        <f t="shared" si="3"/>
        <v>0.8163265306122449</v>
      </c>
    </row>
    <row r="197" spans="9:11" ht="12.75">
      <c r="I197" s="92">
        <v>250</v>
      </c>
      <c r="J197" s="92">
        <v>295</v>
      </c>
      <c r="K197" s="817">
        <f t="shared" si="3"/>
        <v>0.847457627118644</v>
      </c>
    </row>
    <row r="198" spans="9:11" ht="12.75">
      <c r="I198" s="92">
        <v>310</v>
      </c>
      <c r="J198" s="92">
        <v>365</v>
      </c>
      <c r="K198" s="817">
        <f t="shared" si="3"/>
        <v>0.8493150684931506</v>
      </c>
    </row>
    <row r="199" spans="9:11" ht="12.75">
      <c r="I199" s="92">
        <v>400</v>
      </c>
      <c r="J199" s="92">
        <v>457</v>
      </c>
      <c r="K199" s="817">
        <f t="shared" si="3"/>
        <v>0.87527352297593</v>
      </c>
    </row>
    <row r="200" spans="9:11" ht="12.75">
      <c r="I200" s="92">
        <v>750</v>
      </c>
      <c r="J200" s="92">
        <v>850</v>
      </c>
      <c r="K200" s="817">
        <f t="shared" si="3"/>
        <v>0.8823529411764706</v>
      </c>
    </row>
    <row r="201" spans="9:11" ht="12.75">
      <c r="I201" s="92">
        <v>1000</v>
      </c>
      <c r="J201" s="92">
        <v>1100</v>
      </c>
      <c r="K201" s="817">
        <f t="shared" si="3"/>
        <v>0.9090909090909091</v>
      </c>
    </row>
  </sheetData>
  <sheetProtection/>
  <mergeCells count="5">
    <mergeCell ref="B110:C110"/>
    <mergeCell ref="B96:C96"/>
    <mergeCell ref="B157:D157"/>
    <mergeCell ref="A1:B1"/>
    <mergeCell ref="C87:E87"/>
  </mergeCells>
  <hyperlinks>
    <hyperlink ref="N14" r:id="rId1" display="http://www.dot.ca.gov/hq/traffops/elecsys/QPL.htm"/>
    <hyperlink ref="E43" r:id="rId2" display="http://en.wikipedia.org/wiki/Plasma_lamp#Heat_and_power"/>
  </hyperlinks>
  <printOptions/>
  <pageMargins left="0.75" right="0.75" top="1" bottom="1" header="0.5" footer="0.5"/>
  <pageSetup horizontalDpi="600" verticalDpi="600" orientation="portrait" r:id="rId6"/>
  <drawing r:id="rId5"/>
  <legacyDrawing r:id="rId4"/>
</worksheet>
</file>

<file path=xl/worksheets/sheet14.xml><?xml version="1.0" encoding="utf-8"?>
<worksheet xmlns="http://schemas.openxmlformats.org/spreadsheetml/2006/main" xmlns:r="http://schemas.openxmlformats.org/officeDocument/2006/relationships">
  <sheetPr codeName="Sheet21">
    <tabColor indexed="42"/>
  </sheetPr>
  <dimension ref="A2:D4"/>
  <sheetViews>
    <sheetView zoomScalePageLayoutView="0" workbookViewId="0" topLeftCell="A1">
      <selection activeCell="B2" sqref="B2"/>
    </sheetView>
  </sheetViews>
  <sheetFormatPr defaultColWidth="9.140625" defaultRowHeight="15"/>
  <cols>
    <col min="1" max="1" width="22.57421875" style="0" bestFit="1" customWidth="1"/>
  </cols>
  <sheetData>
    <row r="2" spans="1:2" ht="15">
      <c r="A2" t="s">
        <v>452</v>
      </c>
      <c r="B2">
        <v>2.20462262</v>
      </c>
    </row>
    <row r="3" spans="1:4" ht="19.5">
      <c r="A3" t="s">
        <v>453</v>
      </c>
      <c r="B3">
        <f>2205/2000</f>
        <v>1.1025</v>
      </c>
      <c r="C3" s="130"/>
      <c r="D3" s="130"/>
    </row>
    <row r="4" spans="1:2" ht="15">
      <c r="A4" t="s">
        <v>454</v>
      </c>
      <c r="B4">
        <v>2204.62262</v>
      </c>
    </row>
  </sheetData>
  <sheetProtection/>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2">
    <tabColor indexed="44"/>
  </sheetPr>
  <dimension ref="A1:W142"/>
  <sheetViews>
    <sheetView zoomScalePageLayoutView="0" workbookViewId="0" topLeftCell="A1">
      <selection activeCell="A1" sqref="A1"/>
    </sheetView>
  </sheetViews>
  <sheetFormatPr defaultColWidth="9.140625" defaultRowHeight="15"/>
  <cols>
    <col min="1" max="1" width="4.7109375" style="51" customWidth="1"/>
    <col min="2" max="2" width="38.8515625" style="51" customWidth="1"/>
    <col min="3" max="3" width="11.57421875" style="51" customWidth="1"/>
    <col min="4" max="4" width="12.421875" style="51" customWidth="1"/>
    <col min="5" max="5" width="11.28125" style="51" customWidth="1"/>
    <col min="6" max="6" width="13.421875" style="51" customWidth="1"/>
    <col min="7" max="7" width="38.8515625" style="51" customWidth="1"/>
    <col min="8" max="8" width="11.28125" style="51" customWidth="1"/>
    <col min="9" max="9" width="14.28125" style="51" customWidth="1"/>
    <col min="10" max="10" width="11.28125" style="51" customWidth="1"/>
    <col min="11" max="11" width="13.7109375" style="51" customWidth="1"/>
    <col min="12" max="12" width="15.57421875" style="51" customWidth="1"/>
    <col min="13" max="17" width="9.140625" style="51" customWidth="1"/>
    <col min="18" max="18" width="21.7109375" style="51" bestFit="1" customWidth="1"/>
    <col min="19" max="21" width="9.140625" style="51" customWidth="1"/>
    <col min="22" max="22" width="31.8515625" style="51" customWidth="1"/>
    <col min="23" max="23" width="32.421875" style="51" customWidth="1"/>
    <col min="24" max="16384" width="9.140625" style="51" customWidth="1"/>
  </cols>
  <sheetData>
    <row r="1" spans="1:12" ht="41.25" customHeight="1">
      <c r="A1" s="322" t="s">
        <v>253</v>
      </c>
      <c r="B1" s="322"/>
      <c r="C1" s="323"/>
      <c r="D1" s="323"/>
      <c r="E1" s="323"/>
      <c r="F1" s="323"/>
      <c r="G1" s="323"/>
      <c r="H1" s="323"/>
      <c r="I1" s="323"/>
      <c r="J1" s="323"/>
      <c r="K1" s="323"/>
      <c r="L1" s="323"/>
    </row>
    <row r="16" ht="15" thickBot="1">
      <c r="C16" s="141" t="s">
        <v>623</v>
      </c>
    </row>
    <row r="17" spans="2:11" ht="18">
      <c r="B17" s="336"/>
      <c r="C17" s="336"/>
      <c r="D17" s="336"/>
      <c r="E17" s="336"/>
      <c r="F17" s="336"/>
      <c r="G17" s="336"/>
      <c r="H17" s="961" t="s">
        <v>614</v>
      </c>
      <c r="I17" s="962"/>
      <c r="J17" s="963"/>
      <c r="K17" s="336"/>
    </row>
    <row r="18" spans="8:10" ht="14.25">
      <c r="H18" s="975" t="s">
        <v>615</v>
      </c>
      <c r="I18" s="976"/>
      <c r="J18" s="977"/>
    </row>
    <row r="19" spans="8:10" ht="14.25">
      <c r="H19" s="978" t="s">
        <v>632</v>
      </c>
      <c r="I19" s="979"/>
      <c r="J19" s="980"/>
    </row>
    <row r="20" spans="8:10" ht="15" thickBot="1">
      <c r="H20" s="981" t="s">
        <v>681</v>
      </c>
      <c r="I20" s="982"/>
      <c r="J20" s="983"/>
    </row>
    <row r="22" ht="15" thickBot="1">
      <c r="E22" s="54"/>
    </row>
    <row r="23" spans="3:5" ht="30.75" customHeight="1">
      <c r="C23" s="984" t="s">
        <v>630</v>
      </c>
      <c r="D23" s="985"/>
      <c r="E23" s="986"/>
    </row>
    <row r="24" spans="3:5" ht="28.5">
      <c r="C24" s="875" t="s">
        <v>460</v>
      </c>
      <c r="D24" s="996">
        <f>SUM(StreetLights_Baseline,TS_Baseline,CMS_Baseline,Misc_Baseline)*1000</f>
        <v>0</v>
      </c>
      <c r="E24" s="997"/>
    </row>
    <row r="25" spans="3:5" ht="29.25" thickBot="1">
      <c r="C25" s="876" t="s">
        <v>461</v>
      </c>
      <c r="D25" s="998">
        <f>SUM(StreetLights_Mitigated,TS_Mitigated,CMS_Mitigated,Misc_Mitigated)*1000</f>
        <v>0</v>
      </c>
      <c r="E25" s="999"/>
    </row>
    <row r="26" ht="14.25">
      <c r="E26" s="54"/>
    </row>
    <row r="27" ht="13.5" customHeight="1"/>
    <row r="28" spans="1:12" s="323" customFormat="1" ht="33.75" customHeight="1" hidden="1">
      <c r="A28" s="334" t="s">
        <v>809</v>
      </c>
      <c r="B28" s="334"/>
      <c r="C28" s="334"/>
      <c r="D28" s="334"/>
      <c r="E28" s="334"/>
      <c r="F28" s="334"/>
      <c r="G28" s="334"/>
      <c r="H28" s="334"/>
      <c r="I28" s="334"/>
      <c r="J28" s="334"/>
      <c r="K28" s="334"/>
      <c r="L28" s="334"/>
    </row>
    <row r="29" ht="14.25" hidden="1"/>
    <row r="30" ht="15" hidden="1" thickBot="1"/>
    <row r="31" spans="3:4" ht="14.25" hidden="1">
      <c r="C31" s="987" t="s">
        <v>329</v>
      </c>
      <c r="D31" s="988"/>
    </row>
    <row r="32" spans="3:4" ht="14.25" hidden="1">
      <c r="C32" s="877" t="s">
        <v>222</v>
      </c>
      <c r="D32" s="878" t="s">
        <v>898</v>
      </c>
    </row>
    <row r="33" spans="3:4" ht="14.25" hidden="1">
      <c r="C33" s="790" t="s">
        <v>327</v>
      </c>
      <c r="D33" s="879"/>
    </row>
    <row r="34" spans="3:4" ht="15" hidden="1" thickBot="1">
      <c r="C34" s="791" t="s">
        <v>328</v>
      </c>
      <c r="D34" s="880"/>
    </row>
    <row r="35" ht="14.25" hidden="1"/>
    <row r="36" ht="14.25" hidden="1"/>
    <row r="37" ht="14.25" hidden="1"/>
    <row r="38" spans="2:12" s="882" customFormat="1" ht="33.75" customHeight="1" hidden="1">
      <c r="B38" s="881"/>
      <c r="C38" s="881"/>
      <c r="D38" s="881"/>
      <c r="E38" s="881"/>
      <c r="F38" s="881"/>
      <c r="G38" s="881"/>
      <c r="H38" s="881"/>
      <c r="I38" s="881"/>
      <c r="J38" s="881"/>
      <c r="K38" s="881"/>
      <c r="L38" s="881"/>
    </row>
    <row r="39" s="882" customFormat="1" ht="14.25" hidden="1"/>
    <row r="40" s="882" customFormat="1" ht="14.25" hidden="1"/>
    <row r="41" spans="3:4" s="882" customFormat="1" ht="15" hidden="1">
      <c r="C41" s="989"/>
      <c r="D41" s="989"/>
    </row>
    <row r="42" spans="3:4" s="882" customFormat="1" ht="15" hidden="1">
      <c r="C42" s="883"/>
      <c r="D42" s="883"/>
    </row>
    <row r="43" s="882" customFormat="1" ht="14.25" hidden="1">
      <c r="D43" s="884"/>
    </row>
    <row r="44" s="882" customFormat="1" ht="14.25" hidden="1"/>
    <row r="45" s="882" customFormat="1" ht="14.25" hidden="1"/>
    <row r="46" s="882" customFormat="1" ht="14.25" hidden="1"/>
    <row r="47" spans="2:12" s="882" customFormat="1" ht="33.75" customHeight="1" hidden="1">
      <c r="B47" s="881"/>
      <c r="C47" s="881"/>
      <c r="D47" s="881"/>
      <c r="E47" s="881"/>
      <c r="F47" s="881"/>
      <c r="G47" s="881"/>
      <c r="H47" s="881"/>
      <c r="I47" s="881"/>
      <c r="J47" s="881"/>
      <c r="K47" s="881"/>
      <c r="L47" s="881"/>
    </row>
    <row r="48" s="882" customFormat="1" ht="14.25" hidden="1"/>
    <row r="49" s="882" customFormat="1" ht="14.25" hidden="1"/>
    <row r="50" ht="14.25" hidden="1"/>
    <row r="51" ht="14.25" hidden="1"/>
    <row r="52" spans="1:12" s="323" customFormat="1" ht="33.75" customHeight="1" hidden="1">
      <c r="A52" s="334" t="s">
        <v>810</v>
      </c>
      <c r="B52" s="334"/>
      <c r="C52" s="334"/>
      <c r="D52" s="334"/>
      <c r="E52" s="334"/>
      <c r="F52" s="334"/>
      <c r="G52" s="334"/>
      <c r="H52" s="334"/>
      <c r="I52" s="334"/>
      <c r="J52" s="334"/>
      <c r="K52" s="334"/>
      <c r="L52" s="334"/>
    </row>
    <row r="53" ht="14.25" hidden="1"/>
    <row r="54" spans="1:12" ht="18" hidden="1">
      <c r="A54" s="507" t="s">
        <v>695</v>
      </c>
      <c r="B54" s="507"/>
      <c r="C54" s="485"/>
      <c r="D54" s="485"/>
      <c r="E54" s="485"/>
      <c r="F54" s="485"/>
      <c r="G54" s="507" t="s">
        <v>696</v>
      </c>
      <c r="H54" s="485"/>
      <c r="I54" s="485"/>
      <c r="J54" s="486"/>
      <c r="L54" s="336"/>
    </row>
    <row r="55" spans="1:10" ht="14.25" hidden="1">
      <c r="A55" s="505" t="s">
        <v>697</v>
      </c>
      <c r="B55" s="505"/>
      <c r="C55" s="487"/>
      <c r="D55" s="487"/>
      <c r="E55" s="487"/>
      <c r="F55" s="487"/>
      <c r="G55" s="505" t="s">
        <v>697</v>
      </c>
      <c r="H55" s="487"/>
      <c r="I55" s="487"/>
      <c r="J55" s="487"/>
    </row>
    <row r="56" spans="1:10" ht="14.25" hidden="1">
      <c r="A56" s="505" t="s">
        <v>700</v>
      </c>
      <c r="B56" s="505"/>
      <c r="C56" s="487"/>
      <c r="D56" s="487"/>
      <c r="E56" s="487"/>
      <c r="F56" s="487"/>
      <c r="G56" s="505" t="s">
        <v>700</v>
      </c>
      <c r="H56" s="487"/>
      <c r="I56" s="487"/>
      <c r="J56" s="487"/>
    </row>
    <row r="57" spans="1:10" ht="14.25" hidden="1">
      <c r="A57" s="506" t="s">
        <v>786</v>
      </c>
      <c r="B57" s="506"/>
      <c r="C57" s="487"/>
      <c r="D57" s="487"/>
      <c r="E57" s="487"/>
      <c r="F57" s="487"/>
      <c r="G57" s="506" t="s">
        <v>786</v>
      </c>
      <c r="H57" s="487"/>
      <c r="I57" s="487"/>
      <c r="J57" s="487"/>
    </row>
    <row r="58" spans="8:23" ht="15" hidden="1" thickBot="1">
      <c r="H58" s="487"/>
      <c r="I58" s="487"/>
      <c r="J58" s="487"/>
      <c r="V58" s="51" t="s">
        <v>95</v>
      </c>
      <c r="W58" s="51" t="s">
        <v>96</v>
      </c>
    </row>
    <row r="59" spans="2:23" ht="27" hidden="1" thickBot="1">
      <c r="B59" s="491" t="s">
        <v>255</v>
      </c>
      <c r="C59" s="492" t="s">
        <v>256</v>
      </c>
      <c r="D59" s="492" t="s">
        <v>257</v>
      </c>
      <c r="E59" s="493" t="s">
        <v>258</v>
      </c>
      <c r="F59" s="487"/>
      <c r="G59" s="491" t="s">
        <v>255</v>
      </c>
      <c r="H59" s="492" t="s">
        <v>256</v>
      </c>
      <c r="I59" s="492" t="s">
        <v>257</v>
      </c>
      <c r="J59" s="493" t="s">
        <v>258</v>
      </c>
      <c r="U59" s="54"/>
      <c r="V59" s="483" t="s">
        <v>254</v>
      </c>
      <c r="W59" s="484" t="s">
        <v>254</v>
      </c>
    </row>
    <row r="60" spans="2:23" ht="14.25" hidden="1">
      <c r="B60" s="497" t="s">
        <v>259</v>
      </c>
      <c r="C60" s="887"/>
      <c r="D60" s="888">
        <f>C60*'Electricity factors'!$E$16</f>
        <v>0</v>
      </c>
      <c r="E60" s="498">
        <v>4380</v>
      </c>
      <c r="F60" s="487"/>
      <c r="G60" s="497" t="s">
        <v>259</v>
      </c>
      <c r="H60" s="887"/>
      <c r="I60" s="888">
        <f>H60*'Electricity factors'!$E$16</f>
        <v>0</v>
      </c>
      <c r="J60" s="498">
        <v>4380</v>
      </c>
      <c r="U60" s="547"/>
      <c r="V60" s="479">
        <f>C60*'Electricity factors'!$G$16*E60/1000*VLOOKUP(State_Selected,States_Data,4,FALSE)/10^6</f>
        <v>0</v>
      </c>
      <c r="W60" s="480">
        <f>H60*'Electricity factors'!$G$16*J60/1000*VLOOKUP(State_Selected,States_Data,4,FALSE)/10^6</f>
        <v>0</v>
      </c>
    </row>
    <row r="61" spans="2:23" ht="14.25" hidden="1">
      <c r="B61" s="499" t="s">
        <v>260</v>
      </c>
      <c r="C61" s="889"/>
      <c r="D61" s="890">
        <f>C61*'Electricity factors'!$E$24</f>
        <v>0</v>
      </c>
      <c r="E61" s="501">
        <v>4380</v>
      </c>
      <c r="F61" s="487"/>
      <c r="G61" s="499" t="s">
        <v>260</v>
      </c>
      <c r="H61" s="889"/>
      <c r="I61" s="890">
        <f>H61*'Electricity factors'!$E$24</f>
        <v>0</v>
      </c>
      <c r="J61" s="501">
        <v>4380</v>
      </c>
      <c r="U61" s="547"/>
      <c r="V61" s="479">
        <f>C61*'Electricity factors'!$G$24*E61/1000*VLOOKUP(State_Selected,States_Data,4,FALSE)/10^6</f>
        <v>0</v>
      </c>
      <c r="W61" s="480">
        <f>H61*'Electricity factors'!$G$24*J61/1000*VLOOKUP(State_Selected,States_Data,4,FALSE)/10^6</f>
        <v>0</v>
      </c>
    </row>
    <row r="62" spans="2:23" ht="14.25" hidden="1">
      <c r="B62" s="499" t="s">
        <v>261</v>
      </c>
      <c r="C62" s="889"/>
      <c r="D62" s="890">
        <f>C62*'Electricity factors'!$E$30</f>
        <v>0</v>
      </c>
      <c r="E62" s="501">
        <v>4380</v>
      </c>
      <c r="F62" s="487"/>
      <c r="G62" s="499" t="s">
        <v>261</v>
      </c>
      <c r="H62" s="889"/>
      <c r="I62" s="890">
        <f>H62*'Electricity factors'!$E$30</f>
        <v>0</v>
      </c>
      <c r="J62" s="501">
        <v>4380</v>
      </c>
      <c r="U62" s="547"/>
      <c r="V62" s="479">
        <f>C62*'Electricity factors'!$G$30*E62/1000*VLOOKUP(State_Selected,States_Data,4,FALSE)/10^6</f>
        <v>0</v>
      </c>
      <c r="W62" s="480">
        <f>H62*'Electricity factors'!$G$30*J62/1000*VLOOKUP(State_Selected,States_Data,4,FALSE)/10^6</f>
        <v>0</v>
      </c>
    </row>
    <row r="63" spans="2:23" ht="14.25" hidden="1">
      <c r="B63" s="815" t="s">
        <v>823</v>
      </c>
      <c r="C63" s="889"/>
      <c r="D63" s="890">
        <f>C63*'Electricity factors'!$E$41</f>
        <v>0</v>
      </c>
      <c r="E63" s="501">
        <v>4380</v>
      </c>
      <c r="F63" s="487"/>
      <c r="G63" s="815" t="s">
        <v>823</v>
      </c>
      <c r="H63" s="889"/>
      <c r="I63" s="890">
        <f>H63*'Electricity factors'!$E$41</f>
        <v>0</v>
      </c>
      <c r="J63" s="501">
        <v>4380</v>
      </c>
      <c r="U63" s="885"/>
      <c r="V63" s="479">
        <f>C63*'Electricity factors'!$G$41*E63/1000*VLOOKUP(State_Selected,States_Data,4,FALSE)/10^6</f>
        <v>0</v>
      </c>
      <c r="W63" s="480">
        <f>H63*'Electricity factors'!$G$41*J63/1000*VLOOKUP(State_Selected,States_Data,4,FALSE)/10^6</f>
        <v>0</v>
      </c>
    </row>
    <row r="64" spans="2:23" ht="14.25" hidden="1">
      <c r="B64" s="815" t="s">
        <v>822</v>
      </c>
      <c r="C64" s="889"/>
      <c r="D64" s="890">
        <f>C64*'Electricity factors'!$E$49</f>
        <v>0</v>
      </c>
      <c r="E64" s="501">
        <v>4380</v>
      </c>
      <c r="F64" s="487"/>
      <c r="G64" s="815" t="s">
        <v>822</v>
      </c>
      <c r="H64" s="889"/>
      <c r="I64" s="890">
        <f>H64*'Electricity factors'!$E$49</f>
        <v>0</v>
      </c>
      <c r="J64" s="501">
        <v>4380</v>
      </c>
      <c r="U64" s="885"/>
      <c r="V64" s="479">
        <f>C64*'Electricity factors'!$G$49*E64/1000*VLOOKUP(State_Selected,States_Data,4,FALSE)/10^6</f>
        <v>0</v>
      </c>
      <c r="W64" s="480">
        <f>H64*'Electricity factors'!$G$49*J64/1000*VLOOKUP(State_Selected,States_Data,4,FALSE)/10^6</f>
        <v>0</v>
      </c>
    </row>
    <row r="65" spans="2:23" ht="14.25" hidden="1">
      <c r="B65" s="815" t="s">
        <v>821</v>
      </c>
      <c r="C65" s="889"/>
      <c r="D65" s="890">
        <f>C65*'Electricity factors'!$E$56</f>
        <v>0</v>
      </c>
      <c r="E65" s="501">
        <v>4380</v>
      </c>
      <c r="F65" s="487"/>
      <c r="G65" s="815" t="s">
        <v>821</v>
      </c>
      <c r="H65" s="889"/>
      <c r="I65" s="890">
        <f>H65*'Electricity factors'!$E$56</f>
        <v>0</v>
      </c>
      <c r="J65" s="501">
        <v>4380</v>
      </c>
      <c r="U65" s="885"/>
      <c r="V65" s="479">
        <f>C65*'Electricity factors'!$G$56*E65/1000*VLOOKUP(State_Selected,States_Data,4,FALSE)/10^6</f>
        <v>0</v>
      </c>
      <c r="W65" s="480">
        <f>H65*'Electricity factors'!$G$56*J65/1000*VLOOKUP(State_Selected,States_Data,4,FALSE)/10^6</f>
        <v>0</v>
      </c>
    </row>
    <row r="66" spans="2:23" ht="14.25" hidden="1">
      <c r="B66" s="499" t="s">
        <v>262</v>
      </c>
      <c r="C66" s="889"/>
      <c r="D66" s="890">
        <f>C66*'Electricity factors'!$E$36</f>
        <v>0</v>
      </c>
      <c r="E66" s="501">
        <v>4380</v>
      </c>
      <c r="F66" s="487"/>
      <c r="G66" s="499" t="s">
        <v>262</v>
      </c>
      <c r="H66" s="889"/>
      <c r="I66" s="890">
        <f>H66*'Electricity factors'!$E$36</f>
        <v>0</v>
      </c>
      <c r="J66" s="501">
        <v>4380</v>
      </c>
      <c r="U66" s="547"/>
      <c r="V66" s="479">
        <f>C66*'Electricity factors'!$G$37*E66/1000*VLOOKUP(State_Selected,States_Data,4,FALSE)/10^6</f>
        <v>0</v>
      </c>
      <c r="W66" s="480">
        <f>H66*'Electricity factors'!$G$37*J66/1000*VLOOKUP(State_Selected,States_Data,4,FALSE)/10^6</f>
        <v>0</v>
      </c>
    </row>
    <row r="67" spans="2:23" ht="14.25" hidden="1">
      <c r="B67" s="499" t="s">
        <v>263</v>
      </c>
      <c r="C67" s="889"/>
      <c r="D67" s="891"/>
      <c r="E67" s="501">
        <v>4380</v>
      </c>
      <c r="F67" s="487"/>
      <c r="G67" s="499" t="s">
        <v>263</v>
      </c>
      <c r="H67" s="889"/>
      <c r="I67" s="891"/>
      <c r="J67" s="501">
        <v>4380</v>
      </c>
      <c r="L67" s="54"/>
      <c r="U67" s="547"/>
      <c r="V67" s="479"/>
      <c r="W67" s="480"/>
    </row>
    <row r="68" spans="2:23" ht="15" hidden="1" thickBot="1">
      <c r="B68" s="502" t="s">
        <v>232</v>
      </c>
      <c r="C68" s="892">
        <f>SUM(C60:C67)</f>
        <v>0</v>
      </c>
      <c r="D68" s="893"/>
      <c r="E68" s="504"/>
      <c r="F68" s="489"/>
      <c r="G68" s="502" t="s">
        <v>232</v>
      </c>
      <c r="H68" s="892">
        <f>SUM(H60:H67)</f>
        <v>0</v>
      </c>
      <c r="I68" s="893"/>
      <c r="J68" s="504"/>
      <c r="L68" s="54"/>
      <c r="U68" s="547"/>
      <c r="V68" s="481">
        <f>SUM(V60:V67)</f>
        <v>0</v>
      </c>
      <c r="W68" s="886">
        <f>SUM(W60:W67)</f>
        <v>0</v>
      </c>
    </row>
    <row r="69" spans="12:21" ht="15" hidden="1" thickBot="1">
      <c r="L69" s="54"/>
      <c r="U69" s="54"/>
    </row>
    <row r="70" spans="22:23" ht="15.75" hidden="1" thickBot="1">
      <c r="V70" s="513" t="s">
        <v>701</v>
      </c>
      <c r="W70" s="484" t="s">
        <v>254</v>
      </c>
    </row>
    <row r="71" spans="1:23" ht="28.5" customHeight="1" hidden="1">
      <c r="A71" s="507" t="s">
        <v>702</v>
      </c>
      <c r="C71" s="477"/>
      <c r="D71" s="477"/>
      <c r="E71" s="477"/>
      <c r="F71" s="477"/>
      <c r="G71" s="477"/>
      <c r="H71" s="477"/>
      <c r="I71" s="477"/>
      <c r="J71" s="477"/>
      <c r="K71" s="336"/>
      <c r="L71" s="336"/>
      <c r="V71" s="509" t="s">
        <v>460</v>
      </c>
      <c r="W71" s="510">
        <f>SUM(SignalHead_Baseline)</f>
        <v>0</v>
      </c>
    </row>
    <row r="72" spans="1:23" ht="28.5" customHeight="1" hidden="1" thickBot="1">
      <c r="A72" s="505" t="s">
        <v>703</v>
      </c>
      <c r="V72" s="511" t="s">
        <v>461</v>
      </c>
      <c r="W72" s="512">
        <f>SUM(SignalHead_Mitigated)</f>
        <v>0</v>
      </c>
    </row>
    <row r="73" ht="28.5" customHeight="1" hidden="1"/>
    <row r="74" spans="1:12" s="54" customFormat="1" ht="14.25" hidden="1">
      <c r="A74" s="51"/>
      <c r="B74" s="51"/>
      <c r="C74" s="51"/>
      <c r="D74" s="51"/>
      <c r="E74" s="51"/>
      <c r="F74" s="51"/>
      <c r="G74" s="51"/>
      <c r="H74" s="51"/>
      <c r="I74" s="51"/>
      <c r="J74" s="51"/>
      <c r="K74" s="51"/>
      <c r="L74" s="51"/>
    </row>
    <row r="75" spans="1:12" s="54" customFormat="1" ht="14.25" hidden="1">
      <c r="A75" s="51"/>
      <c r="B75" s="51"/>
      <c r="C75" s="51"/>
      <c r="D75" s="51"/>
      <c r="E75" s="51"/>
      <c r="F75" s="51"/>
      <c r="G75" s="51"/>
      <c r="H75" s="51"/>
      <c r="I75" s="51"/>
      <c r="J75" s="51"/>
      <c r="K75" s="51"/>
      <c r="L75" s="51"/>
    </row>
    <row r="76" spans="1:12" s="54" customFormat="1" ht="14.25" hidden="1">
      <c r="A76" s="51"/>
      <c r="B76" s="51"/>
      <c r="C76" s="51"/>
      <c r="D76" s="51"/>
      <c r="E76" s="51"/>
      <c r="F76" s="51"/>
      <c r="G76" s="51"/>
      <c r="H76" s="51"/>
      <c r="I76" s="51"/>
      <c r="J76" s="51"/>
      <c r="K76" s="51"/>
      <c r="L76" s="51"/>
    </row>
    <row r="77" s="54" customFormat="1" ht="14.25" hidden="1"/>
    <row r="78" spans="1:12" s="489" customFormat="1" ht="14.25" hidden="1">
      <c r="A78" s="54"/>
      <c r="B78" s="542" t="s">
        <v>705</v>
      </c>
      <c r="C78" s="524"/>
      <c r="G78" s="542" t="s">
        <v>706</v>
      </c>
      <c r="H78" s="54"/>
      <c r="I78" s="54"/>
      <c r="J78" s="54"/>
      <c r="K78" s="54"/>
      <c r="L78" s="54"/>
    </row>
    <row r="79" spans="1:23" s="489" customFormat="1" ht="15.75" customHeight="1" hidden="1" thickBot="1">
      <c r="A79" s="54"/>
      <c r="B79" s="523" t="s">
        <v>707</v>
      </c>
      <c r="C79" s="524"/>
      <c r="G79" s="523" t="s">
        <v>707</v>
      </c>
      <c r="H79" s="54"/>
      <c r="I79" s="54"/>
      <c r="J79" s="54"/>
      <c r="K79" s="54"/>
      <c r="L79" s="54"/>
      <c r="V79" s="487" t="s">
        <v>95</v>
      </c>
      <c r="W79" s="487" t="s">
        <v>96</v>
      </c>
    </row>
    <row r="80" spans="1:23" s="487" customFormat="1" ht="15" hidden="1" thickBot="1">
      <c r="A80" s="54"/>
      <c r="B80" s="523" t="s">
        <v>708</v>
      </c>
      <c r="C80" s="524"/>
      <c r="D80" s="489"/>
      <c r="E80" s="489"/>
      <c r="F80" s="489"/>
      <c r="G80" s="523" t="s">
        <v>708</v>
      </c>
      <c r="H80" s="54"/>
      <c r="I80" s="54"/>
      <c r="J80" s="54"/>
      <c r="K80" s="54"/>
      <c r="L80" s="54"/>
      <c r="V80" s="533" t="s">
        <v>254</v>
      </c>
      <c r="W80" s="534" t="s">
        <v>254</v>
      </c>
    </row>
    <row r="81" spans="1:23" s="487" customFormat="1" ht="13.5" hidden="1" thickBot="1">
      <c r="A81" s="489"/>
      <c r="B81" s="489"/>
      <c r="C81" s="489"/>
      <c r="D81" s="489"/>
      <c r="E81" s="489"/>
      <c r="F81" s="489"/>
      <c r="G81" s="489"/>
      <c r="H81" s="525"/>
      <c r="I81" s="490"/>
      <c r="J81" s="490"/>
      <c r="K81" s="489"/>
      <c r="L81" s="489"/>
      <c r="V81" s="536">
        <f>(D84*'Electricity factors'!$B$118+E84*'Electricity factors'!$C$118)*VLOOKUP(State_Selected,States_Data,4,FALSE)/10^6</f>
        <v>0</v>
      </c>
      <c r="W81" s="537">
        <f>(I84*'Electricity factors'!$B$118+J84*'Electricity factors'!$C$118)*VLOOKUP(State_Selected,States_Data,4,FALSE)/10^6</f>
        <v>0</v>
      </c>
    </row>
    <row r="82" spans="1:23" s="487" customFormat="1" ht="12.75" hidden="1">
      <c r="A82" s="489"/>
      <c r="B82" s="526"/>
      <c r="C82" s="527"/>
      <c r="D82" s="973" t="s">
        <v>265</v>
      </c>
      <c r="E82" s="974"/>
      <c r="F82" s="529"/>
      <c r="G82" s="526"/>
      <c r="H82" s="527"/>
      <c r="I82" s="973" t="s">
        <v>265</v>
      </c>
      <c r="J82" s="974"/>
      <c r="K82" s="494"/>
      <c r="L82" s="489"/>
      <c r="V82" s="536">
        <f>(D85*'Electricity factors'!$B$119+E85*'Electricity factors'!$C$119)*VLOOKUP(State_Selected,States_Data,4,FALSE)/10^6</f>
        <v>0</v>
      </c>
      <c r="W82" s="537">
        <f>(I85*'Electricity factors'!$B$119+J85*'Electricity factors'!$C$119)*VLOOKUP(State_Selected,States_Data,4,FALSE)/10^6</f>
        <v>0</v>
      </c>
    </row>
    <row r="83" spans="2:23" s="487" customFormat="1" ht="13.5" hidden="1" thickBot="1">
      <c r="B83" s="530" t="s">
        <v>266</v>
      </c>
      <c r="C83" s="531" t="s">
        <v>267</v>
      </c>
      <c r="D83" s="531" t="s">
        <v>704</v>
      </c>
      <c r="E83" s="532" t="s">
        <v>262</v>
      </c>
      <c r="G83" s="530" t="s">
        <v>266</v>
      </c>
      <c r="H83" s="531" t="s">
        <v>267</v>
      </c>
      <c r="I83" s="531" t="s">
        <v>704</v>
      </c>
      <c r="J83" s="532" t="s">
        <v>262</v>
      </c>
      <c r="V83" s="536">
        <f>(D86*'Electricity factors'!$B$120+E86*'Electricity factors'!$C$120)*VLOOKUP(State_Selected,States_Data,4,FALSE)/10^6</f>
        <v>0</v>
      </c>
      <c r="W83" s="537">
        <f>(I86*'Electricity factors'!$B$120+J86*'Electricity factors'!$C$120)*VLOOKUP(State_Selected,States_Data,4,FALSE)/10^6</f>
        <v>0</v>
      </c>
    </row>
    <row r="84" spans="2:23" s="487" customFormat="1" ht="12.75" hidden="1">
      <c r="B84" s="497" t="s">
        <v>268</v>
      </c>
      <c r="C84" s="535" t="s">
        <v>269</v>
      </c>
      <c r="D84" s="894"/>
      <c r="E84" s="895"/>
      <c r="G84" s="497" t="s">
        <v>268</v>
      </c>
      <c r="H84" s="535" t="s">
        <v>269</v>
      </c>
      <c r="I84" s="894"/>
      <c r="J84" s="895"/>
      <c r="V84" s="536">
        <f>(D87*'Electricity factors'!$B$121+E87*'Electricity factors'!$C$121)*VLOOKUP(State_Selected,States_Data,4,FALSE)/10^6</f>
        <v>0</v>
      </c>
      <c r="W84" s="537">
        <f>(I87*'Electricity factors'!$B$121+J87*'Electricity factors'!$C$121)*VLOOKUP(State_Selected,States_Data,4,FALSE)/10^6</f>
        <v>0</v>
      </c>
    </row>
    <row r="85" spans="2:23" s="487" customFormat="1" ht="12.75" hidden="1">
      <c r="B85" s="499" t="s">
        <v>270</v>
      </c>
      <c r="C85" s="538" t="s">
        <v>269</v>
      </c>
      <c r="D85" s="896"/>
      <c r="E85" s="897"/>
      <c r="G85" s="499" t="s">
        <v>270</v>
      </c>
      <c r="H85" s="538" t="s">
        <v>269</v>
      </c>
      <c r="I85" s="896"/>
      <c r="J85" s="897"/>
      <c r="V85" s="536"/>
      <c r="W85" s="537"/>
    </row>
    <row r="86" spans="2:23" s="487" customFormat="1" ht="12.75" hidden="1">
      <c r="B86" s="499" t="s">
        <v>271</v>
      </c>
      <c r="C86" s="538" t="s">
        <v>269</v>
      </c>
      <c r="D86" s="896"/>
      <c r="E86" s="897"/>
      <c r="G86" s="499" t="s">
        <v>271</v>
      </c>
      <c r="H86" s="538" t="s">
        <v>269</v>
      </c>
      <c r="I86" s="896"/>
      <c r="J86" s="897"/>
      <c r="V86" s="536">
        <f>(D89*'Electricity factors'!$B$123+E89*'Electricity factors'!$C$123)*VLOOKUP(State_Selected,States_Data,4,FALSE)/10^6</f>
        <v>0</v>
      </c>
      <c r="W86" s="537">
        <f>(I89*'Electricity factors'!$B$123+J89*'Electricity factors'!$C$123)*VLOOKUP(State_Selected,States_Data,4,FALSE)/10^6</f>
        <v>0</v>
      </c>
    </row>
    <row r="87" spans="2:23" s="487" customFormat="1" ht="12.75" hidden="1">
      <c r="B87" s="499" t="s">
        <v>272</v>
      </c>
      <c r="C87" s="538" t="s">
        <v>269</v>
      </c>
      <c r="D87" s="896"/>
      <c r="E87" s="897"/>
      <c r="G87" s="499" t="s">
        <v>272</v>
      </c>
      <c r="H87" s="538" t="s">
        <v>269</v>
      </c>
      <c r="I87" s="896"/>
      <c r="J87" s="897"/>
      <c r="V87" s="536">
        <f>(D90*'Electricity factors'!$B$124+E90*'Electricity factors'!$C$124)*VLOOKUP(State_Selected,States_Data,4,FALSE)/10^6</f>
        <v>0</v>
      </c>
      <c r="W87" s="537">
        <f>(I90*'Electricity factors'!$B$124+J90*'Electricity factors'!$C$124)*VLOOKUP(State_Selected,States_Data,4,FALSE)/10^6</f>
        <v>0</v>
      </c>
    </row>
    <row r="88" spans="2:23" s="487" customFormat="1" ht="12.75" hidden="1">
      <c r="B88" s="499"/>
      <c r="C88" s="538"/>
      <c r="D88" s="898"/>
      <c r="E88" s="899"/>
      <c r="G88" s="499"/>
      <c r="H88" s="538"/>
      <c r="I88" s="898"/>
      <c r="J88" s="899"/>
      <c r="V88" s="536">
        <f>(D91*'Electricity factors'!$B$125+E91*'Electricity factors'!$C$125)*VLOOKUP(State_Selected,States_Data,4,FALSE)/10^6</f>
        <v>0</v>
      </c>
      <c r="W88" s="537">
        <f>(I91*'Electricity factors'!$B$125+J91*'Electricity factors'!$C$125)*VLOOKUP(State_Selected,States_Data,4,FALSE)/10^6</f>
        <v>0</v>
      </c>
    </row>
    <row r="89" spans="2:23" s="487" customFormat="1" ht="13.5" hidden="1" thickBot="1">
      <c r="B89" s="499" t="s">
        <v>268</v>
      </c>
      <c r="C89" s="538" t="s">
        <v>273</v>
      </c>
      <c r="D89" s="896"/>
      <c r="E89" s="897"/>
      <c r="G89" s="499" t="s">
        <v>268</v>
      </c>
      <c r="H89" s="538" t="s">
        <v>273</v>
      </c>
      <c r="I89" s="896"/>
      <c r="J89" s="897"/>
      <c r="V89" s="540">
        <f>(D92*'Electricity factors'!$B$126+E92*'Electricity factors'!$C$126)*VLOOKUP(State_Selected,States_Data,4,FALSE)/10^6</f>
        <v>0</v>
      </c>
      <c r="W89" s="541">
        <f>(I92*'Electricity factors'!$B$126+J92*'Electricity factors'!$C$126)*VLOOKUP(State_Selected,States_Data,4,FALSE)/10^6</f>
        <v>0</v>
      </c>
    </row>
    <row r="90" spans="2:23" s="487" customFormat="1" ht="12.75" hidden="1">
      <c r="B90" s="499" t="s">
        <v>270</v>
      </c>
      <c r="C90" s="538" t="s">
        <v>273</v>
      </c>
      <c r="D90" s="896"/>
      <c r="E90" s="897"/>
      <c r="G90" s="499" t="s">
        <v>270</v>
      </c>
      <c r="H90" s="538" t="s">
        <v>273</v>
      </c>
      <c r="I90" s="896"/>
      <c r="J90" s="897"/>
      <c r="V90" s="546"/>
      <c r="W90" s="546"/>
    </row>
    <row r="91" spans="2:23" s="487" customFormat="1" ht="12.75" hidden="1">
      <c r="B91" s="499" t="s">
        <v>271</v>
      </c>
      <c r="C91" s="538" t="s">
        <v>273</v>
      </c>
      <c r="D91" s="896"/>
      <c r="E91" s="897"/>
      <c r="G91" s="499" t="s">
        <v>271</v>
      </c>
      <c r="H91" s="538" t="s">
        <v>273</v>
      </c>
      <c r="I91" s="896"/>
      <c r="J91" s="897"/>
      <c r="V91" s="546"/>
      <c r="W91" s="546"/>
    </row>
    <row r="92" spans="1:12" ht="15" hidden="1" thickBot="1">
      <c r="A92" s="487"/>
      <c r="B92" s="502" t="s">
        <v>272</v>
      </c>
      <c r="C92" s="539" t="s">
        <v>273</v>
      </c>
      <c r="D92" s="900"/>
      <c r="E92" s="901"/>
      <c r="F92" s="487"/>
      <c r="G92" s="502" t="s">
        <v>272</v>
      </c>
      <c r="H92" s="539" t="s">
        <v>273</v>
      </c>
      <c r="I92" s="900"/>
      <c r="J92" s="901"/>
      <c r="K92" s="487"/>
      <c r="L92" s="487"/>
    </row>
    <row r="93" spans="1:12" s="549" customFormat="1" ht="12.75" hidden="1">
      <c r="A93" s="487"/>
      <c r="B93" s="489"/>
      <c r="C93" s="545"/>
      <c r="D93" s="547"/>
      <c r="E93" s="547"/>
      <c r="F93" s="487"/>
      <c r="G93" s="489"/>
      <c r="H93" s="545"/>
      <c r="I93" s="547"/>
      <c r="J93" s="547"/>
      <c r="K93" s="487"/>
      <c r="L93" s="487"/>
    </row>
    <row r="94" spans="1:12" s="476" customFormat="1" ht="14.25" hidden="1">
      <c r="A94" s="487"/>
      <c r="B94" s="489"/>
      <c r="C94" s="545"/>
      <c r="D94" s="547"/>
      <c r="E94" s="547"/>
      <c r="F94" s="487"/>
      <c r="G94" s="489"/>
      <c r="H94" s="545"/>
      <c r="I94" s="547"/>
      <c r="J94" s="547"/>
      <c r="K94" s="487"/>
      <c r="L94" s="487"/>
    </row>
    <row r="95" spans="1:12" s="476" customFormat="1" ht="14.25" hidden="1">
      <c r="A95" s="51"/>
      <c r="B95" s="51"/>
      <c r="C95" s="51"/>
      <c r="D95" s="51"/>
      <c r="E95" s="51"/>
      <c r="F95" s="51"/>
      <c r="G95" s="51"/>
      <c r="H95" s="51"/>
      <c r="I95" s="51"/>
      <c r="J95" s="51"/>
      <c r="K95" s="51"/>
      <c r="L95" s="51"/>
    </row>
    <row r="96" spans="1:23" ht="15" hidden="1" thickBot="1">
      <c r="A96" s="549"/>
      <c r="B96" s="542" t="s">
        <v>709</v>
      </c>
      <c r="C96" s="549"/>
      <c r="D96" s="549"/>
      <c r="E96" s="549"/>
      <c r="F96" s="549"/>
      <c r="G96" s="542" t="s">
        <v>711</v>
      </c>
      <c r="H96" s="549"/>
      <c r="I96" s="549"/>
      <c r="J96" s="549"/>
      <c r="K96" s="549"/>
      <c r="L96" s="549"/>
      <c r="V96" s="51" t="s">
        <v>95</v>
      </c>
      <c r="W96" s="51" t="s">
        <v>96</v>
      </c>
    </row>
    <row r="97" spans="1:23" ht="15" customHeight="1" hidden="1">
      <c r="A97" s="476"/>
      <c r="B97" s="505" t="s">
        <v>714</v>
      </c>
      <c r="C97" s="549"/>
      <c r="D97" s="549"/>
      <c r="E97" s="549"/>
      <c r="F97" s="549"/>
      <c r="G97" s="505" t="s">
        <v>714</v>
      </c>
      <c r="H97" s="549"/>
      <c r="I97" s="549"/>
      <c r="J97" s="476"/>
      <c r="K97" s="476"/>
      <c r="L97" s="476"/>
      <c r="V97" s="513" t="s">
        <v>710</v>
      </c>
      <c r="W97" s="550"/>
    </row>
    <row r="98" spans="1:23" ht="15.75" hidden="1" thickBot="1">
      <c r="A98" s="476"/>
      <c r="B98" s="548" t="s">
        <v>715</v>
      </c>
      <c r="C98" s="549"/>
      <c r="D98" s="549"/>
      <c r="E98" s="549"/>
      <c r="F98" s="549"/>
      <c r="G98" s="548" t="s">
        <v>715</v>
      </c>
      <c r="H98" s="549"/>
      <c r="I98" s="549"/>
      <c r="J98" s="476"/>
      <c r="K98" s="476"/>
      <c r="L98" s="476"/>
      <c r="V98" s="551" t="s">
        <v>254</v>
      </c>
      <c r="W98" s="552" t="s">
        <v>254</v>
      </c>
    </row>
    <row r="99" spans="2:23" ht="15" customHeight="1" hidden="1" thickBot="1">
      <c r="B99" s="52"/>
      <c r="C99" s="50"/>
      <c r="H99" s="52"/>
      <c r="I99" s="50"/>
      <c r="V99" s="479">
        <f>(D102*'Electricity factors'!$B$112+E102*'Electricity factors'!$C$112)*VLOOKUP(State_Selected,States_Data,4,FALSE)/10^6</f>
        <v>0</v>
      </c>
      <c r="W99" s="480">
        <f>(I102*'Electricity factors'!$B$112+J102*'Electricity factors'!$C$112)*VLOOKUP(State_Selected,States_Data,4,FALSE)/10^6</f>
        <v>0</v>
      </c>
    </row>
    <row r="100" spans="2:23" ht="14.25" hidden="1">
      <c r="B100" s="526"/>
      <c r="C100" s="527"/>
      <c r="D100" s="973" t="s">
        <v>274</v>
      </c>
      <c r="E100" s="974"/>
      <c r="F100" s="554"/>
      <c r="G100" s="526"/>
      <c r="H100" s="527"/>
      <c r="I100" s="973" t="s">
        <v>274</v>
      </c>
      <c r="J100" s="974"/>
      <c r="V100" s="479">
        <f>(D103*'Electricity factors'!$B$113+E103*'Electricity factors'!$C$113)*VLOOKUP(State_Selected,States_Data,4,FALSE)/10^6</f>
        <v>0</v>
      </c>
      <c r="W100" s="480">
        <f>(I103*'Electricity factors'!$B$113+J103*'Electricity factors'!$C$113)*VLOOKUP(State_Selected,States_Data,4,FALSE)/10^6</f>
        <v>0</v>
      </c>
    </row>
    <row r="101" spans="2:23" ht="15" hidden="1" thickBot="1">
      <c r="B101" s="530" t="s">
        <v>275</v>
      </c>
      <c r="C101" s="553"/>
      <c r="D101" s="531" t="s">
        <v>704</v>
      </c>
      <c r="E101" s="532" t="s">
        <v>262</v>
      </c>
      <c r="F101" s="487"/>
      <c r="G101" s="530" t="s">
        <v>275</v>
      </c>
      <c r="H101" s="553"/>
      <c r="I101" s="531" t="s">
        <v>704</v>
      </c>
      <c r="J101" s="532" t="s">
        <v>262</v>
      </c>
      <c r="V101" s="479">
        <f>(D104*'Electricity factors'!$B$114+E104*'Electricity factors'!$C$114)*VLOOKUP(State_Selected,States_Data,4,FALSE)/10^6</f>
        <v>0</v>
      </c>
      <c r="W101" s="480">
        <f>(I104*'Electricity factors'!$B$114+J104*'Electricity factors'!$C$114)*VLOOKUP(State_Selected,States_Data,4,FALSE)/10^6</f>
        <v>0</v>
      </c>
    </row>
    <row r="102" spans="2:23" ht="15.75" customHeight="1" hidden="1" thickBot="1">
      <c r="B102" s="992" t="s">
        <v>712</v>
      </c>
      <c r="C102" s="993"/>
      <c r="D102" s="902"/>
      <c r="E102" s="903"/>
      <c r="F102" s="487"/>
      <c r="G102" s="992" t="s">
        <v>712</v>
      </c>
      <c r="H102" s="993"/>
      <c r="I102" s="902"/>
      <c r="J102" s="903"/>
      <c r="V102" s="481">
        <f>(D105*'Electricity factors'!$B$104+E105*'Electricity factors'!$C$104)*VLOOKUP(State_Selected,States_Data,4,FALSE)/10^6</f>
        <v>0</v>
      </c>
      <c r="W102" s="482">
        <f>(I105*'Electricity factors'!$B$104+J105*'Electricity factors'!$C$104)*VLOOKUP(State_Selected,States_Data,4,FALSE)/10^6</f>
        <v>0</v>
      </c>
    </row>
    <row r="103" spans="1:12" s="54" customFormat="1" ht="14.25" hidden="1">
      <c r="A103" s="51"/>
      <c r="B103" s="990" t="s">
        <v>713</v>
      </c>
      <c r="C103" s="991"/>
      <c r="D103" s="904"/>
      <c r="E103" s="905"/>
      <c r="F103" s="487"/>
      <c r="G103" s="990" t="s">
        <v>713</v>
      </c>
      <c r="H103" s="991"/>
      <c r="I103" s="904"/>
      <c r="J103" s="905"/>
      <c r="K103" s="51"/>
      <c r="L103" s="51"/>
    </row>
    <row r="104" spans="1:12" s="54" customFormat="1" ht="14.25" hidden="1">
      <c r="A104" s="51"/>
      <c r="B104" s="990" t="s">
        <v>716</v>
      </c>
      <c r="C104" s="991"/>
      <c r="D104" s="904"/>
      <c r="E104" s="905"/>
      <c r="F104" s="487"/>
      <c r="G104" s="990" t="s">
        <v>716</v>
      </c>
      <c r="H104" s="991"/>
      <c r="I104" s="904"/>
      <c r="J104" s="905"/>
      <c r="K104" s="51"/>
      <c r="L104" s="51"/>
    </row>
    <row r="105" spans="1:12" s="54" customFormat="1" ht="15" hidden="1" thickBot="1">
      <c r="A105" s="51"/>
      <c r="B105" s="994" t="s">
        <v>277</v>
      </c>
      <c r="C105" s="995"/>
      <c r="D105" s="906"/>
      <c r="E105" s="907"/>
      <c r="F105" s="487"/>
      <c r="G105" s="994" t="s">
        <v>277</v>
      </c>
      <c r="H105" s="995"/>
      <c r="I105" s="906"/>
      <c r="J105" s="907"/>
      <c r="K105" s="51"/>
      <c r="L105" s="51"/>
    </row>
    <row r="106" spans="1:12" ht="14.25" hidden="1">
      <c r="A106" s="54"/>
      <c r="B106" s="54"/>
      <c r="C106" s="54"/>
      <c r="D106" s="54"/>
      <c r="E106" s="54"/>
      <c r="F106" s="54"/>
      <c r="G106" s="54"/>
      <c r="H106" s="54"/>
      <c r="I106" s="54"/>
      <c r="J106" s="54"/>
      <c r="K106" s="54"/>
      <c r="L106" s="54"/>
    </row>
    <row r="107" spans="1:23" ht="15.75" customHeight="1" hidden="1" thickBot="1">
      <c r="A107" s="54"/>
      <c r="B107" s="542" t="s">
        <v>717</v>
      </c>
      <c r="C107" s="489"/>
      <c r="D107" s="489"/>
      <c r="E107" s="489"/>
      <c r="F107" s="489"/>
      <c r="G107" s="542" t="s">
        <v>722</v>
      </c>
      <c r="H107" s="489"/>
      <c r="I107" s="489"/>
      <c r="J107" s="489"/>
      <c r="K107" s="54"/>
      <c r="L107" s="54"/>
      <c r="V107" s="51" t="s">
        <v>95</v>
      </c>
      <c r="W107" s="51" t="s">
        <v>96</v>
      </c>
    </row>
    <row r="108" spans="1:23" ht="15.75" hidden="1" thickBot="1">
      <c r="A108" s="54"/>
      <c r="B108" s="505" t="s">
        <v>721</v>
      </c>
      <c r="C108" s="489"/>
      <c r="D108" s="489"/>
      <c r="E108" s="489"/>
      <c r="F108" s="489"/>
      <c r="G108" s="505" t="s">
        <v>721</v>
      </c>
      <c r="H108" s="489"/>
      <c r="I108" s="489"/>
      <c r="J108" s="489"/>
      <c r="K108" s="54"/>
      <c r="L108" s="54"/>
      <c r="V108" s="483" t="s">
        <v>254</v>
      </c>
      <c r="W108" s="484" t="s">
        <v>254</v>
      </c>
    </row>
    <row r="109" spans="2:23" ht="15" customHeight="1" hidden="1" thickBot="1">
      <c r="B109" s="488"/>
      <c r="C109" s="505"/>
      <c r="D109" s="487"/>
      <c r="E109" s="487"/>
      <c r="F109" s="487"/>
      <c r="G109" s="487"/>
      <c r="H109" s="488"/>
      <c r="I109" s="505"/>
      <c r="J109" s="487"/>
      <c r="L109" s="54"/>
      <c r="V109" s="479">
        <f>(D112*'Electricity factors'!$B$98+E112*'Electricity factors'!$C$98)*VLOOKUP(State_Selected,States_Data,4,FALSE)/10^6</f>
        <v>0</v>
      </c>
      <c r="W109" s="480">
        <f>(I112*'Electricity factors'!$B$98+J112*'Electricity factors'!$C$98)*VLOOKUP(State_Selected,States_Data,4,FALSE)/10^6</f>
        <v>0</v>
      </c>
    </row>
    <row r="110" spans="2:23" ht="15" hidden="1">
      <c r="B110" s="526"/>
      <c r="C110" s="527"/>
      <c r="D110" s="973" t="s">
        <v>274</v>
      </c>
      <c r="E110" s="974"/>
      <c r="F110" s="554"/>
      <c r="G110" s="526"/>
      <c r="H110" s="527"/>
      <c r="I110" s="973" t="s">
        <v>274</v>
      </c>
      <c r="J110" s="974"/>
      <c r="L110" s="56"/>
      <c r="V110" s="479">
        <f>(D113*'Electricity factors'!$B$99+E113*'Electricity factors'!$C$99)*VLOOKUP(State_Selected,States_Data,4,FALSE)/10^6</f>
        <v>0</v>
      </c>
      <c r="W110" s="480">
        <f>(I113*'Electricity factors'!$B$99+J113*'Electricity factors'!$C$99)*VLOOKUP(State_Selected,States_Data,4,FALSE)/10^6</f>
        <v>0</v>
      </c>
    </row>
    <row r="111" spans="2:23" ht="15" hidden="1" thickBot="1">
      <c r="B111" s="530" t="s">
        <v>278</v>
      </c>
      <c r="C111" s="553"/>
      <c r="D111" s="531" t="s">
        <v>704</v>
      </c>
      <c r="E111" s="532" t="s">
        <v>262</v>
      </c>
      <c r="F111" s="487"/>
      <c r="G111" s="530" t="s">
        <v>275</v>
      </c>
      <c r="H111" s="553"/>
      <c r="I111" s="531" t="s">
        <v>704</v>
      </c>
      <c r="J111" s="532" t="s">
        <v>262</v>
      </c>
      <c r="L111" s="54"/>
      <c r="V111" s="479">
        <f>(D114*'Electricity factors'!$B$100+E114*'Electricity factors'!$C$100)*VLOOKUP(State_Selected,States_Data,4,FALSE)/10^6</f>
        <v>0</v>
      </c>
      <c r="W111" s="480">
        <f>(I114*'Electricity factors'!$B$100+J114*'Electricity factors'!$C$100)*VLOOKUP(State_Selected,States_Data,4,FALSE)/10^6</f>
        <v>0</v>
      </c>
    </row>
    <row r="112" spans="2:23" ht="14.25" hidden="1">
      <c r="B112" s="992" t="s">
        <v>279</v>
      </c>
      <c r="C112" s="993"/>
      <c r="D112" s="908"/>
      <c r="E112" s="909"/>
      <c r="F112" s="487"/>
      <c r="G112" s="992" t="s">
        <v>279</v>
      </c>
      <c r="H112" s="993"/>
      <c r="I112" s="908"/>
      <c r="J112" s="909"/>
      <c r="V112" s="479">
        <f>(D115*'Electricity factors'!$B$101+E115*'Electricity factors'!$C$101)*VLOOKUP(State_Selected,States_Data,4,FALSE)/10^6</f>
        <v>0</v>
      </c>
      <c r="W112" s="480">
        <f>(I115*'Electricity factors'!$B$101+J115*'Electricity factors'!$C$101)*VLOOKUP(State_Selected,States_Data,4,FALSE)/10^6</f>
        <v>0</v>
      </c>
    </row>
    <row r="113" spans="2:23" ht="14.25" hidden="1">
      <c r="B113" s="990" t="s">
        <v>718</v>
      </c>
      <c r="C113" s="991"/>
      <c r="D113" s="910"/>
      <c r="E113" s="911"/>
      <c r="F113" s="487"/>
      <c r="G113" s="990" t="s">
        <v>718</v>
      </c>
      <c r="H113" s="991"/>
      <c r="I113" s="910"/>
      <c r="J113" s="911"/>
      <c r="V113" s="479">
        <f>(D116*'Electricity factors'!$B$102+E116*'Electricity factors'!$C$102)*VLOOKUP(State_Selected,States_Data,4,FALSE)/10^6</f>
        <v>0</v>
      </c>
      <c r="W113" s="480">
        <f>(I116*'Electricity factors'!$B$102+J116*'Electricity factors'!$C$102)*VLOOKUP(State_Selected,States_Data,4,FALSE)/10^6</f>
        <v>0</v>
      </c>
    </row>
    <row r="114" spans="2:23" ht="14.25" hidden="1">
      <c r="B114" s="990" t="s">
        <v>281</v>
      </c>
      <c r="C114" s="991"/>
      <c r="D114" s="910"/>
      <c r="E114" s="911"/>
      <c r="F114" s="487"/>
      <c r="G114" s="990" t="s">
        <v>281</v>
      </c>
      <c r="H114" s="991"/>
      <c r="I114" s="910"/>
      <c r="J114" s="911"/>
      <c r="V114" s="479">
        <f>(D117*'Electricity factors'!$B$103+E117*'Electricity factors'!$C$103)*VLOOKUP(State_Selected,States_Data,4,FALSE)/10^6</f>
        <v>0</v>
      </c>
      <c r="W114" s="480">
        <f>(I117*'Electricity factors'!$B$103+J117*'Electricity factors'!$C$103)*VLOOKUP(State_Selected,States_Data,4,FALSE)/10^6</f>
        <v>0</v>
      </c>
    </row>
    <row r="115" spans="2:23" ht="14.25" hidden="1">
      <c r="B115" s="990" t="s">
        <v>282</v>
      </c>
      <c r="C115" s="991"/>
      <c r="D115" s="910"/>
      <c r="E115" s="911"/>
      <c r="F115" s="487"/>
      <c r="G115" s="990" t="s">
        <v>282</v>
      </c>
      <c r="H115" s="991"/>
      <c r="I115" s="910"/>
      <c r="J115" s="911"/>
      <c r="V115" s="479">
        <f>(D118*'Electricity factors'!$B$105+E118*'Electricity factors'!$C$105)*VLOOKUP(State_Selected,States_Data,4,FALSE)/10^6</f>
        <v>0</v>
      </c>
      <c r="W115" s="480">
        <f>(I118*'Electricity factors'!$B$105+J118*'Electricity factors'!$C$105)*VLOOKUP(State_Selected,States_Data,4,FALSE)/10^6</f>
        <v>0</v>
      </c>
    </row>
    <row r="116" spans="2:23" ht="14.25" hidden="1">
      <c r="B116" s="990" t="s">
        <v>719</v>
      </c>
      <c r="C116" s="991"/>
      <c r="D116" s="910"/>
      <c r="E116" s="911"/>
      <c r="F116" s="487"/>
      <c r="G116" s="990" t="s">
        <v>719</v>
      </c>
      <c r="H116" s="991"/>
      <c r="I116" s="910"/>
      <c r="J116" s="911"/>
      <c r="V116" s="479">
        <f>(D119*'Electricity factors'!$B$106+E119*'Electricity factors'!$C$106)*VLOOKUP(State_Selected,States_Data,4,FALSE)/10^6</f>
        <v>0</v>
      </c>
      <c r="W116" s="480">
        <f>(I119*'Electricity factors'!$B$106+J119*'Electricity factors'!$C$106)*VLOOKUP(State_Selected,States_Data,4,FALSE)/10^6</f>
        <v>0</v>
      </c>
    </row>
    <row r="117" spans="2:23" ht="15.75" customHeight="1" hidden="1" thickBot="1">
      <c r="B117" s="990" t="s">
        <v>284</v>
      </c>
      <c r="C117" s="991"/>
      <c r="D117" s="910"/>
      <c r="E117" s="911"/>
      <c r="F117" s="487"/>
      <c r="G117" s="990" t="s">
        <v>284</v>
      </c>
      <c r="H117" s="991"/>
      <c r="I117" s="910"/>
      <c r="J117" s="911"/>
      <c r="V117" s="481">
        <f>(D120*'Electricity factors'!$B$107+E120*'Electricity factors'!$C$107)*VLOOKUP(State_Selected,States_Data,4,FALSE)/10^6</f>
        <v>0</v>
      </c>
      <c r="W117" s="482">
        <f>(I120*'Electricity factors'!$B$107+J120*'Electricity factors'!$C$107)*VLOOKUP(State_Selected,States_Data,4,FALSE)/10^6</f>
        <v>0</v>
      </c>
    </row>
    <row r="118" spans="2:23" ht="15.75" customHeight="1" hidden="1">
      <c r="B118" s="990" t="s">
        <v>285</v>
      </c>
      <c r="C118" s="991"/>
      <c r="D118" s="910"/>
      <c r="E118" s="911"/>
      <c r="F118" s="487"/>
      <c r="G118" s="990" t="s">
        <v>285</v>
      </c>
      <c r="H118" s="991"/>
      <c r="I118" s="910"/>
      <c r="J118" s="911"/>
      <c r="V118" s="55"/>
      <c r="W118" s="55"/>
    </row>
    <row r="119" spans="2:10" ht="14.25" hidden="1">
      <c r="B119" s="990" t="s">
        <v>720</v>
      </c>
      <c r="C119" s="991"/>
      <c r="D119" s="910"/>
      <c r="E119" s="911"/>
      <c r="F119" s="487"/>
      <c r="G119" s="990" t="s">
        <v>720</v>
      </c>
      <c r="H119" s="991"/>
      <c r="I119" s="910"/>
      <c r="J119" s="911"/>
    </row>
    <row r="120" spans="1:12" s="487" customFormat="1" ht="15" hidden="1" thickBot="1">
      <c r="A120" s="51"/>
      <c r="B120" s="994" t="s">
        <v>287</v>
      </c>
      <c r="C120" s="995"/>
      <c r="D120" s="912"/>
      <c r="E120" s="913"/>
      <c r="G120" s="994" t="s">
        <v>287</v>
      </c>
      <c r="H120" s="995"/>
      <c r="I120" s="912"/>
      <c r="J120" s="913"/>
      <c r="K120" s="51"/>
      <c r="L120" s="51"/>
    </row>
    <row r="121" spans="1:12" s="487" customFormat="1" ht="14.25" hidden="1">
      <c r="A121" s="51"/>
      <c r="B121" s="556"/>
      <c r="C121" s="556"/>
      <c r="D121" s="555"/>
      <c r="E121" s="555"/>
      <c r="G121" s="556"/>
      <c r="H121" s="556"/>
      <c r="I121" s="555"/>
      <c r="J121" s="555"/>
      <c r="K121" s="51"/>
      <c r="L121" s="51"/>
    </row>
    <row r="122" spans="1:12" s="487" customFormat="1" ht="14.25" hidden="1">
      <c r="A122" s="51"/>
      <c r="B122" s="51"/>
      <c r="C122" s="51"/>
      <c r="D122" s="51"/>
      <c r="E122" s="51"/>
      <c r="F122" s="51"/>
      <c r="G122" s="51"/>
      <c r="H122" s="51"/>
      <c r="I122" s="51"/>
      <c r="J122" s="51"/>
      <c r="K122" s="51"/>
      <c r="L122" s="51"/>
    </row>
    <row r="123" spans="1:12" s="487" customFormat="1" ht="12.75" hidden="1">
      <c r="A123" s="507" t="s">
        <v>723</v>
      </c>
      <c r="C123" s="485"/>
      <c r="D123" s="485"/>
      <c r="E123" s="485"/>
      <c r="F123" s="485"/>
      <c r="G123" s="507" t="s">
        <v>726</v>
      </c>
      <c r="H123" s="485"/>
      <c r="I123" s="485"/>
      <c r="J123" s="485"/>
      <c r="K123" s="486"/>
      <c r="L123" s="486"/>
    </row>
    <row r="124" spans="1:23" s="487" customFormat="1" ht="15" customHeight="1" hidden="1" thickBot="1">
      <c r="A124" s="505" t="s">
        <v>788</v>
      </c>
      <c r="E124" s="505"/>
      <c r="G124" s="505" t="s">
        <v>788</v>
      </c>
      <c r="K124" s="505"/>
      <c r="V124" s="51" t="s">
        <v>95</v>
      </c>
      <c r="W124" s="51" t="s">
        <v>96</v>
      </c>
    </row>
    <row r="125" spans="1:23" s="487" customFormat="1" ht="15.75" hidden="1" thickBot="1">
      <c r="A125" s="505" t="s">
        <v>787</v>
      </c>
      <c r="G125" s="505" t="s">
        <v>787</v>
      </c>
      <c r="V125" s="483" t="s">
        <v>254</v>
      </c>
      <c r="W125" s="484" t="s">
        <v>254</v>
      </c>
    </row>
    <row r="126" spans="2:23" s="487" customFormat="1" ht="13.5" hidden="1" thickBot="1">
      <c r="B126" s="488"/>
      <c r="C126" s="505"/>
      <c r="H126" s="488"/>
      <c r="L126" s="489"/>
      <c r="V126" s="558">
        <f>(C129*'Electricity factors'!$B$161+D129*'Electricity factors'!$C$161+E129*'Electricity factors'!$D$161)*VLOOKUP(State_Selected,States_Data,4,FALSE)/10^6</f>
        <v>0</v>
      </c>
      <c r="W126" s="559">
        <f>(H129*'Electricity factors'!$B$161+I129*'Electricity factors'!$C$161+J129*'Electricity factors'!$D$161)*VLOOKUP(State_Selected,States_Data,4,FALSE)/10^6</f>
        <v>0</v>
      </c>
    </row>
    <row r="127" spans="2:23" s="487" customFormat="1" ht="13.5" hidden="1" thickBot="1">
      <c r="B127" s="526"/>
      <c r="C127" s="973" t="s">
        <v>288</v>
      </c>
      <c r="D127" s="973"/>
      <c r="E127" s="974"/>
      <c r="F127" s="554"/>
      <c r="G127" s="526"/>
      <c r="H127" s="973" t="s">
        <v>288</v>
      </c>
      <c r="I127" s="973"/>
      <c r="J127" s="974"/>
      <c r="L127" s="524"/>
      <c r="V127" s="560">
        <f>(C130*'Electricity factors'!$B$162+D130*'Electricity factors'!$C$162+E130*'Electricity factors'!$D$162)*VLOOKUP(State_Selected,States_Data,4,FALSE)/10^6</f>
        <v>0</v>
      </c>
      <c r="W127" s="561">
        <f>(H130*'Electricity factors'!$B$162+I130*'Electricity factors'!$C$162+J130*'Electricity factors'!$D$162)*VLOOKUP(State_Selected,States_Data,4,FALSE)/10^6</f>
        <v>0</v>
      </c>
    </row>
    <row r="128" spans="2:12" s="487" customFormat="1" ht="13.5" hidden="1" thickBot="1">
      <c r="B128" s="530"/>
      <c r="C128" s="553" t="s">
        <v>704</v>
      </c>
      <c r="D128" s="553" t="s">
        <v>290</v>
      </c>
      <c r="E128" s="562" t="s">
        <v>262</v>
      </c>
      <c r="G128" s="530"/>
      <c r="H128" s="553" t="s">
        <v>704</v>
      </c>
      <c r="I128" s="553" t="s">
        <v>290</v>
      </c>
      <c r="J128" s="562" t="s">
        <v>262</v>
      </c>
      <c r="L128" s="489"/>
    </row>
    <row r="129" spans="2:10" s="487" customFormat="1" ht="12.75" hidden="1">
      <c r="B129" s="497" t="s">
        <v>724</v>
      </c>
      <c r="C129" s="902"/>
      <c r="D129" s="902"/>
      <c r="E129" s="903"/>
      <c r="G129" s="497" t="s">
        <v>724</v>
      </c>
      <c r="H129" s="902"/>
      <c r="I129" s="902"/>
      <c r="J129" s="903"/>
    </row>
    <row r="130" spans="2:10" s="487" customFormat="1" ht="13.5" hidden="1" thickBot="1">
      <c r="B130" s="502" t="s">
        <v>725</v>
      </c>
      <c r="C130" s="906"/>
      <c r="D130" s="906"/>
      <c r="E130" s="907"/>
      <c r="G130" s="502" t="s">
        <v>725</v>
      </c>
      <c r="H130" s="906"/>
      <c r="I130" s="906"/>
      <c r="J130" s="907"/>
    </row>
    <row r="131" s="487" customFormat="1" ht="12.75" hidden="1"/>
    <row r="132" s="487" customFormat="1" ht="12.75" hidden="1"/>
    <row r="133" spans="1:12" s="487" customFormat="1" ht="12.75" hidden="1">
      <c r="A133" s="507" t="s">
        <v>727</v>
      </c>
      <c r="C133" s="485"/>
      <c r="D133" s="485"/>
      <c r="E133" s="485"/>
      <c r="F133" s="485"/>
      <c r="G133" s="507" t="s">
        <v>731</v>
      </c>
      <c r="H133" s="485"/>
      <c r="I133" s="485"/>
      <c r="J133" s="485"/>
      <c r="K133" s="486"/>
      <c r="L133" s="486"/>
    </row>
    <row r="134" spans="1:23" s="487" customFormat="1" ht="15" hidden="1" thickBot="1">
      <c r="A134" s="505" t="s">
        <v>730</v>
      </c>
      <c r="G134" s="505" t="s">
        <v>730</v>
      </c>
      <c r="V134" s="51" t="s">
        <v>95</v>
      </c>
      <c r="W134" s="51" t="s">
        <v>96</v>
      </c>
    </row>
    <row r="135" spans="1:23" s="487" customFormat="1" ht="15.75" hidden="1" thickBot="1">
      <c r="A135" s="505" t="s">
        <v>729</v>
      </c>
      <c r="G135" s="505" t="s">
        <v>729</v>
      </c>
      <c r="V135" s="483" t="s">
        <v>254</v>
      </c>
      <c r="W135" s="484" t="s">
        <v>254</v>
      </c>
    </row>
    <row r="136" spans="1:23" s="487" customFormat="1" ht="12.75" hidden="1">
      <c r="A136" s="505" t="s">
        <v>728</v>
      </c>
      <c r="G136" s="505" t="s">
        <v>728</v>
      </c>
      <c r="V136" s="569">
        <f>C139*D139*E139/1000*VLOOKUP(State_Selected,States_Data,4,FALSE)/10^6</f>
        <v>0</v>
      </c>
      <c r="W136" s="570">
        <f>H139*I139*J139/1000*VLOOKUP(State_Selected,States_Data,4,FALSE)/10^6</f>
        <v>0</v>
      </c>
    </row>
    <row r="137" spans="2:23" s="487" customFormat="1" ht="13.5" hidden="1" thickBot="1">
      <c r="B137" s="488"/>
      <c r="C137" s="505"/>
      <c r="H137" s="488"/>
      <c r="V137" s="571">
        <f>C140*D140*E140/1000*VLOOKUP(State_Selected,States_Data,4,FALSE)/10^6</f>
        <v>0</v>
      </c>
      <c r="W137" s="572">
        <f>H140*I140*J140/1000*VLOOKUP(State_Selected,States_Data,4,FALSE)/10^6</f>
        <v>0</v>
      </c>
    </row>
    <row r="138" spans="2:10" s="487" customFormat="1" ht="51.75" hidden="1" thickBot="1">
      <c r="B138" s="563"/>
      <c r="C138" s="564" t="s">
        <v>291</v>
      </c>
      <c r="D138" s="564" t="s">
        <v>292</v>
      </c>
      <c r="E138" s="565" t="s">
        <v>293</v>
      </c>
      <c r="G138" s="563"/>
      <c r="H138" s="564" t="s">
        <v>291</v>
      </c>
      <c r="I138" s="564" t="s">
        <v>292</v>
      </c>
      <c r="J138" s="565" t="s">
        <v>293</v>
      </c>
    </row>
    <row r="139" spans="2:10" s="487" customFormat="1" ht="12.75" hidden="1">
      <c r="B139" s="497" t="s">
        <v>294</v>
      </c>
      <c r="C139" s="887"/>
      <c r="D139" s="566">
        <v>1</v>
      </c>
      <c r="E139" s="498">
        <v>4380</v>
      </c>
      <c r="G139" s="497" t="s">
        <v>294</v>
      </c>
      <c r="H139" s="887"/>
      <c r="I139" s="566">
        <v>1</v>
      </c>
      <c r="J139" s="498">
        <v>4380</v>
      </c>
    </row>
    <row r="140" spans="1:12" ht="15" hidden="1" thickBot="1">
      <c r="A140" s="487"/>
      <c r="B140" s="502" t="s">
        <v>38</v>
      </c>
      <c r="C140" s="914"/>
      <c r="D140" s="567">
        <v>1</v>
      </c>
      <c r="E140" s="568">
        <v>4380</v>
      </c>
      <c r="F140" s="487"/>
      <c r="G140" s="502" t="s">
        <v>38</v>
      </c>
      <c r="H140" s="914"/>
      <c r="I140" s="567">
        <v>1</v>
      </c>
      <c r="J140" s="568">
        <v>4380</v>
      </c>
      <c r="K140" s="487"/>
      <c r="L140" s="487"/>
    </row>
    <row r="141" spans="1:12" ht="14.25" hidden="1">
      <c r="A141" s="487"/>
      <c r="B141" s="487"/>
      <c r="C141" s="487"/>
      <c r="D141" s="487"/>
      <c r="E141" s="487"/>
      <c r="F141" s="487"/>
      <c r="G141" s="487"/>
      <c r="H141" s="487"/>
      <c r="I141" s="487"/>
      <c r="J141" s="487"/>
      <c r="K141" s="487"/>
      <c r="L141" s="487"/>
    </row>
    <row r="142" spans="1:12" ht="14.25" hidden="1">
      <c r="A142" s="487"/>
      <c r="B142" s="487"/>
      <c r="C142" s="487"/>
      <c r="D142" s="487"/>
      <c r="E142" s="487"/>
      <c r="F142" s="487"/>
      <c r="G142" s="487"/>
      <c r="H142" s="487"/>
      <c r="I142" s="487"/>
      <c r="J142" s="487"/>
      <c r="K142" s="487"/>
      <c r="L142" s="487"/>
    </row>
    <row r="143" ht="14.25" hidden="1"/>
    <row r="144" ht="14.25" hidden="1"/>
    <row r="145" ht="14.25" hidden="1"/>
  </sheetData>
  <sheetProtection/>
  <mergeCells count="43">
    <mergeCell ref="G118:H118"/>
    <mergeCell ref="G119:H119"/>
    <mergeCell ref="G120:H120"/>
    <mergeCell ref="B116:C116"/>
    <mergeCell ref="D24:E24"/>
    <mergeCell ref="D25:E25"/>
    <mergeCell ref="B104:C104"/>
    <mergeCell ref="B105:C105"/>
    <mergeCell ref="H127:J127"/>
    <mergeCell ref="B120:C120"/>
    <mergeCell ref="G112:H112"/>
    <mergeCell ref="G113:H113"/>
    <mergeCell ref="G114:H114"/>
    <mergeCell ref="G115:H115"/>
    <mergeCell ref="G116:H116"/>
    <mergeCell ref="G117:H117"/>
    <mergeCell ref="B102:C102"/>
    <mergeCell ref="B103:C103"/>
    <mergeCell ref="G102:H102"/>
    <mergeCell ref="G103:H103"/>
    <mergeCell ref="G104:H104"/>
    <mergeCell ref="G105:H105"/>
    <mergeCell ref="B112:C112"/>
    <mergeCell ref="B113:C113"/>
    <mergeCell ref="C127:E127"/>
    <mergeCell ref="C31:D31"/>
    <mergeCell ref="C41:D41"/>
    <mergeCell ref="D82:E82"/>
    <mergeCell ref="B114:C114"/>
    <mergeCell ref="B115:C115"/>
    <mergeCell ref="B117:C117"/>
    <mergeCell ref="B118:C118"/>
    <mergeCell ref="B119:C119"/>
    <mergeCell ref="I110:J110"/>
    <mergeCell ref="D100:E100"/>
    <mergeCell ref="D110:E110"/>
    <mergeCell ref="H17:J17"/>
    <mergeCell ref="H18:J18"/>
    <mergeCell ref="H19:J19"/>
    <mergeCell ref="H20:J20"/>
    <mergeCell ref="I82:J82"/>
    <mergeCell ref="I100:J100"/>
    <mergeCell ref="C23:E23"/>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4">
    <tabColor indexed="44"/>
  </sheetPr>
  <dimension ref="A1:U153"/>
  <sheetViews>
    <sheetView showGridLines="0" zoomScalePageLayoutView="0" workbookViewId="0" topLeftCell="A1">
      <selection activeCell="Q136" sqref="Q136"/>
    </sheetView>
  </sheetViews>
  <sheetFormatPr defaultColWidth="9.140625" defaultRowHeight="15"/>
  <cols>
    <col min="1" max="1" width="9.140625" style="575" customWidth="1"/>
    <col min="2" max="2" width="18.7109375" style="575" customWidth="1"/>
    <col min="3" max="3" width="16.00390625" style="575" customWidth="1"/>
    <col min="4" max="4" width="26.140625" style="575" customWidth="1"/>
    <col min="5" max="5" width="9.140625" style="575" customWidth="1"/>
    <col min="6" max="6" width="42.421875" style="575" customWidth="1"/>
    <col min="7" max="7" width="13.00390625" style="575" customWidth="1"/>
    <col min="8" max="8" width="9.140625" style="575" customWidth="1"/>
    <col min="9" max="9" width="25.7109375" style="575" customWidth="1"/>
    <col min="10" max="10" width="16.7109375" style="575" customWidth="1"/>
    <col min="11" max="18" width="9.140625" style="575" customWidth="1"/>
    <col min="19" max="19" width="41.7109375" style="575" customWidth="1"/>
    <col min="20" max="20" width="48.00390625" style="575" customWidth="1"/>
    <col min="21" max="21" width="40.140625" style="575" customWidth="1"/>
    <col min="22" max="16384" width="9.140625" style="575" customWidth="1"/>
  </cols>
  <sheetData>
    <row r="1" spans="1:12" ht="41.25" customHeight="1">
      <c r="A1" s="322" t="s">
        <v>323</v>
      </c>
      <c r="B1" s="322"/>
      <c r="C1" s="574"/>
      <c r="D1" s="574"/>
      <c r="E1" s="574"/>
      <c r="F1" s="574"/>
      <c r="G1" s="574"/>
      <c r="H1" s="574"/>
      <c r="I1" s="574"/>
      <c r="J1" s="574"/>
      <c r="K1" s="574"/>
      <c r="L1" s="574"/>
    </row>
    <row r="3" ht="12.75">
      <c r="B3" s="576"/>
    </row>
    <row r="4" ht="12.75">
      <c r="B4" s="577"/>
    </row>
    <row r="5" ht="12.75">
      <c r="B5" s="577"/>
    </row>
    <row r="11" ht="12.75"/>
    <row r="12" ht="12.75"/>
    <row r="13" ht="12.75"/>
    <row r="14" ht="12.75"/>
    <row r="15" ht="12.75"/>
    <row r="27" ht="13.5" thickBot="1"/>
    <row r="28" spans="7:9" ht="13.5" thickBot="1">
      <c r="G28" s="961" t="s">
        <v>614</v>
      </c>
      <c r="H28" s="962"/>
      <c r="I28" s="963"/>
    </row>
    <row r="29" spans="3:9" ht="15.75" customHeight="1" thickBot="1">
      <c r="C29" s="1004" t="s">
        <v>631</v>
      </c>
      <c r="D29" s="1005"/>
      <c r="E29" s="1006"/>
      <c r="G29" s="975" t="s">
        <v>615</v>
      </c>
      <c r="H29" s="976"/>
      <c r="I29" s="977"/>
    </row>
    <row r="30" spans="3:9" ht="15" customHeight="1">
      <c r="C30" s="915" t="s">
        <v>460</v>
      </c>
      <c r="D30" s="1000">
        <f>SUM(S42,S64,S86,S108,S124:S130)*1000</f>
        <v>0</v>
      </c>
      <c r="E30" s="1001"/>
      <c r="G30" s="978" t="s">
        <v>632</v>
      </c>
      <c r="H30" s="979"/>
      <c r="I30" s="980"/>
    </row>
    <row r="31" spans="3:9" ht="15.75" customHeight="1" thickBot="1">
      <c r="C31" s="916" t="s">
        <v>461</v>
      </c>
      <c r="D31" s="1002">
        <f>SUM(U42,U64,U86,U108,S124:S130)*1000</f>
        <v>0</v>
      </c>
      <c r="E31" s="1003"/>
      <c r="G31" s="981" t="s">
        <v>681</v>
      </c>
      <c r="H31" s="982"/>
      <c r="I31" s="983"/>
    </row>
    <row r="32" spans="4:9" ht="12.75">
      <c r="D32" s="489"/>
      <c r="E32" s="434"/>
      <c r="G32" s="588"/>
      <c r="H32" s="588"/>
      <c r="I32" s="588"/>
    </row>
    <row r="34" ht="12.75">
      <c r="A34" s="602" t="s">
        <v>734</v>
      </c>
    </row>
    <row r="36" spans="2:10" s="487" customFormat="1" ht="12.75">
      <c r="B36" s="507" t="s">
        <v>735</v>
      </c>
      <c r="C36" s="486"/>
      <c r="D36" s="486"/>
      <c r="E36" s="486"/>
      <c r="F36" s="507" t="s">
        <v>740</v>
      </c>
      <c r="G36" s="486"/>
      <c r="H36" s="486"/>
      <c r="I36" s="486"/>
      <c r="J36" s="486"/>
    </row>
    <row r="37" spans="2:6" ht="12.75">
      <c r="B37" s="576" t="s">
        <v>736</v>
      </c>
      <c r="F37" s="576" t="s">
        <v>741</v>
      </c>
    </row>
    <row r="38" spans="2:6" ht="12.75">
      <c r="B38" s="576" t="s">
        <v>738</v>
      </c>
      <c r="F38" s="576" t="s">
        <v>742</v>
      </c>
    </row>
    <row r="39" spans="2:6" ht="12.75">
      <c r="B39" s="576" t="s">
        <v>737</v>
      </c>
      <c r="F39" s="576" t="s">
        <v>743</v>
      </c>
    </row>
    <row r="40" ht="13.5" thickBot="1">
      <c r="F40" s="576"/>
    </row>
    <row r="41" spans="2:21" ht="13.5" thickBot="1">
      <c r="B41" s="491" t="s">
        <v>746</v>
      </c>
      <c r="C41" s="603" t="s">
        <v>298</v>
      </c>
      <c r="E41" s="579"/>
      <c r="F41" s="424" t="s">
        <v>745</v>
      </c>
      <c r="G41" s="603" t="s">
        <v>298</v>
      </c>
      <c r="S41" s="636" t="s">
        <v>299</v>
      </c>
      <c r="T41" s="637" t="s">
        <v>733</v>
      </c>
      <c r="U41" s="638" t="s">
        <v>458</v>
      </c>
    </row>
    <row r="42" spans="2:21" ht="13.5" thickBot="1">
      <c r="B42" s="604" t="s">
        <v>297</v>
      </c>
      <c r="C42" s="917"/>
      <c r="F42" s="614" t="s">
        <v>301</v>
      </c>
      <c r="G42" s="615"/>
      <c r="S42" s="595">
        <f>C46*'Materials factors'!$B$5+C47*'Materials factors'!$B$6+C48*'Materials factors'!$B$7+C49*'Materials factors'!$B$8+C42*'Materials factors'!$B$38</f>
        <v>0</v>
      </c>
      <c r="T42" s="581"/>
      <c r="U42" s="596">
        <f>$S42+SUM(T43:T47,T51:T54,)-G48*'Materials factors'!$B$5-G55*'Materials factors'!$B$6</f>
        <v>0</v>
      </c>
    </row>
    <row r="43" spans="2:21" ht="13.5" thickBot="1">
      <c r="B43" s="582"/>
      <c r="C43" s="583"/>
      <c r="E43" s="584"/>
      <c r="F43" s="616" t="s">
        <v>757</v>
      </c>
      <c r="G43" s="921"/>
      <c r="S43" s="595"/>
      <c r="T43" s="585">
        <f>G43*'Materials factors'!$B$15</f>
        <v>0</v>
      </c>
      <c r="U43" s="596"/>
    </row>
    <row r="44" spans="2:21" ht="12.75">
      <c r="B44" s="606" t="s">
        <v>739</v>
      </c>
      <c r="C44" s="605"/>
      <c r="E44" s="584"/>
      <c r="F44" s="616" t="s">
        <v>304</v>
      </c>
      <c r="G44" s="921"/>
      <c r="S44" s="595"/>
      <c r="T44" s="585">
        <f>G44*'Materials factors'!$B$16</f>
        <v>0</v>
      </c>
      <c r="U44" s="596"/>
    </row>
    <row r="45" spans="2:21" ht="12.75">
      <c r="B45" s="607"/>
      <c r="C45" s="608" t="s">
        <v>298</v>
      </c>
      <c r="F45" s="616" t="s">
        <v>306</v>
      </c>
      <c r="G45" s="921"/>
      <c r="S45" s="595"/>
      <c r="T45" s="585">
        <f>G45*'Materials factors'!$B$17</f>
        <v>0</v>
      </c>
      <c r="U45" s="596"/>
    </row>
    <row r="46" spans="2:21" ht="12.75">
      <c r="B46" s="625" t="s">
        <v>300</v>
      </c>
      <c r="C46" s="918">
        <f>'Materials factors'!K8/'Materials factors'!K11*C42</f>
        <v>0</v>
      </c>
      <c r="F46" s="616" t="s">
        <v>307</v>
      </c>
      <c r="G46" s="921"/>
      <c r="S46" s="595"/>
      <c r="T46" s="585">
        <f>G46*'Materials factors'!$B$18</f>
        <v>0</v>
      </c>
      <c r="U46" s="597"/>
    </row>
    <row r="47" spans="2:21" ht="12.75">
      <c r="B47" s="609" t="s">
        <v>302</v>
      </c>
      <c r="C47" s="919">
        <f>'Materials factors'!K7/'Materials factors'!K11*C42</f>
        <v>0</v>
      </c>
      <c r="F47" s="616" t="s">
        <v>308</v>
      </c>
      <c r="G47" s="921"/>
      <c r="S47" s="595"/>
      <c r="T47" s="585">
        <f>G47*'Materials factors'!$B$19</f>
        <v>0</v>
      </c>
      <c r="U47" s="597"/>
    </row>
    <row r="48" spans="2:21" ht="12.75">
      <c r="B48" s="609" t="s">
        <v>303</v>
      </c>
      <c r="C48" s="919">
        <f>'Materials factors'!K6/'Materials factors'!K11*C42</f>
        <v>0</v>
      </c>
      <c r="F48" s="616" t="s">
        <v>309</v>
      </c>
      <c r="G48" s="919">
        <f>SUM(G43:G47)</f>
        <v>0</v>
      </c>
      <c r="H48" s="586">
        <f>IF(G48&lt;=C46,"","exceeds total aggregate volume")</f>
      </c>
      <c r="S48" s="598"/>
      <c r="T48" s="581"/>
      <c r="U48" s="597"/>
    </row>
    <row r="49" spans="2:21" ht="13.5" thickBot="1">
      <c r="B49" s="611" t="s">
        <v>305</v>
      </c>
      <c r="C49" s="920">
        <f>'Materials factors'!K9/'Materials factors'!K11*C42</f>
        <v>0</v>
      </c>
      <c r="F49" s="616"/>
      <c r="G49" s="610"/>
      <c r="S49" s="595"/>
      <c r="T49" s="583"/>
      <c r="U49" s="597"/>
    </row>
    <row r="50" spans="2:21" ht="12.75">
      <c r="B50" s="612"/>
      <c r="C50" s="583"/>
      <c r="D50" s="580"/>
      <c r="F50" s="617" t="s">
        <v>310</v>
      </c>
      <c r="G50" s="618"/>
      <c r="I50" s="792"/>
      <c r="S50" s="599"/>
      <c r="T50" s="584"/>
      <c r="U50" s="597"/>
    </row>
    <row r="51" spans="6:21" ht="12.75">
      <c r="F51" s="619" t="s">
        <v>311</v>
      </c>
      <c r="G51" s="921"/>
      <c r="I51" s="792"/>
      <c r="S51" s="599"/>
      <c r="T51" s="585">
        <f>G51*'Materials factors'!$B$21</f>
        <v>0</v>
      </c>
      <c r="U51" s="597"/>
    </row>
    <row r="52" spans="6:21" ht="12.75">
      <c r="F52" s="821" t="s">
        <v>847</v>
      </c>
      <c r="G52" s="922"/>
      <c r="I52" s="792"/>
      <c r="S52" s="599"/>
      <c r="T52" s="585">
        <f>G52*'Materials factors'!$B$22</f>
        <v>0</v>
      </c>
      <c r="U52" s="597"/>
    </row>
    <row r="53" spans="6:21" ht="12.75">
      <c r="F53" s="821" t="s">
        <v>848</v>
      </c>
      <c r="G53" s="922"/>
      <c r="I53" s="792"/>
      <c r="S53" s="599"/>
      <c r="T53" s="585">
        <f>G53*'Materials factors'!$B$23</f>
        <v>0</v>
      </c>
      <c r="U53" s="597"/>
    </row>
    <row r="54" spans="6:21" ht="12.75">
      <c r="F54" s="821" t="s">
        <v>849</v>
      </c>
      <c r="G54" s="922"/>
      <c r="I54" s="792"/>
      <c r="S54" s="599"/>
      <c r="T54" s="585">
        <f>G54*'Materials factors'!$B$24</f>
        <v>0</v>
      </c>
      <c r="U54" s="597"/>
    </row>
    <row r="55" spans="6:21" ht="13.5" thickBot="1">
      <c r="F55" s="620" t="s">
        <v>455</v>
      </c>
      <c r="G55" s="920">
        <f>SUM(G51:G54)</f>
        <v>0</v>
      </c>
      <c r="H55" s="586">
        <f>IF(G55&lt;=C47,"","exceeds total cement volume")</f>
      </c>
      <c r="I55" s="792"/>
      <c r="S55" s="600"/>
      <c r="T55" s="623"/>
      <c r="U55" s="601"/>
    </row>
    <row r="58" spans="2:10" s="487" customFormat="1" ht="12.75">
      <c r="B58" s="507" t="s">
        <v>744</v>
      </c>
      <c r="C58" s="486"/>
      <c r="D58" s="486"/>
      <c r="E58" s="486"/>
      <c r="F58" s="507" t="s">
        <v>752</v>
      </c>
      <c r="G58" s="486"/>
      <c r="H58" s="486"/>
      <c r="I58" s="486"/>
      <c r="J58" s="486"/>
    </row>
    <row r="59" spans="2:6" ht="12.75">
      <c r="B59" s="576" t="s">
        <v>748</v>
      </c>
      <c r="F59" s="576" t="s">
        <v>750</v>
      </c>
    </row>
    <row r="60" spans="2:6" ht="12.75">
      <c r="B60" s="576" t="s">
        <v>749</v>
      </c>
      <c r="E60" s="581"/>
      <c r="F60" s="576" t="s">
        <v>742</v>
      </c>
    </row>
    <row r="61" spans="2:6" ht="12.75">
      <c r="B61" s="576" t="s">
        <v>797</v>
      </c>
      <c r="E61" s="581"/>
      <c r="F61" s="576" t="s">
        <v>804</v>
      </c>
    </row>
    <row r="62" ht="13.5" thickBot="1">
      <c r="E62" s="581"/>
    </row>
    <row r="63" spans="2:21" ht="13.5" thickBot="1">
      <c r="B63" s="491" t="s">
        <v>746</v>
      </c>
      <c r="C63" s="603" t="s">
        <v>298</v>
      </c>
      <c r="E63" s="587"/>
      <c r="F63" s="424" t="s">
        <v>745</v>
      </c>
      <c r="G63" s="603" t="s">
        <v>298</v>
      </c>
      <c r="I63" s="424" t="s">
        <v>806</v>
      </c>
      <c r="J63" s="603" t="s">
        <v>805</v>
      </c>
      <c r="S63" s="621" t="s">
        <v>299</v>
      </c>
      <c r="T63" s="823" t="s">
        <v>733</v>
      </c>
      <c r="U63" s="622" t="s">
        <v>458</v>
      </c>
    </row>
    <row r="64" spans="2:21" ht="13.5" thickBot="1">
      <c r="B64" s="604" t="s">
        <v>747</v>
      </c>
      <c r="C64" s="917"/>
      <c r="E64" s="584"/>
      <c r="F64" s="628" t="s">
        <v>301</v>
      </c>
      <c r="G64" s="629"/>
      <c r="I64" s="794" t="s">
        <v>798</v>
      </c>
      <c r="J64" s="669"/>
      <c r="S64" s="595">
        <f>C68*'Materials factors'!B5+C69*'Materials factors'!B9+C64*'Materials factors'!B39</f>
        <v>0</v>
      </c>
      <c r="T64" s="581"/>
      <c r="U64" s="596">
        <f>$S64+SUM(T65:T71,T75:T76)-G72*'Materials factors'!$B$5-G77*'Materials factors'!$B$9-J64*'Materials factors'!B50*'Materials factors'!B39*'Materials Module'!C64</f>
        <v>0</v>
      </c>
    </row>
    <row r="65" spans="2:21" ht="13.5" thickBot="1">
      <c r="B65" s="624"/>
      <c r="C65" s="557"/>
      <c r="E65" s="584"/>
      <c r="F65" s="616" t="s">
        <v>756</v>
      </c>
      <c r="G65" s="921"/>
      <c r="I65" s="792"/>
      <c r="S65" s="595"/>
      <c r="T65" s="585">
        <f>G65*'Materials factors'!$B$14</f>
        <v>0</v>
      </c>
      <c r="U65" s="596"/>
    </row>
    <row r="66" spans="2:21" ht="12.75">
      <c r="B66" s="606" t="s">
        <v>739</v>
      </c>
      <c r="C66" s="605"/>
      <c r="D66" s="580"/>
      <c r="E66" s="584"/>
      <c r="F66" s="616" t="s">
        <v>757</v>
      </c>
      <c r="G66" s="921"/>
      <c r="J66" s="577"/>
      <c r="K66" s="577"/>
      <c r="S66" s="595"/>
      <c r="T66" s="585">
        <f>G66*'Materials factors'!$B$15</f>
        <v>0</v>
      </c>
      <c r="U66" s="596"/>
    </row>
    <row r="67" spans="2:21" ht="12.75">
      <c r="B67" s="607"/>
      <c r="C67" s="608" t="s">
        <v>298</v>
      </c>
      <c r="D67" s="595"/>
      <c r="E67" s="581"/>
      <c r="F67" s="616" t="s">
        <v>304</v>
      </c>
      <c r="G67" s="921"/>
      <c r="S67" s="595"/>
      <c r="T67" s="585">
        <f>G67*'Materials factors'!$B$16</f>
        <v>0</v>
      </c>
      <c r="U67" s="596"/>
    </row>
    <row r="68" spans="2:21" ht="12.75">
      <c r="B68" s="626" t="s">
        <v>300</v>
      </c>
      <c r="C68" s="918">
        <f>C64*'Materials factors'!K15/'Materials factors'!K17</f>
        <v>0</v>
      </c>
      <c r="D68" s="588"/>
      <c r="E68" s="584"/>
      <c r="F68" s="616" t="s">
        <v>306</v>
      </c>
      <c r="G68" s="921"/>
      <c r="S68" s="595"/>
      <c r="T68" s="585">
        <f>G68*'Materials factors'!$B$17</f>
        <v>0</v>
      </c>
      <c r="U68" s="597"/>
    </row>
    <row r="69" spans="2:21" ht="13.5" thickBot="1">
      <c r="B69" s="627" t="s">
        <v>313</v>
      </c>
      <c r="C69" s="920">
        <f>C64*'Materials factors'!K14/'Materials factors'!K17</f>
        <v>0</v>
      </c>
      <c r="D69" s="588"/>
      <c r="E69" s="584"/>
      <c r="F69" s="616" t="s">
        <v>307</v>
      </c>
      <c r="G69" s="921"/>
      <c r="S69" s="595"/>
      <c r="T69" s="585">
        <f>G69*'Materials factors'!$B$18</f>
        <v>0</v>
      </c>
      <c r="U69" s="597"/>
    </row>
    <row r="70" spans="2:21" ht="12.75">
      <c r="B70" s="612"/>
      <c r="C70" s="583"/>
      <c r="D70" s="588"/>
      <c r="E70" s="584"/>
      <c r="F70" s="616" t="s">
        <v>308</v>
      </c>
      <c r="G70" s="921"/>
      <c r="S70" s="598"/>
      <c r="T70" s="825">
        <f>G70*'Materials factors'!$B$19</f>
        <v>0</v>
      </c>
      <c r="U70" s="597"/>
    </row>
    <row r="71" spans="2:21" ht="12.75">
      <c r="B71" s="624"/>
      <c r="C71" s="583"/>
      <c r="D71" s="588"/>
      <c r="E71" s="584"/>
      <c r="F71" s="616" t="s">
        <v>314</v>
      </c>
      <c r="G71" s="921"/>
      <c r="S71" s="595"/>
      <c r="T71" s="585">
        <f>G71*'Materials factors'!$B$20</f>
        <v>0</v>
      </c>
      <c r="U71" s="597"/>
    </row>
    <row r="72" spans="2:21" ht="12.75">
      <c r="B72" s="624"/>
      <c r="C72" s="583"/>
      <c r="D72" s="588"/>
      <c r="E72" s="584"/>
      <c r="F72" s="616" t="s">
        <v>309</v>
      </c>
      <c r="G72" s="919">
        <f>SUM(G65:G71)</f>
        <v>0</v>
      </c>
      <c r="H72" s="586">
        <f>IF(G72&lt;=C68,"","exceeds total aggregate volume")</f>
      </c>
      <c r="S72" s="599"/>
      <c r="T72" s="584"/>
      <c r="U72" s="597"/>
    </row>
    <row r="73" spans="2:21" ht="12.75">
      <c r="B73" s="624"/>
      <c r="C73" s="583"/>
      <c r="D73" s="588"/>
      <c r="E73" s="584"/>
      <c r="F73" s="616"/>
      <c r="G73" s="630"/>
      <c r="S73" s="599"/>
      <c r="T73" s="585"/>
      <c r="U73" s="597"/>
    </row>
    <row r="74" spans="6:21" ht="12.75">
      <c r="F74" s="631" t="s">
        <v>315</v>
      </c>
      <c r="G74" s="618"/>
      <c r="S74" s="599"/>
      <c r="T74" s="585"/>
      <c r="U74" s="597"/>
    </row>
    <row r="75" spans="6:21" ht="12.75">
      <c r="F75" s="616" t="s">
        <v>314</v>
      </c>
      <c r="G75" s="921"/>
      <c r="S75" s="599"/>
      <c r="T75" s="585">
        <f>G75*'Materials factors'!$B$20</f>
        <v>0</v>
      </c>
      <c r="U75" s="597"/>
    </row>
    <row r="76" spans="6:21" ht="12.75">
      <c r="F76" s="824" t="s">
        <v>850</v>
      </c>
      <c r="G76" s="922"/>
      <c r="S76" s="494"/>
      <c r="T76" s="585">
        <f>G76*'Materials factors'!$B$25</f>
        <v>0</v>
      </c>
      <c r="U76" s="641"/>
    </row>
    <row r="77" spans="6:21" ht="13.5" thickBot="1">
      <c r="F77" s="620" t="s">
        <v>459</v>
      </c>
      <c r="G77" s="920">
        <f>SUM(G75:G76)</f>
        <v>0</v>
      </c>
      <c r="H77" s="586">
        <f>IF(G77&lt;=C69,"","exceeds total bitumen volume")</f>
      </c>
      <c r="S77" s="600"/>
      <c r="T77" s="623"/>
      <c r="U77" s="822"/>
    </row>
    <row r="78" ht="12.75">
      <c r="U78" s="580"/>
    </row>
    <row r="80" spans="2:10" s="487" customFormat="1" ht="12.75">
      <c r="B80" s="507" t="s">
        <v>751</v>
      </c>
      <c r="C80" s="486"/>
      <c r="D80" s="486"/>
      <c r="E80" s="486"/>
      <c r="F80" s="507" t="s">
        <v>755</v>
      </c>
      <c r="G80" s="486"/>
      <c r="H80" s="486"/>
      <c r="I80" s="486"/>
      <c r="J80" s="486"/>
    </row>
    <row r="81" spans="2:6" ht="12.75">
      <c r="B81" s="576" t="s">
        <v>754</v>
      </c>
      <c r="F81" s="576" t="s">
        <v>741</v>
      </c>
    </row>
    <row r="82" spans="2:6" ht="12.75">
      <c r="B82" s="576" t="s">
        <v>456</v>
      </c>
      <c r="F82" s="576" t="s">
        <v>742</v>
      </c>
    </row>
    <row r="83" spans="2:6" ht="12.75">
      <c r="B83" s="576" t="s">
        <v>457</v>
      </c>
      <c r="F83" s="576" t="s">
        <v>743</v>
      </c>
    </row>
    <row r="84" ht="13.5" thickBot="1"/>
    <row r="85" spans="2:21" ht="13.5" thickBot="1">
      <c r="B85" s="491" t="s">
        <v>746</v>
      </c>
      <c r="C85" s="603" t="s">
        <v>298</v>
      </c>
      <c r="F85" s="424" t="s">
        <v>745</v>
      </c>
      <c r="G85" s="603" t="s">
        <v>298</v>
      </c>
      <c r="S85" s="636" t="s">
        <v>299</v>
      </c>
      <c r="T85" s="637" t="s">
        <v>733</v>
      </c>
      <c r="U85" s="638" t="s">
        <v>458</v>
      </c>
    </row>
    <row r="86" spans="2:21" ht="13.5" thickBot="1">
      <c r="B86" s="604" t="s">
        <v>753</v>
      </c>
      <c r="C86" s="917"/>
      <c r="F86" s="628" t="s">
        <v>301</v>
      </c>
      <c r="G86" s="629"/>
      <c r="S86" s="639">
        <f>C90*'Materials factors'!B5+C91*'Materials factors'!B6+C92*'Materials factors'!B8+C86*'Materials factors'!B38</f>
        <v>0</v>
      </c>
      <c r="T86" s="489"/>
      <c r="U86" s="640">
        <f>$S86+SUM(T87:T92,T96:T99)-G93*'Materials factors'!$B$5-G100*'Materials factors'!$B$6</f>
        <v>0</v>
      </c>
    </row>
    <row r="87" spans="2:21" ht="13.5" thickBot="1">
      <c r="B87" s="582"/>
      <c r="C87" s="583"/>
      <c r="D87" s="580"/>
      <c r="E87" s="584"/>
      <c r="F87" s="616" t="s">
        <v>756</v>
      </c>
      <c r="G87" s="921"/>
      <c r="S87" s="494"/>
      <c r="T87" s="632">
        <f>G87*'Materials factors'!$B$14</f>
        <v>0</v>
      </c>
      <c r="U87" s="641"/>
    </row>
    <row r="88" spans="2:21" ht="12.75">
      <c r="B88" s="606" t="s">
        <v>739</v>
      </c>
      <c r="C88" s="605"/>
      <c r="D88" s="580"/>
      <c r="E88" s="584"/>
      <c r="F88" s="616" t="s">
        <v>757</v>
      </c>
      <c r="G88" s="921"/>
      <c r="S88" s="494"/>
      <c r="T88" s="632">
        <f>G88*'Materials factors'!$B$15</f>
        <v>0</v>
      </c>
      <c r="U88" s="641"/>
    </row>
    <row r="89" spans="2:21" ht="12.75">
      <c r="B89" s="607"/>
      <c r="C89" s="608" t="s">
        <v>298</v>
      </c>
      <c r="D89" s="595"/>
      <c r="E89" s="581"/>
      <c r="F89" s="616" t="s">
        <v>304</v>
      </c>
      <c r="G89" s="921"/>
      <c r="S89" s="494"/>
      <c r="T89" s="632">
        <f>G89*'Materials factors'!$B$16</f>
        <v>0</v>
      </c>
      <c r="U89" s="641"/>
    </row>
    <row r="90" spans="2:21" ht="12.75">
      <c r="B90" s="626" t="s">
        <v>300</v>
      </c>
      <c r="C90" s="918">
        <f>C$86*'Materials factors'!K20/'Materials factors'!K$24</f>
        <v>0</v>
      </c>
      <c r="D90" s="588"/>
      <c r="F90" s="616" t="s">
        <v>306</v>
      </c>
      <c r="G90" s="921"/>
      <c r="S90" s="494"/>
      <c r="T90" s="632">
        <f>G90*'Materials factors'!$B$17</f>
        <v>0</v>
      </c>
      <c r="U90" s="641"/>
    </row>
    <row r="91" spans="2:21" ht="12.75">
      <c r="B91" s="633" t="s">
        <v>302</v>
      </c>
      <c r="C91" s="919">
        <f>C$86*'Materials factors'!K21/'Materials factors'!K$24</f>
        <v>0</v>
      </c>
      <c r="D91" s="588"/>
      <c r="F91" s="616" t="s">
        <v>307</v>
      </c>
      <c r="G91" s="921"/>
      <c r="S91" s="494"/>
      <c r="T91" s="632">
        <f>G91*'Materials factors'!$B$18</f>
        <v>0</v>
      </c>
      <c r="U91" s="641"/>
    </row>
    <row r="92" spans="2:21" ht="13.5" thickBot="1">
      <c r="B92" s="627" t="s">
        <v>305</v>
      </c>
      <c r="C92" s="920">
        <f>C$86*'Materials factors'!K22/'Materials factors'!K$24</f>
        <v>0</v>
      </c>
      <c r="D92" s="588"/>
      <c r="F92" s="616" t="s">
        <v>308</v>
      </c>
      <c r="G92" s="921"/>
      <c r="S92" s="494"/>
      <c r="T92" s="632">
        <f>G92*'Materials factors'!$B$19</f>
        <v>0</v>
      </c>
      <c r="U92" s="641"/>
    </row>
    <row r="93" spans="2:21" ht="12.75">
      <c r="B93" s="612"/>
      <c r="C93" s="583"/>
      <c r="D93" s="588"/>
      <c r="F93" s="616" t="s">
        <v>309</v>
      </c>
      <c r="G93" s="919">
        <f>SUM(G87:G92)</f>
        <v>0</v>
      </c>
      <c r="H93" s="586">
        <f>IF(G93&lt;=C90,"","exceeds total aggregate volume")</f>
      </c>
      <c r="S93" s="494"/>
      <c r="T93" s="489"/>
      <c r="U93" s="641"/>
    </row>
    <row r="94" spans="6:21" ht="12.75">
      <c r="F94" s="616"/>
      <c r="G94" s="630"/>
      <c r="S94" s="494"/>
      <c r="T94" s="489"/>
      <c r="U94" s="641"/>
    </row>
    <row r="95" spans="6:21" ht="12.75">
      <c r="F95" s="617" t="s">
        <v>310</v>
      </c>
      <c r="G95" s="618"/>
      <c r="S95" s="494"/>
      <c r="T95" s="489"/>
      <c r="U95" s="641"/>
    </row>
    <row r="96" spans="6:21" ht="12.75">
      <c r="F96" s="619" t="s">
        <v>311</v>
      </c>
      <c r="G96" s="921"/>
      <c r="S96" s="494"/>
      <c r="T96" s="632">
        <f>G96*'Materials factors'!$B$21</f>
        <v>0</v>
      </c>
      <c r="U96" s="641"/>
    </row>
    <row r="97" spans="6:21" ht="12.75">
      <c r="F97" s="821" t="s">
        <v>847</v>
      </c>
      <c r="G97" s="922"/>
      <c r="S97" s="494"/>
      <c r="T97" s="585">
        <f>G97*'Materials factors'!$B$22</f>
        <v>0</v>
      </c>
      <c r="U97" s="641"/>
    </row>
    <row r="98" spans="6:21" ht="12.75">
      <c r="F98" s="821" t="s">
        <v>848</v>
      </c>
      <c r="G98" s="922"/>
      <c r="S98" s="494"/>
      <c r="T98" s="585">
        <f>G98*'Materials factors'!$B$23</f>
        <v>0</v>
      </c>
      <c r="U98" s="641"/>
    </row>
    <row r="99" spans="6:21" ht="12.75">
      <c r="F99" s="821" t="s">
        <v>849</v>
      </c>
      <c r="G99" s="922"/>
      <c r="S99" s="494"/>
      <c r="T99" s="585">
        <f>G99*'Materials factors'!$B$24</f>
        <v>0</v>
      </c>
      <c r="U99" s="641"/>
    </row>
    <row r="100" spans="6:21" ht="13.5" thickBot="1">
      <c r="F100" s="620" t="s">
        <v>455</v>
      </c>
      <c r="G100" s="920">
        <f>SUM(G96:G99)</f>
        <v>0</v>
      </c>
      <c r="H100" s="586">
        <f>IF(G100&lt;=C91,"","exceeds total cement volume")</f>
      </c>
      <c r="S100" s="600"/>
      <c r="T100" s="623"/>
      <c r="U100" s="822"/>
    </row>
    <row r="101" ht="12.75">
      <c r="U101" s="580"/>
    </row>
    <row r="103" spans="2:10" s="487" customFormat="1" ht="12.75">
      <c r="B103" s="507" t="s">
        <v>760</v>
      </c>
      <c r="C103" s="486"/>
      <c r="D103" s="486"/>
      <c r="E103" s="486"/>
      <c r="F103" s="507" t="s">
        <v>761</v>
      </c>
      <c r="G103" s="486"/>
      <c r="H103" s="486"/>
      <c r="I103" s="486"/>
      <c r="J103" s="486"/>
    </row>
    <row r="104" spans="2:6" ht="12.75">
      <c r="B104" s="576" t="s">
        <v>758</v>
      </c>
      <c r="F104" s="576" t="s">
        <v>762</v>
      </c>
    </row>
    <row r="105" spans="2:6" ht="12.75">
      <c r="B105" s="576" t="s">
        <v>759</v>
      </c>
      <c r="F105" s="576" t="s">
        <v>763</v>
      </c>
    </row>
    <row r="106" ht="13.5" thickBot="1">
      <c r="F106" s="576"/>
    </row>
    <row r="107" spans="2:21" ht="13.5" thickBot="1">
      <c r="B107" s="491" t="s">
        <v>746</v>
      </c>
      <c r="C107" s="603" t="s">
        <v>298</v>
      </c>
      <c r="F107" s="424" t="s">
        <v>745</v>
      </c>
      <c r="G107" s="603" t="s">
        <v>298</v>
      </c>
      <c r="S107" s="636" t="s">
        <v>299</v>
      </c>
      <c r="T107" s="637" t="s">
        <v>733</v>
      </c>
      <c r="U107" s="638" t="s">
        <v>458</v>
      </c>
    </row>
    <row r="108" spans="2:21" ht="13.5" thickBot="1">
      <c r="B108" s="604" t="s">
        <v>317</v>
      </c>
      <c r="C108" s="917"/>
      <c r="F108" s="628" t="s">
        <v>301</v>
      </c>
      <c r="G108" s="629"/>
      <c r="S108" s="639">
        <f>C112*'Materials factors'!B5</f>
        <v>0</v>
      </c>
      <c r="T108" s="752"/>
      <c r="U108" s="641">
        <f>$S108+SUM(T109:T114)-G115*'Materials factors'!$B$5</f>
        <v>0</v>
      </c>
    </row>
    <row r="109" spans="2:21" ht="13.5" thickBot="1">
      <c r="B109" s="582"/>
      <c r="C109" s="583"/>
      <c r="D109" s="580"/>
      <c r="E109" s="584"/>
      <c r="F109" s="616" t="s">
        <v>756</v>
      </c>
      <c r="G109" s="921"/>
      <c r="S109" s="494"/>
      <c r="T109" s="632">
        <f>G109*'Materials factors'!$B$14</f>
        <v>0</v>
      </c>
      <c r="U109" s="641"/>
    </row>
    <row r="110" spans="2:21" ht="12.75">
      <c r="B110" s="606" t="s">
        <v>739</v>
      </c>
      <c r="C110" s="605"/>
      <c r="D110" s="580"/>
      <c r="E110" s="584"/>
      <c r="F110" s="616" t="s">
        <v>757</v>
      </c>
      <c r="G110" s="921"/>
      <c r="S110" s="494"/>
      <c r="T110" s="632">
        <f>G110*'Materials factors'!$B$15</f>
        <v>0</v>
      </c>
      <c r="U110" s="641"/>
    </row>
    <row r="111" spans="2:21" ht="12.75">
      <c r="B111" s="607"/>
      <c r="C111" s="608" t="s">
        <v>298</v>
      </c>
      <c r="D111" s="595"/>
      <c r="F111" s="616" t="s">
        <v>304</v>
      </c>
      <c r="G111" s="921"/>
      <c r="S111" s="494"/>
      <c r="T111" s="632">
        <f>G111*'Materials factors'!$B$16</f>
        <v>0</v>
      </c>
      <c r="U111" s="641"/>
    </row>
    <row r="112" spans="2:21" ht="13.5" thickBot="1">
      <c r="B112" s="750" t="s">
        <v>300</v>
      </c>
      <c r="C112" s="923">
        <f>C108</f>
        <v>0</v>
      </c>
      <c r="D112" s="589"/>
      <c r="F112" s="616" t="s">
        <v>306</v>
      </c>
      <c r="G112" s="921"/>
      <c r="S112" s="494"/>
      <c r="T112" s="632">
        <f>G112*'Materials factors'!$B$17</f>
        <v>0</v>
      </c>
      <c r="U112" s="753"/>
    </row>
    <row r="113" spans="2:21" ht="12.75">
      <c r="B113" s="751"/>
      <c r="C113" s="581"/>
      <c r="D113" s="590"/>
      <c r="F113" s="616" t="s">
        <v>307</v>
      </c>
      <c r="G113" s="921"/>
      <c r="S113" s="494"/>
      <c r="T113" s="632">
        <f>G113*'Materials factors'!$B$18</f>
        <v>0</v>
      </c>
      <c r="U113" s="495"/>
    </row>
    <row r="114" spans="2:21" ht="13.5" thickBot="1">
      <c r="B114" s="624"/>
      <c r="C114" s="583"/>
      <c r="D114" s="588"/>
      <c r="F114" s="616" t="s">
        <v>308</v>
      </c>
      <c r="G114" s="921"/>
      <c r="S114" s="496"/>
      <c r="T114" s="642">
        <f>G114*'Materials factors'!$B$19</f>
        <v>0</v>
      </c>
      <c r="U114" s="643"/>
    </row>
    <row r="115" spans="6:21" ht="13.5" thickBot="1">
      <c r="F115" s="620" t="s">
        <v>309</v>
      </c>
      <c r="G115" s="920">
        <f>SUM(G109:G114)</f>
        <v>0</v>
      </c>
      <c r="H115" s="586">
        <f>IF(G115&lt;=C112,"","exceeds total aggregate volume")</f>
      </c>
      <c r="U115" s="580"/>
    </row>
    <row r="116" ht="12.75">
      <c r="U116" s="580"/>
    </row>
    <row r="118" spans="1:10" s="487" customFormat="1" ht="12.75">
      <c r="A118" s="754" t="s">
        <v>732</v>
      </c>
      <c r="B118" s="486"/>
      <c r="C118" s="486"/>
      <c r="D118" s="486"/>
      <c r="E118" s="486"/>
      <c r="F118" s="486"/>
      <c r="G118" s="486"/>
      <c r="H118" s="486"/>
      <c r="I118" s="486"/>
      <c r="J118" s="486"/>
    </row>
    <row r="119" ht="12.75">
      <c r="B119" s="576" t="s">
        <v>764</v>
      </c>
    </row>
    <row r="120" ht="12.75">
      <c r="B120" s="576" t="s">
        <v>766</v>
      </c>
    </row>
    <row r="121" ht="12.75">
      <c r="B121" s="576" t="s">
        <v>767</v>
      </c>
    </row>
    <row r="122" ht="13.5" thickBot="1"/>
    <row r="123" spans="2:19" ht="13.5" thickBot="1">
      <c r="B123" s="491" t="s">
        <v>765</v>
      </c>
      <c r="C123" s="603" t="s">
        <v>298</v>
      </c>
      <c r="S123" s="756" t="s">
        <v>299</v>
      </c>
    </row>
    <row r="124" spans="2:19" ht="12.75">
      <c r="B124" s="755" t="s">
        <v>319</v>
      </c>
      <c r="C124" s="924"/>
      <c r="S124" s="757">
        <f>C124*'Materials factors'!B5</f>
        <v>0</v>
      </c>
    </row>
    <row r="125" spans="2:19" ht="12.75">
      <c r="B125" s="633" t="s">
        <v>303</v>
      </c>
      <c r="C125" s="921"/>
      <c r="S125" s="757">
        <f>C125*'Materials factors'!B7</f>
        <v>0</v>
      </c>
    </row>
    <row r="126" spans="2:19" ht="12.75">
      <c r="B126" s="633" t="s">
        <v>302</v>
      </c>
      <c r="C126" s="921"/>
      <c r="S126" s="757">
        <f>C126*'Materials factors'!B6</f>
        <v>0</v>
      </c>
    </row>
    <row r="127" spans="2:19" ht="12.75">
      <c r="B127" s="633" t="s">
        <v>322</v>
      </c>
      <c r="C127" s="921"/>
      <c r="S127" s="757">
        <f>C127*'Materials factors'!B11</f>
        <v>0</v>
      </c>
    </row>
    <row r="128" spans="2:19" ht="12.75">
      <c r="B128" s="619" t="s">
        <v>320</v>
      </c>
      <c r="C128" s="921"/>
      <c r="S128" s="757">
        <f>C128*'Materials factors'!$B$10</f>
        <v>0</v>
      </c>
    </row>
    <row r="129" spans="2:19" ht="12.75">
      <c r="B129" s="616" t="s">
        <v>321</v>
      </c>
      <c r="C129" s="921"/>
      <c r="S129" s="757">
        <f>C129*'Materials factors'!$B$9</f>
        <v>0</v>
      </c>
    </row>
    <row r="130" spans="2:19" ht="13.5" thickBot="1">
      <c r="B130" s="620" t="s">
        <v>313</v>
      </c>
      <c r="C130" s="925"/>
      <c r="S130" s="758">
        <f>C130*'Materials factors'!B9</f>
        <v>0</v>
      </c>
    </row>
    <row r="134" ht="13.5" thickBot="1"/>
    <row r="135" spans="19:20" ht="12.75">
      <c r="S135" s="756" t="s">
        <v>916</v>
      </c>
      <c r="T135" s="956" t="s">
        <v>488</v>
      </c>
    </row>
    <row r="136" spans="19:20" ht="12.75">
      <c r="S136" s="591" t="s">
        <v>339</v>
      </c>
      <c r="T136" s="957"/>
    </row>
    <row r="137" spans="19:20" ht="12.75">
      <c r="S137" s="592" t="s">
        <v>319</v>
      </c>
      <c r="T137" s="958">
        <f>SUM(C46,C68,C90,C112,C124)-SUM(G48,G72,G93,G115)</f>
        <v>0</v>
      </c>
    </row>
    <row r="138" spans="19:20" ht="12.75">
      <c r="S138" s="593" t="s">
        <v>302</v>
      </c>
      <c r="T138" s="958">
        <f>SUM(C47,C91,C126)-SUM(G55,G100)</f>
        <v>0</v>
      </c>
    </row>
    <row r="139" spans="19:20" ht="12.75">
      <c r="S139" s="593" t="s">
        <v>303</v>
      </c>
      <c r="T139" s="958">
        <f>SUM(C48,C125)</f>
        <v>0</v>
      </c>
    </row>
    <row r="140" spans="19:20" ht="12.75">
      <c r="S140" s="593" t="s">
        <v>305</v>
      </c>
      <c r="T140" s="958">
        <f>SUM(C49,C92)</f>
        <v>0</v>
      </c>
    </row>
    <row r="141" spans="19:20" ht="12.75">
      <c r="S141" s="593" t="s">
        <v>313</v>
      </c>
      <c r="T141" s="958">
        <f>SUM(C69,C130,C129)-G77</f>
        <v>0</v>
      </c>
    </row>
    <row r="142" spans="19:20" ht="12.75">
      <c r="S142" s="593" t="s">
        <v>320</v>
      </c>
      <c r="T142" s="958">
        <f>C128</f>
        <v>0</v>
      </c>
    </row>
    <row r="143" spans="19:20" ht="12.75">
      <c r="S143" s="593" t="s">
        <v>322</v>
      </c>
      <c r="T143" s="958">
        <f>C127</f>
        <v>0</v>
      </c>
    </row>
    <row r="144" spans="19:20" ht="12.75">
      <c r="S144" s="593"/>
      <c r="T144" s="958"/>
    </row>
    <row r="145" spans="19:20" ht="12.75">
      <c r="S145" s="594" t="s">
        <v>341</v>
      </c>
      <c r="T145" s="958"/>
    </row>
    <row r="146" spans="19:20" ht="12.75">
      <c r="S146" s="593" t="s">
        <v>686</v>
      </c>
      <c r="T146" s="958">
        <f>SUM(G65,G87,G109)</f>
        <v>0</v>
      </c>
    </row>
    <row r="147" spans="19:20" ht="12.75">
      <c r="S147" s="593" t="s">
        <v>687</v>
      </c>
      <c r="T147" s="958">
        <f>SUM(G43,G66,G88,G110)</f>
        <v>0</v>
      </c>
    </row>
    <row r="148" spans="19:20" ht="12.75">
      <c r="S148" s="593" t="s">
        <v>345</v>
      </c>
      <c r="T148" s="958">
        <f>SUM(G44,G67,G89,G111)</f>
        <v>0</v>
      </c>
    </row>
    <row r="149" spans="19:20" ht="12.75">
      <c r="S149" s="593" t="s">
        <v>346</v>
      </c>
      <c r="T149" s="958">
        <f>SUM(G45,G68,G90,G112)</f>
        <v>0</v>
      </c>
    </row>
    <row r="150" spans="19:20" ht="12.75">
      <c r="S150" s="593" t="s">
        <v>347</v>
      </c>
      <c r="T150" s="958">
        <f>SUM(G46,G69,G91,G113)</f>
        <v>0</v>
      </c>
    </row>
    <row r="151" spans="19:20" ht="12.75">
      <c r="S151" s="593" t="s">
        <v>348</v>
      </c>
      <c r="T151" s="958">
        <f>SUM(G47,G70,G92,G114)</f>
        <v>0</v>
      </c>
    </row>
    <row r="152" spans="19:20" ht="12.75">
      <c r="S152" s="593" t="s">
        <v>350</v>
      </c>
      <c r="T152" s="958">
        <f>SUM(G71,G75)</f>
        <v>0</v>
      </c>
    </row>
    <row r="153" spans="19:20" ht="13.5" thickBot="1">
      <c r="S153" s="959" t="s">
        <v>351</v>
      </c>
      <c r="T153" s="960">
        <f>SUM(G51,G96)</f>
        <v>0</v>
      </c>
    </row>
  </sheetData>
  <sheetProtection/>
  <mergeCells count="7">
    <mergeCell ref="G31:I31"/>
    <mergeCell ref="G28:I28"/>
    <mergeCell ref="G29:I29"/>
    <mergeCell ref="G30:I30"/>
    <mergeCell ref="D30:E30"/>
    <mergeCell ref="D31:E31"/>
    <mergeCell ref="C29:E29"/>
  </mergeCells>
  <conditionalFormatting sqref="G115">
    <cfRule type="cellIs" priority="13" dxfId="0" operator="lessThanOrEqual" stopIfTrue="1">
      <formula>$C$112</formula>
    </cfRule>
    <cfRule type="cellIs" priority="14" dxfId="42" operator="greaterThan" stopIfTrue="1">
      <formula>$C$112</formula>
    </cfRule>
  </conditionalFormatting>
  <conditionalFormatting sqref="G93">
    <cfRule type="cellIs" priority="9" dxfId="0" operator="lessThanOrEqual" stopIfTrue="1">
      <formula>$C$90</formula>
    </cfRule>
    <cfRule type="cellIs" priority="10" dxfId="42" operator="greaterThan" stopIfTrue="1">
      <formula>$C$90</formula>
    </cfRule>
  </conditionalFormatting>
  <conditionalFormatting sqref="G100">
    <cfRule type="cellIs" priority="11" dxfId="0" operator="lessThanOrEqual" stopIfTrue="1">
      <formula>$C$91</formula>
    </cfRule>
    <cfRule type="cellIs" priority="12" dxfId="42" operator="greaterThan" stopIfTrue="1">
      <formula>$C$91</formula>
    </cfRule>
  </conditionalFormatting>
  <conditionalFormatting sqref="G72">
    <cfRule type="cellIs" priority="5" dxfId="0" operator="lessThanOrEqual" stopIfTrue="1">
      <formula>$C$68</formula>
    </cfRule>
    <cfRule type="cellIs" priority="6" dxfId="42" operator="greaterThan" stopIfTrue="1">
      <formula>$C$68</formula>
    </cfRule>
  </conditionalFormatting>
  <conditionalFormatting sqref="G77">
    <cfRule type="cellIs" priority="7" dxfId="0" operator="lessThanOrEqual" stopIfTrue="1">
      <formula>$C$69</formula>
    </cfRule>
    <cfRule type="cellIs" priority="8" dxfId="42" operator="greaterThan" stopIfTrue="1">
      <formula>$C$69</formula>
    </cfRule>
  </conditionalFormatting>
  <conditionalFormatting sqref="G48">
    <cfRule type="cellIs" priority="1" dxfId="0" operator="lessThanOrEqual" stopIfTrue="1">
      <formula>$C$46</formula>
    </cfRule>
    <cfRule type="cellIs" priority="2" dxfId="42" operator="greaterThan" stopIfTrue="1">
      <formula>$C$46</formula>
    </cfRule>
  </conditionalFormatting>
  <conditionalFormatting sqref="G55">
    <cfRule type="cellIs" priority="3" dxfId="0" operator="lessThanOrEqual" stopIfTrue="1">
      <formula>$C$47</formula>
    </cfRule>
    <cfRule type="cellIs" priority="4" dxfId="42" operator="greaterThan" stopIfTrue="1">
      <formula>$C$47</formula>
    </cfRule>
  </conditionalFormatting>
  <printOptions/>
  <pageMargins left="0.75" right="0.75" top="1" bottom="1" header="0.5" footer="0.5"/>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sheetPr codeName="Sheet13">
    <tabColor indexed="44"/>
  </sheetPr>
  <dimension ref="A1:BW287"/>
  <sheetViews>
    <sheetView zoomScalePageLayoutView="0" workbookViewId="0" topLeftCell="A1">
      <selection activeCell="A1" sqref="A1"/>
    </sheetView>
  </sheetViews>
  <sheetFormatPr defaultColWidth="9.140625" defaultRowHeight="15"/>
  <cols>
    <col min="1" max="1" width="9.140625" style="218" customWidth="1"/>
    <col min="2" max="2" width="41.140625" style="218" customWidth="1"/>
    <col min="3" max="3" width="14.00390625" style="218" bestFit="1" customWidth="1"/>
    <col min="4" max="4" width="14.57421875" style="218" customWidth="1"/>
    <col min="5" max="5" width="11.140625" style="218" customWidth="1"/>
    <col min="6" max="6" width="10.140625" style="218" customWidth="1"/>
    <col min="7" max="7" width="3.28125" style="218" customWidth="1"/>
    <col min="8" max="8" width="15.8515625" style="218" customWidth="1"/>
    <col min="9" max="9" width="22.7109375" style="218" customWidth="1"/>
    <col min="10" max="10" width="9.140625" style="218" customWidth="1"/>
    <col min="11" max="11" width="12.57421875" style="218" customWidth="1"/>
    <col min="12" max="15" width="9.140625" style="218" customWidth="1"/>
    <col min="16" max="16" width="30.7109375" style="218" customWidth="1"/>
    <col min="17" max="17" width="12.7109375" style="218" customWidth="1"/>
    <col min="18" max="18" width="14.28125" style="218" bestFit="1" customWidth="1"/>
    <col min="19" max="19" width="15.421875" style="218" customWidth="1"/>
    <col min="20" max="20" width="11.421875" style="218" customWidth="1"/>
    <col min="21" max="21" width="10.57421875" style="218" customWidth="1"/>
    <col min="22" max="22" width="11.00390625" style="218" customWidth="1"/>
    <col min="23" max="23" width="19.00390625" style="218" customWidth="1"/>
    <col min="24" max="24" width="8.8515625" style="218" customWidth="1"/>
    <col min="25" max="25" width="13.28125" style="218" customWidth="1"/>
    <col min="26" max="26" width="11.421875" style="218" customWidth="1"/>
    <col min="27" max="27" width="21.57421875" style="218" customWidth="1"/>
    <col min="28" max="30" width="9.140625" style="218" customWidth="1"/>
    <col min="31" max="31" width="26.00390625" style="218" customWidth="1"/>
    <col min="32" max="32" width="5.140625" style="218" customWidth="1"/>
    <col min="33" max="33" width="12.421875" style="218" customWidth="1"/>
    <col min="34" max="34" width="5.421875" style="218" customWidth="1"/>
    <col min="35" max="75" width="4.140625" style="329" customWidth="1"/>
    <col min="76" max="78" width="4.421875" style="218" bestFit="1" customWidth="1"/>
    <col min="79" max="79" width="5.00390625" style="218" bestFit="1" customWidth="1"/>
    <col min="80" max="85" width="4.421875" style="218" bestFit="1" customWidth="1"/>
    <col min="86" max="16384" width="9.140625" style="218" customWidth="1"/>
  </cols>
  <sheetData>
    <row r="1" s="323" customFormat="1" ht="41.25" customHeight="1">
      <c r="A1" s="322" t="s">
        <v>330</v>
      </c>
    </row>
    <row r="2" s="51" customFormat="1" ht="36" customHeight="1"/>
    <row r="3" s="51" customFormat="1" ht="15">
      <c r="A3" s="50"/>
    </row>
    <row r="4" s="51" customFormat="1" ht="14.25"/>
    <row r="5" s="51" customFormat="1" ht="14.25"/>
    <row r="6" s="51" customFormat="1" ht="14.25"/>
    <row r="7" s="51" customFormat="1" ht="14.25"/>
    <row r="8" s="51" customFormat="1" ht="14.25"/>
    <row r="9" s="51" customFormat="1" ht="14.25"/>
    <row r="10" s="51" customFormat="1" ht="15" thickBot="1"/>
    <row r="11" spans="26:28" s="51" customFormat="1" ht="15" thickBot="1">
      <c r="Z11" s="153" t="str">
        <f>State_Selected</f>
        <v>UNITED STATES</v>
      </c>
      <c r="AA11" s="324" t="s">
        <v>102</v>
      </c>
      <c r="AB11" s="325"/>
    </row>
    <row r="12" spans="2:28" s="51" customFormat="1" ht="15.75" customHeight="1" thickBot="1">
      <c r="B12" s="141" t="s">
        <v>623</v>
      </c>
      <c r="G12" s="961" t="s">
        <v>614</v>
      </c>
      <c r="H12" s="962"/>
      <c r="I12" s="963"/>
      <c r="J12" s="317"/>
      <c r="K12" s="317"/>
      <c r="L12" s="317"/>
      <c r="M12" s="317"/>
      <c r="N12" s="54"/>
      <c r="Z12" s="152">
        <f>'Title Page'!D30</f>
        <v>2010</v>
      </c>
      <c r="AA12" s="326" t="s">
        <v>490</v>
      </c>
      <c r="AB12" s="327"/>
    </row>
    <row r="13" spans="7:14" ht="12.75">
      <c r="G13" s="975" t="s">
        <v>615</v>
      </c>
      <c r="H13" s="976"/>
      <c r="I13" s="977"/>
      <c r="J13" s="316"/>
      <c r="K13" s="316"/>
      <c r="L13" s="316"/>
      <c r="M13" s="316"/>
      <c r="N13" s="328"/>
    </row>
    <row r="14" spans="7:14" ht="12.75">
      <c r="G14" s="978" t="s">
        <v>632</v>
      </c>
      <c r="H14" s="979"/>
      <c r="I14" s="980"/>
      <c r="J14" s="316"/>
      <c r="K14" s="316"/>
      <c r="L14" s="316"/>
      <c r="M14" s="316"/>
      <c r="N14" s="328"/>
    </row>
    <row r="15" spans="7:14" ht="15.75" customHeight="1" thickBot="1">
      <c r="G15" s="981" t="s">
        <v>681</v>
      </c>
      <c r="H15" s="982"/>
      <c r="I15" s="983"/>
      <c r="J15" s="316"/>
      <c r="K15" s="316"/>
      <c r="L15" s="316"/>
      <c r="M15" s="316"/>
      <c r="N15" s="328"/>
    </row>
    <row r="16" spans="10:14" ht="13.5" thickBot="1">
      <c r="J16" s="328"/>
      <c r="K16" s="328"/>
      <c r="L16" s="328"/>
      <c r="M16" s="328"/>
      <c r="N16" s="328"/>
    </row>
    <row r="17" spans="2:4" ht="15" customHeight="1">
      <c r="B17" s="1007" t="s">
        <v>622</v>
      </c>
      <c r="C17" s="1008"/>
      <c r="D17" s="1009"/>
    </row>
    <row r="18" spans="2:4" ht="14.25">
      <c r="B18" s="926" t="s">
        <v>460</v>
      </c>
      <c r="C18" s="1016">
        <f>OnRoadTier2_BS</f>
        <v>0</v>
      </c>
      <c r="D18" s="1017"/>
    </row>
    <row r="19" spans="2:4" ht="15" thickBot="1">
      <c r="B19" s="927" t="s">
        <v>461</v>
      </c>
      <c r="C19" s="1018">
        <f>OnRoadTier2_Mit</f>
        <v>0</v>
      </c>
      <c r="D19" s="1019"/>
    </row>
    <row r="20" ht="13.5" thickBot="1"/>
    <row r="21" spans="1:75" s="335" customFormat="1" ht="33" customHeight="1" hidden="1">
      <c r="A21" s="334" t="s">
        <v>900</v>
      </c>
      <c r="B21" s="334"/>
      <c r="C21" s="334"/>
      <c r="D21" s="334"/>
      <c r="E21" s="334"/>
      <c r="F21" s="334"/>
      <c r="G21" s="334"/>
      <c r="H21" s="334"/>
      <c r="I21" s="334"/>
      <c r="AA21" s="204" t="s">
        <v>495</v>
      </c>
      <c r="AB21" s="780"/>
      <c r="AC21" s="780"/>
      <c r="AD21" s="780"/>
      <c r="AE21" s="779"/>
      <c r="AI21" s="784"/>
      <c r="AJ21" s="784"/>
      <c r="AK21" s="784"/>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84"/>
    </row>
    <row r="22" spans="1:75" s="337" customFormat="1" ht="18" hidden="1">
      <c r="A22" s="336"/>
      <c r="B22" s="336"/>
      <c r="C22" s="336"/>
      <c r="D22" s="336"/>
      <c r="E22" s="336"/>
      <c r="F22" s="336"/>
      <c r="G22" s="336"/>
      <c r="H22" s="336"/>
      <c r="I22" s="336"/>
      <c r="AA22" s="310"/>
      <c r="AB22" s="311"/>
      <c r="AC22" s="311"/>
      <c r="AD22" s="311"/>
      <c r="AE22" s="312"/>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row>
    <row r="23" spans="2:31" ht="13.5" customHeight="1" hidden="1" thickBot="1">
      <c r="B23" s="508" t="s">
        <v>644</v>
      </c>
      <c r="AA23" s="149" t="s">
        <v>246</v>
      </c>
      <c r="AB23" s="150" t="s">
        <v>247</v>
      </c>
      <c r="AC23" s="150" t="s">
        <v>492</v>
      </c>
      <c r="AD23" s="150" t="s">
        <v>493</v>
      </c>
      <c r="AE23" s="151" t="s">
        <v>494</v>
      </c>
    </row>
    <row r="24" spans="1:75" s="339" customFormat="1" ht="12.75" hidden="1">
      <c r="A24" s="218"/>
      <c r="B24" s="141" t="s">
        <v>634</v>
      </c>
      <c r="C24" s="218"/>
      <c r="D24" s="218"/>
      <c r="E24" s="218"/>
      <c r="F24" s="218"/>
      <c r="G24" s="218"/>
      <c r="H24" s="218"/>
      <c r="I24" s="218"/>
      <c r="J24" s="218"/>
      <c r="K24" s="218"/>
      <c r="L24" s="218"/>
      <c r="M24" s="218"/>
      <c r="N24" s="218"/>
      <c r="Y24" s="218"/>
      <c r="Z24" s="218"/>
      <c r="AB24" s="339">
        <v>1</v>
      </c>
      <c r="AC24" s="339">
        <v>2</v>
      </c>
      <c r="AD24" s="339">
        <v>3</v>
      </c>
      <c r="AE24" s="339">
        <v>4</v>
      </c>
      <c r="AF24" s="218"/>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row>
    <row r="25" spans="1:75" s="339" customFormat="1" ht="13.5" hidden="1" thickBot="1">
      <c r="A25" s="218"/>
      <c r="B25" s="141" t="s">
        <v>906</v>
      </c>
      <c r="C25" s="218"/>
      <c r="D25" s="218"/>
      <c r="E25" s="218"/>
      <c r="F25" s="218"/>
      <c r="G25" s="218"/>
      <c r="H25" s="218"/>
      <c r="I25" s="218"/>
      <c r="J25" s="218"/>
      <c r="K25" s="218"/>
      <c r="L25" s="218"/>
      <c r="M25" s="218"/>
      <c r="N25" s="218"/>
      <c r="Y25" s="218"/>
      <c r="Z25" s="218"/>
      <c r="AF25" s="218"/>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row>
    <row r="26" spans="8:31" ht="13.5" hidden="1" thickBot="1">
      <c r="H26" s="341"/>
      <c r="P26" s="218" t="s">
        <v>633</v>
      </c>
      <c r="Z26" s="218">
        <v>1</v>
      </c>
      <c r="AA26" s="153" t="s">
        <v>497</v>
      </c>
      <c r="AB26" s="342">
        <f aca="true" t="shared" si="0" ref="AB26:AE34">VLOOKUP($Z26*10+AB$24,$AD$58:$BM$96,6+$Z$12-1990,FALSE)</f>
        <v>25</v>
      </c>
      <c r="AC26" s="342">
        <f t="shared" si="0"/>
        <v>18.85</v>
      </c>
      <c r="AD26" s="342">
        <f t="shared" si="0"/>
        <v>10.021</v>
      </c>
      <c r="AE26" s="343">
        <f t="shared" si="0"/>
        <v>6</v>
      </c>
    </row>
    <row r="27" spans="2:31" ht="26.25" hidden="1" thickBot="1">
      <c r="B27" s="219" t="s">
        <v>491</v>
      </c>
      <c r="C27" s="221"/>
      <c r="D27" s="308"/>
      <c r="E27" s="308"/>
      <c r="F27" s="308"/>
      <c r="G27" s="328"/>
      <c r="H27" s="308"/>
      <c r="P27" s="254" t="s">
        <v>491</v>
      </c>
      <c r="Q27" s="255" t="s">
        <v>103</v>
      </c>
      <c r="R27" s="255" t="s">
        <v>247</v>
      </c>
      <c r="S27" s="255" t="s">
        <v>492</v>
      </c>
      <c r="T27" s="255" t="s">
        <v>493</v>
      </c>
      <c r="U27" s="256" t="s">
        <v>494</v>
      </c>
      <c r="W27" s="257" t="s">
        <v>232</v>
      </c>
      <c r="Y27" s="257" t="s">
        <v>573</v>
      </c>
      <c r="Z27" s="218">
        <v>2</v>
      </c>
      <c r="AA27" s="145" t="s">
        <v>498</v>
      </c>
      <c r="AB27" s="344">
        <f>VLOOKUP($Z27*10+AB$24,$AD$58:$BM$96,6+$Z$12-1990,FALSE)</f>
        <v>27.25</v>
      </c>
      <c r="AC27" s="344">
        <f t="shared" si="0"/>
        <v>20.5465</v>
      </c>
      <c r="AD27" s="344" t="str">
        <f t="shared" si="0"/>
        <v>n/a</v>
      </c>
      <c r="AE27" s="345" t="str">
        <f t="shared" si="0"/>
        <v>n/a</v>
      </c>
    </row>
    <row r="28" spans="1:31" ht="15" customHeight="1" hidden="1">
      <c r="A28" s="339"/>
      <c r="B28" s="227" t="s">
        <v>627</v>
      </c>
      <c r="C28" s="928"/>
      <c r="D28" s="346"/>
      <c r="E28" s="987" t="s">
        <v>901</v>
      </c>
      <c r="F28" s="1023"/>
      <c r="G28" s="1023"/>
      <c r="H28" s="988"/>
      <c r="P28" s="227" t="s">
        <v>248</v>
      </c>
      <c r="Q28" s="347">
        <f>VLOOKUP("Gasoline (all)",Fuel_Data,2,FALSE)</f>
        <v>8810</v>
      </c>
      <c r="R28" s="347"/>
      <c r="S28" s="347"/>
      <c r="T28" s="347"/>
      <c r="U28" s="348"/>
      <c r="W28" s="349"/>
      <c r="Y28" s="349">
        <f>Q28*C28/1000</f>
        <v>0</v>
      </c>
      <c r="Z28" s="218">
        <v>3</v>
      </c>
      <c r="AA28" s="145" t="s">
        <v>499</v>
      </c>
      <c r="AB28" s="344">
        <f t="shared" si="0"/>
        <v>36.25</v>
      </c>
      <c r="AC28" s="344">
        <f t="shared" si="0"/>
        <v>27.3325</v>
      </c>
      <c r="AD28" s="344" t="str">
        <f t="shared" si="0"/>
        <v>n/a</v>
      </c>
      <c r="AE28" s="345" t="str">
        <f t="shared" si="0"/>
        <v>n/a</v>
      </c>
    </row>
    <row r="29" spans="2:31" ht="14.25" hidden="1">
      <c r="B29" s="228" t="s">
        <v>628</v>
      </c>
      <c r="C29" s="929"/>
      <c r="D29" s="346"/>
      <c r="E29" s="811" t="s">
        <v>815</v>
      </c>
      <c r="F29" s="807"/>
      <c r="G29" s="807"/>
      <c r="H29" s="812"/>
      <c r="I29" s="339"/>
      <c r="P29" s="228" t="s">
        <v>249</v>
      </c>
      <c r="Q29" s="347">
        <f>VLOOKUP("Diesel",Fuel_Data,2,FALSE)</f>
        <v>10150</v>
      </c>
      <c r="R29" s="347"/>
      <c r="S29" s="351"/>
      <c r="T29" s="351"/>
      <c r="U29" s="352"/>
      <c r="V29" s="339"/>
      <c r="W29" s="353"/>
      <c r="Y29" s="353">
        <f>Q29*C29/1000</f>
        <v>0</v>
      </c>
      <c r="Z29" s="218">
        <v>4</v>
      </c>
      <c r="AA29" s="145" t="s">
        <v>500</v>
      </c>
      <c r="AB29" s="344">
        <f t="shared" si="0"/>
        <v>58.6275</v>
      </c>
      <c r="AC29" s="344">
        <f t="shared" si="0"/>
        <v>44.205135</v>
      </c>
      <c r="AD29" s="344" t="str">
        <f t="shared" si="0"/>
        <v>n/a</v>
      </c>
      <c r="AE29" s="345" t="str">
        <f t="shared" si="0"/>
        <v>n/a</v>
      </c>
    </row>
    <row r="30" spans="2:31" ht="15" hidden="1" thickBot="1">
      <c r="B30" s="228" t="s">
        <v>626</v>
      </c>
      <c r="C30" s="929"/>
      <c r="D30" s="346"/>
      <c r="E30" s="808" t="s">
        <v>814</v>
      </c>
      <c r="F30" s="809"/>
      <c r="G30" s="809"/>
      <c r="H30" s="810"/>
      <c r="P30" s="228" t="s">
        <v>496</v>
      </c>
      <c r="Q30" s="351">
        <f>VLOOKUP("CNG",Fuel_Data,2,FALSE)</f>
        <v>54500</v>
      </c>
      <c r="R30" s="351"/>
      <c r="S30" s="351"/>
      <c r="T30" s="351"/>
      <c r="U30" s="352"/>
      <c r="W30" s="353"/>
      <c r="Y30" s="353">
        <f>Q30*C30/1000</f>
        <v>0</v>
      </c>
      <c r="Z30" s="218">
        <v>5</v>
      </c>
      <c r="AA30" s="145" t="s">
        <v>501</v>
      </c>
      <c r="AB30" s="344">
        <f t="shared" si="0"/>
        <v>30.625</v>
      </c>
      <c r="AC30" s="344">
        <f t="shared" si="0"/>
        <v>23.09125</v>
      </c>
      <c r="AD30" s="344">
        <f t="shared" si="0"/>
        <v>11.446</v>
      </c>
      <c r="AE30" s="345">
        <f t="shared" si="0"/>
        <v>8.641</v>
      </c>
    </row>
    <row r="31" spans="2:31" ht="15" hidden="1" thickBot="1">
      <c r="B31" s="229" t="s">
        <v>514</v>
      </c>
      <c r="C31" s="930"/>
      <c r="D31" s="346"/>
      <c r="E31" s="346"/>
      <c r="F31" s="346"/>
      <c r="G31" s="328"/>
      <c r="H31" s="346"/>
      <c r="P31" s="229" t="s">
        <v>514</v>
      </c>
      <c r="Q31" s="354">
        <f>VLOOKUP("Grid Electricity",Fuel_Data,2,FALSE)</f>
        <v>623.7751878374099</v>
      </c>
      <c r="R31" s="354"/>
      <c r="S31" s="354"/>
      <c r="T31" s="354"/>
      <c r="U31" s="355"/>
      <c r="W31" s="356"/>
      <c r="Y31" s="356">
        <f>Q31*C31/1000</f>
        <v>0</v>
      </c>
      <c r="Z31" s="218">
        <v>6</v>
      </c>
      <c r="AA31" s="145" t="s">
        <v>502</v>
      </c>
      <c r="AB31" s="344">
        <f t="shared" si="0"/>
        <v>40.75</v>
      </c>
      <c r="AC31" s="344">
        <f t="shared" si="0"/>
        <v>30.7255</v>
      </c>
      <c r="AD31" s="344" t="str">
        <f t="shared" si="0"/>
        <v>n/a</v>
      </c>
      <c r="AE31" s="345" t="str">
        <f t="shared" si="0"/>
        <v>n/a</v>
      </c>
    </row>
    <row r="32" spans="10:31" ht="13.5" hidden="1" thickBot="1">
      <c r="J32" s="339"/>
      <c r="K32" s="339"/>
      <c r="L32" s="339"/>
      <c r="M32" s="339"/>
      <c r="Z32" s="218">
        <v>7</v>
      </c>
      <c r="AA32" s="145" t="s">
        <v>504</v>
      </c>
      <c r="AB32" s="344">
        <f t="shared" si="0"/>
        <v>61.9775</v>
      </c>
      <c r="AC32" s="344">
        <f t="shared" si="0"/>
        <v>46.731035000000006</v>
      </c>
      <c r="AD32" s="344" t="str">
        <f t="shared" si="0"/>
        <v>n/a</v>
      </c>
      <c r="AE32" s="345" t="str">
        <f t="shared" si="0"/>
        <v>n/a</v>
      </c>
    </row>
    <row r="33" spans="2:31" ht="13.5" hidden="1" thickBot="1">
      <c r="B33" s="508" t="s">
        <v>635</v>
      </c>
      <c r="W33" s="258" t="s">
        <v>574</v>
      </c>
      <c r="X33" s="259"/>
      <c r="Y33" s="357">
        <f>SUM(Y28:Y31)</f>
        <v>0</v>
      </c>
      <c r="Z33" s="218">
        <v>8</v>
      </c>
      <c r="AA33" s="145" t="s">
        <v>70</v>
      </c>
      <c r="AB33" s="344">
        <f t="shared" si="0"/>
        <v>24.5</v>
      </c>
      <c r="AC33" s="344">
        <f t="shared" si="0"/>
        <v>18.473000000000003</v>
      </c>
      <c r="AD33" s="344" t="str">
        <f t="shared" si="0"/>
        <v>n/a</v>
      </c>
      <c r="AE33" s="345">
        <f t="shared" si="0"/>
        <v>8.20895</v>
      </c>
    </row>
    <row r="34" spans="2:31" ht="13.5" hidden="1" thickBot="1">
      <c r="B34" s="141" t="s">
        <v>642</v>
      </c>
      <c r="Z34" s="218">
        <v>9</v>
      </c>
      <c r="AA34" s="152" t="s">
        <v>505</v>
      </c>
      <c r="AB34" s="358">
        <f t="shared" si="0"/>
        <v>85</v>
      </c>
      <c r="AC34" s="358">
        <f t="shared" si="0"/>
        <v>72.5725</v>
      </c>
      <c r="AD34" s="358" t="str">
        <f t="shared" si="0"/>
        <v>n/a</v>
      </c>
      <c r="AE34" s="359" t="str">
        <f t="shared" si="0"/>
        <v>n/a</v>
      </c>
    </row>
    <row r="35" spans="2:22" ht="13.5" hidden="1" thickBot="1">
      <c r="B35" s="141"/>
      <c r="P35" s="218" t="s">
        <v>578</v>
      </c>
      <c r="V35" s="218" t="s">
        <v>582</v>
      </c>
    </row>
    <row r="36" spans="2:23" ht="12.75" hidden="1">
      <c r="B36" s="219" t="s">
        <v>491</v>
      </c>
      <c r="C36" s="221" t="s">
        <v>566</v>
      </c>
      <c r="P36" s="254" t="s">
        <v>491</v>
      </c>
      <c r="Q36" s="255" t="s">
        <v>575</v>
      </c>
      <c r="R36" s="256" t="s">
        <v>579</v>
      </c>
      <c r="T36" s="254" t="s">
        <v>491</v>
      </c>
      <c r="U36" s="255"/>
      <c r="V36" s="255"/>
      <c r="W36" s="256" t="s">
        <v>581</v>
      </c>
    </row>
    <row r="37" spans="2:23" ht="14.25" hidden="1">
      <c r="B37" s="225" t="s">
        <v>567</v>
      </c>
      <c r="C37" s="226">
        <f>SUM(C38:C42)</f>
        <v>1</v>
      </c>
      <c r="P37" s="260" t="s">
        <v>576</v>
      </c>
      <c r="Q37" s="261">
        <f>SUMPRODUCT(Q38:Q42,R38:R42)</f>
        <v>8810</v>
      </c>
      <c r="R37" s="262"/>
      <c r="T37" s="360" t="s">
        <v>248</v>
      </c>
      <c r="U37" s="347"/>
      <c r="V37" s="347"/>
      <c r="W37" s="348">
        <f>IF(H28&lt;&gt;0,T37,SUM(C28:F28))</f>
        <v>0</v>
      </c>
    </row>
    <row r="38" spans="2:26" ht="13.5" customHeight="1" hidden="1" thickBot="1">
      <c r="B38" s="228" t="s">
        <v>497</v>
      </c>
      <c r="C38" s="361">
        <f>1-SUM(C39:C42)</f>
        <v>1</v>
      </c>
      <c r="P38" s="228" t="s">
        <v>497</v>
      </c>
      <c r="Q38" s="362">
        <f>VLOOKUP("Gasoline (all)",Fuel_Data,2,FALSE)</f>
        <v>8810</v>
      </c>
      <c r="R38" s="363">
        <f>IF(ISERROR(C38),0,C38)</f>
        <v>1</v>
      </c>
      <c r="T38" s="360" t="s">
        <v>249</v>
      </c>
      <c r="U38" s="351"/>
      <c r="V38" s="351"/>
      <c r="W38" s="348">
        <f>IF(H29&lt;&gt;0,T38,SUM(C29:F29))</f>
        <v>0</v>
      </c>
      <c r="Y38" s="328"/>
      <c r="Z38" s="328"/>
    </row>
    <row r="39" spans="2:31" ht="14.25" hidden="1">
      <c r="B39" s="223" t="s">
        <v>636</v>
      </c>
      <c r="C39" s="364"/>
      <c r="P39" s="223" t="s">
        <v>515</v>
      </c>
      <c r="Q39" s="365">
        <f>$Q$38*(1-VLOOKUP("E10 corn",Mit_Factors,2,FALSE))</f>
        <v>8633.8</v>
      </c>
      <c r="R39" s="361">
        <f>IF(ISERROR(C39),0,C39)</f>
        <v>0</v>
      </c>
      <c r="T39" s="366" t="s">
        <v>496</v>
      </c>
      <c r="U39" s="351"/>
      <c r="V39" s="351"/>
      <c r="W39" s="352">
        <f>IF(H30&lt;&gt;0,T39,SUM(C30:F30))</f>
        <v>0</v>
      </c>
      <c r="Y39" s="328"/>
      <c r="Z39" s="328"/>
      <c r="AA39" s="1011" t="s">
        <v>506</v>
      </c>
      <c r="AB39" s="1012"/>
      <c r="AC39" s="1012"/>
      <c r="AD39" s="1012"/>
      <c r="AE39" s="1013"/>
    </row>
    <row r="40" spans="2:31" ht="15" hidden="1" thickBot="1">
      <c r="B40" s="223" t="s">
        <v>637</v>
      </c>
      <c r="C40" s="364"/>
      <c r="E40" s="309" t="s">
        <v>790</v>
      </c>
      <c r="F40" s="367"/>
      <c r="G40" s="367"/>
      <c r="H40" s="367"/>
      <c r="I40" s="367"/>
      <c r="P40" s="223" t="s">
        <v>516</v>
      </c>
      <c r="Q40" s="365">
        <f>$Q$38*(1-VLOOKUP("E10 cellulosic",Mit_Factors,2,FALSE))</f>
        <v>8281.4</v>
      </c>
      <c r="R40" s="361">
        <f>IF(ISERROR(C40),0,C40)</f>
        <v>0</v>
      </c>
      <c r="T40" s="368" t="s">
        <v>514</v>
      </c>
      <c r="U40" s="354"/>
      <c r="V40" s="354"/>
      <c r="W40" s="355">
        <f>IF(H31&lt;&gt;0,T40,SUM(C31:F31))</f>
        <v>0</v>
      </c>
      <c r="Y40" s="328"/>
      <c r="Z40" s="328"/>
      <c r="AA40" s="156"/>
      <c r="AB40" s="157"/>
      <c r="AC40" s="157"/>
      <c r="AD40" s="157"/>
      <c r="AE40" s="158"/>
    </row>
    <row r="41" spans="2:31" ht="15" customHeight="1" hidden="1" thickBot="1">
      <c r="B41" s="223" t="s">
        <v>638</v>
      </c>
      <c r="C41" s="364"/>
      <c r="E41" s="309" t="s">
        <v>643</v>
      </c>
      <c r="F41" s="367"/>
      <c r="G41" s="367"/>
      <c r="H41" s="367"/>
      <c r="I41" s="367"/>
      <c r="P41" s="223" t="s">
        <v>517</v>
      </c>
      <c r="Q41" s="365">
        <f>$Q$38*(1-VLOOKUP("E85 Corn",Mit_Factors,2,FALSE))</f>
        <v>6078.9</v>
      </c>
      <c r="R41" s="361">
        <f>IF(ISERROR(C41),0,C41)</f>
        <v>0</v>
      </c>
      <c r="AA41" s="149" t="s">
        <v>246</v>
      </c>
      <c r="AB41" s="150" t="s">
        <v>247</v>
      </c>
      <c r="AC41" s="150" t="s">
        <v>492</v>
      </c>
      <c r="AD41" s="150" t="s">
        <v>493</v>
      </c>
      <c r="AE41" s="151" t="s">
        <v>494</v>
      </c>
    </row>
    <row r="42" spans="2:31" ht="15" hidden="1" thickBot="1">
      <c r="B42" s="223" t="s">
        <v>639</v>
      </c>
      <c r="C42" s="364"/>
      <c r="P42" s="223" t="s">
        <v>518</v>
      </c>
      <c r="Q42" s="365">
        <f>$Q$38*(1-VLOOKUP("E85 Cellulosic",Mit_Factors,2,FALSE))</f>
        <v>2202.5</v>
      </c>
      <c r="R42" s="361">
        <f>IF(ISERROR(C42),0,C42)</f>
        <v>0</v>
      </c>
      <c r="AA42" s="153" t="s">
        <v>497</v>
      </c>
      <c r="AB42" s="342">
        <f>IF('Model Year Inventory'!AT49=0,0,SUMPRODUCT('Model Year Inventory'!F41:AS41,'Model Year Inventory'!F49:AS49)/'Model Year Inventory'!AT49)</f>
        <v>0</v>
      </c>
      <c r="AC42" s="342">
        <f>IF('Model Year Inventory'!AT51=0,0,SUMPRODUCT('Model Year Inventory'!F43:AS43,'Model Year Inventory'!F51:AS51)/'Model Year Inventory'!AT51)</f>
        <v>0</v>
      </c>
      <c r="AD42" s="342" t="s">
        <v>503</v>
      </c>
      <c r="AE42" s="343" t="s">
        <v>503</v>
      </c>
    </row>
    <row r="43" spans="2:31" ht="12.75" hidden="1">
      <c r="B43" s="225" t="s">
        <v>568</v>
      </c>
      <c r="C43" s="226">
        <f>SUM(C44:C47)</f>
        <v>1</v>
      </c>
      <c r="P43" s="263" t="s">
        <v>577</v>
      </c>
      <c r="Q43" s="264">
        <f>SUMPRODUCT(Q44:Q47,R44:R47)</f>
        <v>10150</v>
      </c>
      <c r="R43" s="265"/>
      <c r="T43" s="1011" t="s">
        <v>603</v>
      </c>
      <c r="U43" s="1013"/>
      <c r="AA43" s="145" t="s">
        <v>498</v>
      </c>
      <c r="AB43" s="344" t="s">
        <v>503</v>
      </c>
      <c r="AC43" s="344" t="s">
        <v>503</v>
      </c>
      <c r="AD43" s="344" t="s">
        <v>503</v>
      </c>
      <c r="AE43" s="345" t="s">
        <v>503</v>
      </c>
    </row>
    <row r="44" spans="2:31" ht="14.25" hidden="1">
      <c r="B44" s="228" t="s">
        <v>501</v>
      </c>
      <c r="C44" s="361">
        <f>1-SUM(C45:C47)</f>
        <v>1</v>
      </c>
      <c r="P44" s="228" t="s">
        <v>501</v>
      </c>
      <c r="Q44" s="369">
        <f>VLOOKUP("Diesel",Fuel_Data,2,FALSE)</f>
        <v>10150</v>
      </c>
      <c r="R44" s="370">
        <f>IF(ISERROR(C44),0,C44)</f>
        <v>1</v>
      </c>
      <c r="T44" s="330" t="s">
        <v>95</v>
      </c>
      <c r="U44" s="331">
        <f>Y33</f>
        <v>0</v>
      </c>
      <c r="AA44" s="145" t="s">
        <v>499</v>
      </c>
      <c r="AB44" s="344" t="s">
        <v>503</v>
      </c>
      <c r="AC44" s="344" t="s">
        <v>503</v>
      </c>
      <c r="AD44" s="344" t="s">
        <v>503</v>
      </c>
      <c r="AE44" s="345" t="s">
        <v>503</v>
      </c>
    </row>
    <row r="45" spans="2:31" ht="15" hidden="1" thickBot="1">
      <c r="B45" s="223" t="s">
        <v>812</v>
      </c>
      <c r="C45" s="371"/>
      <c r="P45" s="218" t="s">
        <v>811</v>
      </c>
      <c r="Q45" s="365">
        <f>$Q$44*(1-VLOOKUP("B5",Mit_Factors,2,FALSE))</f>
        <v>9769.375</v>
      </c>
      <c r="R45" s="370">
        <f>IF(ISERROR(C45),0,C45)</f>
        <v>0</v>
      </c>
      <c r="T45" s="332" t="s">
        <v>96</v>
      </c>
      <c r="U45" s="333">
        <f>R49</f>
        <v>0</v>
      </c>
      <c r="AA45" s="145" t="s">
        <v>500</v>
      </c>
      <c r="AB45" s="344" t="s">
        <v>503</v>
      </c>
      <c r="AC45" s="344" t="s">
        <v>503</v>
      </c>
      <c r="AD45" s="344" t="s">
        <v>503</v>
      </c>
      <c r="AE45" s="345" t="s">
        <v>503</v>
      </c>
    </row>
    <row r="46" spans="2:31" ht="14.25" hidden="1">
      <c r="B46" s="223" t="s">
        <v>640</v>
      </c>
      <c r="C46" s="371"/>
      <c r="P46" s="223" t="s">
        <v>89</v>
      </c>
      <c r="Q46" s="365">
        <f>$Q$44*(1-VLOOKUP("B20",Mit_Factors,2,FALSE))</f>
        <v>8627.5</v>
      </c>
      <c r="R46" s="370">
        <f>IF(ISERROR(C46),0,C46)</f>
        <v>0</v>
      </c>
      <c r="AA46" s="145" t="s">
        <v>501</v>
      </c>
      <c r="AB46" s="344">
        <f>IF('Model Year Inventory'!AT50=0,0,SUMPRODUCT('Model Year Inventory'!F42:AS42,'Model Year Inventory'!F50:AS50)/'Model Year Inventory'!AT50)</f>
        <v>0</v>
      </c>
      <c r="AC46" s="344">
        <f>IF('Model Year Inventory'!AT52=0,0,SUMPRODUCT('Model Year Inventory'!F44:AS44,'Model Year Inventory'!F52:AS52)/'Model Year Inventory'!AT52)</f>
        <v>0</v>
      </c>
      <c r="AD46" s="344" t="s">
        <v>503</v>
      </c>
      <c r="AE46" s="345" t="s">
        <v>503</v>
      </c>
    </row>
    <row r="47" spans="2:31" ht="15" hidden="1" thickBot="1">
      <c r="B47" s="224" t="s">
        <v>641</v>
      </c>
      <c r="C47" s="372"/>
      <c r="P47" s="224" t="s">
        <v>85</v>
      </c>
      <c r="Q47" s="373">
        <f>$Q$44*(1-VLOOKUP("B100",Mit_Factors,2,FALSE))</f>
        <v>2131.4999999999995</v>
      </c>
      <c r="R47" s="374">
        <f>IF(ISERROR(C47),0,C47)</f>
        <v>0</v>
      </c>
      <c r="AA47" s="145" t="s">
        <v>502</v>
      </c>
      <c r="AB47" s="344" t="s">
        <v>503</v>
      </c>
      <c r="AC47" s="344" t="s">
        <v>503</v>
      </c>
      <c r="AD47" s="344" t="s">
        <v>503</v>
      </c>
      <c r="AE47" s="345" t="s">
        <v>503</v>
      </c>
    </row>
    <row r="48" spans="27:31" ht="12.75" customHeight="1" hidden="1" thickBot="1">
      <c r="AA48" s="145" t="s">
        <v>504</v>
      </c>
      <c r="AB48" s="344" t="s">
        <v>503</v>
      </c>
      <c r="AC48" s="344" t="s">
        <v>503</v>
      </c>
      <c r="AD48" s="344" t="s">
        <v>503</v>
      </c>
      <c r="AE48" s="345" t="s">
        <v>503</v>
      </c>
    </row>
    <row r="49" spans="17:31" ht="12.75" customHeight="1" hidden="1" thickBot="1">
      <c r="Q49" s="258" t="s">
        <v>580</v>
      </c>
      <c r="R49" s="357">
        <f>(Q37*W37+Q43*W38+Q30*W39+Q31*W40)/1000</f>
        <v>0</v>
      </c>
      <c r="AA49" s="145" t="s">
        <v>70</v>
      </c>
      <c r="AB49" s="344" t="s">
        <v>503</v>
      </c>
      <c r="AC49" s="344" t="s">
        <v>503</v>
      </c>
      <c r="AD49" s="344" t="s">
        <v>503</v>
      </c>
      <c r="AE49" s="345" t="s">
        <v>503</v>
      </c>
    </row>
    <row r="50" spans="16:31" ht="13.5" hidden="1" thickBot="1">
      <c r="P50" s="328"/>
      <c r="Q50" s="328"/>
      <c r="R50" s="328"/>
      <c r="S50" s="328"/>
      <c r="T50" s="328"/>
      <c r="AA50" s="152" t="s">
        <v>505</v>
      </c>
      <c r="AB50" s="358" t="s">
        <v>503</v>
      </c>
      <c r="AC50" s="358" t="s">
        <v>503</v>
      </c>
      <c r="AD50" s="358" t="s">
        <v>503</v>
      </c>
      <c r="AE50" s="359" t="s">
        <v>503</v>
      </c>
    </row>
    <row r="51" spans="16:20" ht="12.75" customHeight="1" hidden="1">
      <c r="P51" s="317"/>
      <c r="Q51" s="308"/>
      <c r="R51" s="308"/>
      <c r="S51" s="308"/>
      <c r="T51" s="308"/>
    </row>
    <row r="52" spans="16:20" ht="12.75" customHeight="1" hidden="1">
      <c r="P52" s="328"/>
      <c r="Q52" s="386"/>
      <c r="R52" s="386"/>
      <c r="S52" s="386"/>
      <c r="T52" s="386"/>
    </row>
    <row r="53" spans="16:75" ht="12.75" customHeight="1" hidden="1" thickBot="1">
      <c r="P53" s="328"/>
      <c r="Q53" s="386"/>
      <c r="R53" s="386"/>
      <c r="S53" s="427"/>
      <c r="T53" s="427"/>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row>
    <row r="54" spans="1:75" s="335" customFormat="1" ht="36" customHeight="1" hidden="1" thickBot="1">
      <c r="A54" s="334" t="s">
        <v>899</v>
      </c>
      <c r="B54" s="334"/>
      <c r="C54" s="334"/>
      <c r="D54" s="334"/>
      <c r="E54" s="334"/>
      <c r="F54" s="334"/>
      <c r="G54" s="334"/>
      <c r="H54" s="334"/>
      <c r="I54" s="334"/>
      <c r="P54" s="781"/>
      <c r="Q54" s="782"/>
      <c r="R54" s="782"/>
      <c r="S54" s="783"/>
      <c r="T54" s="783"/>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c r="BF54" s="784"/>
      <c r="BG54" s="784"/>
      <c r="BH54" s="784"/>
      <c r="BI54" s="784"/>
      <c r="BJ54" s="784"/>
      <c r="BK54" s="784"/>
      <c r="BL54" s="784"/>
      <c r="BM54" s="784"/>
      <c r="BN54" s="784"/>
      <c r="BO54" s="784"/>
      <c r="BP54" s="784"/>
      <c r="BQ54" s="784"/>
      <c r="BR54" s="784"/>
      <c r="BS54" s="784"/>
      <c r="BT54" s="784"/>
      <c r="BU54" s="784"/>
      <c r="BV54" s="784"/>
      <c r="BW54" s="784"/>
    </row>
    <row r="55" spans="16:75" ht="12.75" customHeight="1" hidden="1">
      <c r="P55" s="328"/>
      <c r="Q55" s="386"/>
      <c r="R55" s="386"/>
      <c r="S55" s="427"/>
      <c r="T55" s="427"/>
      <c r="AD55" s="291" t="s">
        <v>914</v>
      </c>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3"/>
      <c r="BN55" s="218"/>
      <c r="BO55" s="218"/>
      <c r="BP55" s="218"/>
      <c r="BQ55" s="218"/>
      <c r="BR55" s="218"/>
      <c r="BS55" s="218"/>
      <c r="BT55" s="218"/>
      <c r="BU55" s="218"/>
      <c r="BV55" s="218"/>
      <c r="BW55" s="218"/>
    </row>
    <row r="56" spans="2:75" ht="12.75" customHeight="1" hidden="1">
      <c r="B56" s="508" t="s">
        <v>645</v>
      </c>
      <c r="P56" s="328"/>
      <c r="Q56" s="386"/>
      <c r="R56" s="386"/>
      <c r="S56" s="427"/>
      <c r="T56" s="427"/>
      <c r="AD56" s="313"/>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5"/>
      <c r="BN56" s="218"/>
      <c r="BO56" s="218"/>
      <c r="BP56" s="218"/>
      <c r="BQ56" s="218"/>
      <c r="BR56" s="218"/>
      <c r="BS56" s="218"/>
      <c r="BT56" s="218"/>
      <c r="BU56" s="218"/>
      <c r="BV56" s="218"/>
      <c r="BW56" s="218"/>
    </row>
    <row r="57" spans="2:75" ht="14.25" hidden="1">
      <c r="B57" s="141" t="s">
        <v>651</v>
      </c>
      <c r="P57" s="328"/>
      <c r="Q57" s="386"/>
      <c r="R57" s="386"/>
      <c r="S57" s="386"/>
      <c r="T57" s="386"/>
      <c r="AD57" s="377" t="s">
        <v>507</v>
      </c>
      <c r="AE57" s="378" t="s">
        <v>508</v>
      </c>
      <c r="AF57" s="378" t="s">
        <v>509</v>
      </c>
      <c r="AG57" s="378" t="s">
        <v>508</v>
      </c>
      <c r="AH57" s="378" t="s">
        <v>509</v>
      </c>
      <c r="AI57" s="379">
        <v>1990</v>
      </c>
      <c r="AJ57" s="379">
        <v>1991</v>
      </c>
      <c r="AK57" s="379">
        <v>1992</v>
      </c>
      <c r="AL57" s="379">
        <v>1993</v>
      </c>
      <c r="AM57" s="379">
        <v>1994</v>
      </c>
      <c r="AN57" s="379">
        <v>1995</v>
      </c>
      <c r="AO57" s="379">
        <v>1996</v>
      </c>
      <c r="AP57" s="379">
        <v>1997</v>
      </c>
      <c r="AQ57" s="379">
        <v>1998</v>
      </c>
      <c r="AR57" s="379">
        <v>1999</v>
      </c>
      <c r="AS57" s="379">
        <v>2000</v>
      </c>
      <c r="AT57" s="379">
        <v>2001</v>
      </c>
      <c r="AU57" s="379">
        <v>2002</v>
      </c>
      <c r="AV57" s="379">
        <v>2003</v>
      </c>
      <c r="AW57" s="379">
        <v>2004</v>
      </c>
      <c r="AX57" s="379">
        <v>2005</v>
      </c>
      <c r="AY57" s="379">
        <v>2006</v>
      </c>
      <c r="AZ57" s="379">
        <v>2007</v>
      </c>
      <c r="BA57" s="379">
        <v>2008</v>
      </c>
      <c r="BB57" s="379">
        <v>2009</v>
      </c>
      <c r="BC57" s="379">
        <v>2010</v>
      </c>
      <c r="BD57" s="379">
        <v>2011</v>
      </c>
      <c r="BE57" s="379">
        <v>2012</v>
      </c>
      <c r="BF57" s="379">
        <v>2013</v>
      </c>
      <c r="BG57" s="379">
        <v>2014</v>
      </c>
      <c r="BH57" s="379">
        <v>2015</v>
      </c>
      <c r="BI57" s="379">
        <v>2016</v>
      </c>
      <c r="BJ57" s="379">
        <v>2017</v>
      </c>
      <c r="BK57" s="379">
        <v>2018</v>
      </c>
      <c r="BL57" s="379">
        <v>2019</v>
      </c>
      <c r="BM57" s="380">
        <v>2020</v>
      </c>
      <c r="BN57" s="218"/>
      <c r="BO57" s="218"/>
      <c r="BP57" s="218"/>
      <c r="BQ57" s="218"/>
      <c r="BR57" s="218"/>
      <c r="BS57" s="218"/>
      <c r="BT57" s="218"/>
      <c r="BU57" s="218"/>
      <c r="BV57" s="218"/>
      <c r="BW57" s="218"/>
    </row>
    <row r="58" spans="2:75" ht="15" hidden="1" thickBot="1">
      <c r="B58" s="141" t="s">
        <v>688</v>
      </c>
      <c r="P58" s="328"/>
      <c r="Q58" s="386"/>
      <c r="R58" s="386"/>
      <c r="S58" s="427"/>
      <c r="T58" s="427"/>
      <c r="AD58" s="294">
        <f aca="true" t="shared" si="1" ref="AD58:AD84">AF58*10+AH58</f>
        <v>11</v>
      </c>
      <c r="AE58" s="54" t="s">
        <v>497</v>
      </c>
      <c r="AF58" s="54">
        <v>1</v>
      </c>
      <c r="AG58" s="54" t="s">
        <v>247</v>
      </c>
      <c r="AH58" s="54">
        <v>1</v>
      </c>
      <c r="AI58" s="381">
        <v>18.099949999999982</v>
      </c>
      <c r="AJ58" s="381">
        <v>18.366619999999983</v>
      </c>
      <c r="AK58" s="381">
        <v>18.633289999999985</v>
      </c>
      <c r="AL58" s="381">
        <v>18.899959999999986</v>
      </c>
      <c r="AM58" s="381">
        <v>19.166629999999987</v>
      </c>
      <c r="AN58" s="381">
        <v>19.43329999999999</v>
      </c>
      <c r="AO58" s="381">
        <v>19.69996999999999</v>
      </c>
      <c r="AP58" s="381">
        <v>19.96663999999999</v>
      </c>
      <c r="AQ58" s="381">
        <v>20.233309999999992</v>
      </c>
      <c r="AR58" s="381">
        <v>20.499979999999994</v>
      </c>
      <c r="AS58" s="381">
        <v>20.766649999999995</v>
      </c>
      <c r="AT58" s="381">
        <v>21.033319999999996</v>
      </c>
      <c r="AU58" s="381">
        <v>21.299989999999998</v>
      </c>
      <c r="AV58" s="381">
        <v>21.56666</v>
      </c>
      <c r="AW58" s="381">
        <v>21.83333</v>
      </c>
      <c r="AX58" s="381">
        <v>22.1</v>
      </c>
      <c r="AY58" s="381">
        <v>22.4</v>
      </c>
      <c r="AZ58" s="381">
        <v>24.2</v>
      </c>
      <c r="BA58" s="381">
        <v>24.47</v>
      </c>
      <c r="BB58" s="381">
        <v>24.74</v>
      </c>
      <c r="BC58" s="381">
        <v>25</v>
      </c>
      <c r="BD58" s="381">
        <v>25.266</v>
      </c>
      <c r="BE58" s="381">
        <v>25.531999999999996</v>
      </c>
      <c r="BF58" s="381">
        <v>25.797999999999995</v>
      </c>
      <c r="BG58" s="381">
        <v>26.063999999999993</v>
      </c>
      <c r="BH58" s="381">
        <v>26.33</v>
      </c>
      <c r="BI58" s="381">
        <v>26.598</v>
      </c>
      <c r="BJ58" s="381">
        <v>26.866</v>
      </c>
      <c r="BK58" s="381">
        <v>27.134</v>
      </c>
      <c r="BL58" s="381">
        <v>27.402</v>
      </c>
      <c r="BM58" s="382">
        <v>27.67</v>
      </c>
      <c r="BN58" s="218"/>
      <c r="BO58" s="218"/>
      <c r="BP58" s="218"/>
      <c r="BQ58" s="218"/>
      <c r="BR58" s="218"/>
      <c r="BS58" s="218"/>
      <c r="BT58" s="218"/>
      <c r="BU58" s="218"/>
      <c r="BV58" s="218"/>
      <c r="BW58" s="218"/>
    </row>
    <row r="59" spans="2:75" ht="38.25" hidden="1">
      <c r="B59" s="219" t="s">
        <v>650</v>
      </c>
      <c r="C59" s="220" t="s">
        <v>247</v>
      </c>
      <c r="D59" s="220" t="s">
        <v>646</v>
      </c>
      <c r="E59" s="220" t="s">
        <v>624</v>
      </c>
      <c r="F59" s="221" t="s">
        <v>625</v>
      </c>
      <c r="P59" s="328"/>
      <c r="Q59" s="386"/>
      <c r="R59" s="386"/>
      <c r="S59" s="427"/>
      <c r="T59" s="427"/>
      <c r="AD59" s="294">
        <f t="shared" si="1"/>
        <v>21</v>
      </c>
      <c r="AE59" s="54" t="s">
        <v>498</v>
      </c>
      <c r="AF59" s="54">
        <v>2</v>
      </c>
      <c r="AG59" s="54" t="s">
        <v>247</v>
      </c>
      <c r="AH59" s="54">
        <v>1</v>
      </c>
      <c r="AI59" s="381">
        <v>18.28094949999998</v>
      </c>
      <c r="AJ59" s="381">
        <v>18.550286199999984</v>
      </c>
      <c r="AK59" s="381">
        <v>18.819622899999985</v>
      </c>
      <c r="AL59" s="381">
        <v>19.655958399999985</v>
      </c>
      <c r="AM59" s="381">
        <v>19.933295199999986</v>
      </c>
      <c r="AN59" s="381">
        <v>20.21063199999999</v>
      </c>
      <c r="AO59" s="381">
        <v>20.48796879999999</v>
      </c>
      <c r="AP59" s="381">
        <v>21.364304799999992</v>
      </c>
      <c r="AQ59" s="381">
        <v>21.649641699999993</v>
      </c>
      <c r="AR59" s="381">
        <v>21.934978599999994</v>
      </c>
      <c r="AS59" s="381">
        <v>22.635648499999995</v>
      </c>
      <c r="AT59" s="381">
        <v>22.926318799999997</v>
      </c>
      <c r="AU59" s="381">
        <v>23.2169891</v>
      </c>
      <c r="AV59" s="381">
        <v>23.5076594</v>
      </c>
      <c r="AW59" s="381">
        <v>23.798329700000004</v>
      </c>
      <c r="AX59" s="381">
        <v>24.089000000000002</v>
      </c>
      <c r="AY59" s="381">
        <v>24.416</v>
      </c>
      <c r="AZ59" s="381">
        <v>26.378</v>
      </c>
      <c r="BA59" s="381">
        <v>26.6723</v>
      </c>
      <c r="BB59" s="381">
        <v>26.9666</v>
      </c>
      <c r="BC59" s="381">
        <v>27.25</v>
      </c>
      <c r="BD59" s="381">
        <v>27.53994</v>
      </c>
      <c r="BE59" s="381">
        <v>27.829880000000003</v>
      </c>
      <c r="BF59" s="381">
        <v>28.119820000000004</v>
      </c>
      <c r="BG59" s="381">
        <v>28.409760000000006</v>
      </c>
      <c r="BH59" s="381">
        <v>28.6997</v>
      </c>
      <c r="BI59" s="381">
        <v>28.99182</v>
      </c>
      <c r="BJ59" s="381">
        <v>29.28394</v>
      </c>
      <c r="BK59" s="381">
        <v>29.576060000000002</v>
      </c>
      <c r="BL59" s="381">
        <v>29.868180000000002</v>
      </c>
      <c r="BM59" s="382">
        <v>30.160300000000003</v>
      </c>
      <c r="BN59" s="218"/>
      <c r="BO59" s="218"/>
      <c r="BP59" s="218"/>
      <c r="BQ59" s="218"/>
      <c r="BR59" s="218"/>
      <c r="BS59" s="218"/>
      <c r="BT59" s="218"/>
      <c r="BU59" s="218"/>
      <c r="BV59" s="218"/>
      <c r="BW59" s="218"/>
    </row>
    <row r="60" spans="2:75" ht="14.25" hidden="1">
      <c r="B60" s="227" t="s">
        <v>497</v>
      </c>
      <c r="C60" s="931"/>
      <c r="D60" s="931"/>
      <c r="E60" s="931"/>
      <c r="F60" s="932"/>
      <c r="P60" s="328"/>
      <c r="Q60" s="386"/>
      <c r="R60" s="386"/>
      <c r="S60" s="427"/>
      <c r="T60" s="386"/>
      <c r="AD60" s="294">
        <f t="shared" si="1"/>
        <v>31</v>
      </c>
      <c r="AE60" s="54" t="s">
        <v>499</v>
      </c>
      <c r="AF60" s="54">
        <v>3</v>
      </c>
      <c r="AG60" s="54" t="s">
        <v>247</v>
      </c>
      <c r="AH60" s="54">
        <v>1</v>
      </c>
      <c r="AI60" s="381">
        <v>26.244927499999974</v>
      </c>
      <c r="AJ60" s="381">
        <v>26.631598999999976</v>
      </c>
      <c r="AK60" s="381">
        <v>27.01827049999998</v>
      </c>
      <c r="AL60" s="381">
        <v>27.404941999999977</v>
      </c>
      <c r="AM60" s="381">
        <v>27.79161349999998</v>
      </c>
      <c r="AN60" s="381">
        <v>28.17828499999998</v>
      </c>
      <c r="AO60" s="381">
        <v>28.564956499999983</v>
      </c>
      <c r="AP60" s="381">
        <v>28.951627999999985</v>
      </c>
      <c r="AQ60" s="381">
        <v>29.338299499999987</v>
      </c>
      <c r="AR60" s="381">
        <v>29.72497099999999</v>
      </c>
      <c r="AS60" s="381">
        <v>30.11164249999999</v>
      </c>
      <c r="AT60" s="381">
        <v>30.498313999999993</v>
      </c>
      <c r="AU60" s="381">
        <v>30.884985499999996</v>
      </c>
      <c r="AV60" s="381">
        <v>31.271656999999998</v>
      </c>
      <c r="AW60" s="381">
        <v>31.6583285</v>
      </c>
      <c r="AX60" s="381">
        <v>32.045</v>
      </c>
      <c r="AY60" s="381">
        <v>32.48</v>
      </c>
      <c r="AZ60" s="381">
        <v>35.09</v>
      </c>
      <c r="BA60" s="381">
        <v>35.4815</v>
      </c>
      <c r="BB60" s="381">
        <v>35.873</v>
      </c>
      <c r="BC60" s="381">
        <v>36.25</v>
      </c>
      <c r="BD60" s="381">
        <v>36.6357</v>
      </c>
      <c r="BE60" s="381">
        <v>37.0214</v>
      </c>
      <c r="BF60" s="381">
        <v>37.4071</v>
      </c>
      <c r="BG60" s="381">
        <v>37.7928</v>
      </c>
      <c r="BH60" s="381">
        <v>38.1785</v>
      </c>
      <c r="BI60" s="381">
        <v>38.5671</v>
      </c>
      <c r="BJ60" s="381">
        <v>38.95570000000001</v>
      </c>
      <c r="BK60" s="381">
        <v>39.34430000000001</v>
      </c>
      <c r="BL60" s="381">
        <v>39.732900000000015</v>
      </c>
      <c r="BM60" s="382">
        <v>40.121500000000005</v>
      </c>
      <c r="BN60" s="218"/>
      <c r="BO60" s="218"/>
      <c r="BP60" s="218"/>
      <c r="BQ60" s="218"/>
      <c r="BR60" s="218"/>
      <c r="BS60" s="218"/>
      <c r="BT60" s="218"/>
      <c r="BU60" s="218"/>
      <c r="BV60" s="218"/>
      <c r="BW60" s="218"/>
    </row>
    <row r="61" spans="2:75" ht="14.25" hidden="1">
      <c r="B61" s="228" t="s">
        <v>647</v>
      </c>
      <c r="C61" s="889"/>
      <c r="D61" s="889"/>
      <c r="E61" s="933" t="s">
        <v>503</v>
      </c>
      <c r="F61" s="934" t="s">
        <v>503</v>
      </c>
      <c r="P61" s="328"/>
      <c r="Q61" s="386"/>
      <c r="R61" s="386"/>
      <c r="S61" s="427"/>
      <c r="T61" s="427"/>
      <c r="AD61" s="294">
        <f t="shared" si="1"/>
        <v>41</v>
      </c>
      <c r="AE61" s="54" t="s">
        <v>500</v>
      </c>
      <c r="AF61" s="54">
        <v>4</v>
      </c>
      <c r="AG61" s="54" t="s">
        <v>247</v>
      </c>
      <c r="AH61" s="54">
        <v>1</v>
      </c>
      <c r="AI61" s="381">
        <v>42.44619274499996</v>
      </c>
      <c r="AJ61" s="381">
        <v>43.07156056199996</v>
      </c>
      <c r="AK61" s="381">
        <v>43.696928378999964</v>
      </c>
      <c r="AL61" s="381">
        <v>44.32229619599997</v>
      </c>
      <c r="AM61" s="381">
        <v>44.947664012999965</v>
      </c>
      <c r="AN61" s="381">
        <v>45.57303182999997</v>
      </c>
      <c r="AO61" s="381">
        <v>46.198399646999974</v>
      </c>
      <c r="AP61" s="381">
        <v>46.82376746399998</v>
      </c>
      <c r="AQ61" s="381">
        <v>47.44913528099998</v>
      </c>
      <c r="AR61" s="381">
        <v>48.07450309799998</v>
      </c>
      <c r="AS61" s="381">
        <v>48.69987091499999</v>
      </c>
      <c r="AT61" s="381">
        <v>49.32523873199999</v>
      </c>
      <c r="AU61" s="381">
        <v>49.95060654899999</v>
      </c>
      <c r="AV61" s="381">
        <v>50.575974366</v>
      </c>
      <c r="AW61" s="381">
        <v>51.201342182999994</v>
      </c>
      <c r="AX61" s="381">
        <v>51.826710000000006</v>
      </c>
      <c r="AY61" s="381">
        <v>52.53023999999999</v>
      </c>
      <c r="AZ61" s="381">
        <v>56.751419999999996</v>
      </c>
      <c r="BA61" s="381">
        <v>57.384597</v>
      </c>
      <c r="BB61" s="381">
        <v>58.01777399999999</v>
      </c>
      <c r="BC61" s="381">
        <v>58.6275</v>
      </c>
      <c r="BD61" s="381">
        <v>59.251296599999996</v>
      </c>
      <c r="BE61" s="381">
        <v>59.875093199999995</v>
      </c>
      <c r="BF61" s="381">
        <v>60.49888979999999</v>
      </c>
      <c r="BG61" s="381">
        <v>61.12268639999999</v>
      </c>
      <c r="BH61" s="381">
        <v>61.746483</v>
      </c>
      <c r="BI61" s="381">
        <v>62.3749698</v>
      </c>
      <c r="BJ61" s="381">
        <v>63.00345660000001</v>
      </c>
      <c r="BK61" s="381">
        <v>63.63194340000001</v>
      </c>
      <c r="BL61" s="381">
        <v>64.26043020000002</v>
      </c>
      <c r="BM61" s="382">
        <v>64.888917</v>
      </c>
      <c r="BN61" s="218"/>
      <c r="BO61" s="218"/>
      <c r="BP61" s="218"/>
      <c r="BQ61" s="218"/>
      <c r="BR61" s="218"/>
      <c r="BS61" s="218"/>
      <c r="BT61" s="218"/>
      <c r="BU61" s="218"/>
      <c r="BV61" s="218"/>
      <c r="BW61" s="218"/>
    </row>
    <row r="62" spans="2:75" ht="14.25" hidden="1">
      <c r="B62" s="228" t="s">
        <v>499</v>
      </c>
      <c r="C62" s="889"/>
      <c r="D62" s="889"/>
      <c r="E62" s="933" t="s">
        <v>503</v>
      </c>
      <c r="F62" s="934" t="s">
        <v>503</v>
      </c>
      <c r="P62" s="328"/>
      <c r="Q62" s="328"/>
      <c r="R62" s="328"/>
      <c r="S62" s="328"/>
      <c r="T62" s="328"/>
      <c r="U62" s="328"/>
      <c r="V62" s="328"/>
      <c r="W62" s="328"/>
      <c r="X62" s="328"/>
      <c r="Y62" s="328"/>
      <c r="AD62" s="294">
        <f t="shared" si="1"/>
        <v>51</v>
      </c>
      <c r="AE62" s="54" t="s">
        <v>501</v>
      </c>
      <c r="AF62" s="54">
        <v>5</v>
      </c>
      <c r="AG62" s="54" t="s">
        <v>247</v>
      </c>
      <c r="AH62" s="54">
        <v>1</v>
      </c>
      <c r="AI62" s="381">
        <v>22.17243874999998</v>
      </c>
      <c r="AJ62" s="381">
        <v>22.49910949999998</v>
      </c>
      <c r="AK62" s="381">
        <v>22.825780249999983</v>
      </c>
      <c r="AL62" s="381">
        <v>23.152450999999985</v>
      </c>
      <c r="AM62" s="381">
        <v>23.479121749999987</v>
      </c>
      <c r="AN62" s="381">
        <v>23.80579249999999</v>
      </c>
      <c r="AO62" s="381">
        <v>24.13246324999999</v>
      </c>
      <c r="AP62" s="381">
        <v>24.45913399999999</v>
      </c>
      <c r="AQ62" s="381">
        <v>24.785804749999993</v>
      </c>
      <c r="AR62" s="381">
        <v>25.112475499999995</v>
      </c>
      <c r="AS62" s="381">
        <v>25.439146249999997</v>
      </c>
      <c r="AT62" s="381">
        <v>25.765817</v>
      </c>
      <c r="AU62" s="381">
        <v>26.09248775</v>
      </c>
      <c r="AV62" s="381">
        <v>26.4191585</v>
      </c>
      <c r="AW62" s="381">
        <v>26.745829250000003</v>
      </c>
      <c r="AX62" s="381">
        <v>27.0725</v>
      </c>
      <c r="AY62" s="381">
        <v>27.44</v>
      </c>
      <c r="AZ62" s="381">
        <v>29.645</v>
      </c>
      <c r="BA62" s="381">
        <v>29.97575</v>
      </c>
      <c r="BB62" s="381">
        <v>30.3065</v>
      </c>
      <c r="BC62" s="381">
        <v>30.625</v>
      </c>
      <c r="BD62" s="381">
        <v>30.95085</v>
      </c>
      <c r="BE62" s="381">
        <v>31.276699999999998</v>
      </c>
      <c r="BF62" s="381">
        <v>31.602549999999997</v>
      </c>
      <c r="BG62" s="381">
        <v>31.928399999999996</v>
      </c>
      <c r="BH62" s="381">
        <v>32.25425</v>
      </c>
      <c r="BI62" s="381">
        <v>32.58255</v>
      </c>
      <c r="BJ62" s="381">
        <v>32.910849999999996</v>
      </c>
      <c r="BK62" s="381">
        <v>33.239149999999995</v>
      </c>
      <c r="BL62" s="381">
        <v>33.567449999999994</v>
      </c>
      <c r="BM62" s="382">
        <v>33.89575000000001</v>
      </c>
      <c r="BN62" s="218"/>
      <c r="BO62" s="218"/>
      <c r="BP62" s="218"/>
      <c r="BQ62" s="218"/>
      <c r="BR62" s="218"/>
      <c r="BS62" s="218"/>
      <c r="BT62" s="218"/>
      <c r="BU62" s="218"/>
      <c r="BV62" s="218"/>
      <c r="BW62" s="218"/>
    </row>
    <row r="63" spans="2:75" ht="14.25" hidden="1">
      <c r="B63" s="228" t="s">
        <v>648</v>
      </c>
      <c r="C63" s="889"/>
      <c r="D63" s="889"/>
      <c r="E63" s="933" t="s">
        <v>503</v>
      </c>
      <c r="F63" s="934" t="s">
        <v>503</v>
      </c>
      <c r="P63" s="317"/>
      <c r="Q63" s="317"/>
      <c r="R63" s="317"/>
      <c r="S63" s="317"/>
      <c r="T63" s="328"/>
      <c r="U63" s="171"/>
      <c r="V63" s="328"/>
      <c r="W63" s="171"/>
      <c r="X63" s="328"/>
      <c r="Y63" s="171"/>
      <c r="AD63" s="294">
        <f t="shared" si="1"/>
        <v>61</v>
      </c>
      <c r="AE63" s="54" t="s">
        <v>502</v>
      </c>
      <c r="AF63" s="54">
        <v>6</v>
      </c>
      <c r="AG63" s="54" t="s">
        <v>247</v>
      </c>
      <c r="AH63" s="54">
        <v>1</v>
      </c>
      <c r="AI63" s="381">
        <v>29.502918499999968</v>
      </c>
      <c r="AJ63" s="381">
        <v>29.93759059999997</v>
      </c>
      <c r="AK63" s="381">
        <v>30.372262699999972</v>
      </c>
      <c r="AL63" s="381">
        <v>30.806934799999976</v>
      </c>
      <c r="AM63" s="381">
        <v>31.241606899999976</v>
      </c>
      <c r="AN63" s="381">
        <v>31.67627899999998</v>
      </c>
      <c r="AO63" s="381">
        <v>32.11095109999998</v>
      </c>
      <c r="AP63" s="381">
        <v>32.54562319999998</v>
      </c>
      <c r="AQ63" s="381">
        <v>32.98029529999999</v>
      </c>
      <c r="AR63" s="381">
        <v>33.41496739999999</v>
      </c>
      <c r="AS63" s="381">
        <v>33.84963949999999</v>
      </c>
      <c r="AT63" s="381">
        <v>34.28431159999999</v>
      </c>
      <c r="AU63" s="381">
        <v>34.718983699999995</v>
      </c>
      <c r="AV63" s="381">
        <v>35.153655799999996</v>
      </c>
      <c r="AW63" s="381">
        <v>35.588327899999996</v>
      </c>
      <c r="AX63" s="381">
        <v>36.023</v>
      </c>
      <c r="AY63" s="381">
        <v>36.51199999999999</v>
      </c>
      <c r="AZ63" s="381">
        <v>39.446</v>
      </c>
      <c r="BA63" s="381">
        <v>39.8861</v>
      </c>
      <c r="BB63" s="381">
        <v>40.32619999999999</v>
      </c>
      <c r="BC63" s="381">
        <v>40.75</v>
      </c>
      <c r="BD63" s="381">
        <v>41.18358</v>
      </c>
      <c r="BE63" s="381">
        <v>41.61716</v>
      </c>
      <c r="BF63" s="381">
        <v>42.05074</v>
      </c>
      <c r="BG63" s="381">
        <v>42.48432</v>
      </c>
      <c r="BH63" s="381">
        <v>42.917899999999996</v>
      </c>
      <c r="BI63" s="381">
        <v>43.35474</v>
      </c>
      <c r="BJ63" s="381">
        <v>43.79158</v>
      </c>
      <c r="BK63" s="381">
        <v>44.22842000000001</v>
      </c>
      <c r="BL63" s="381">
        <v>44.66526000000001</v>
      </c>
      <c r="BM63" s="382">
        <v>45.1021</v>
      </c>
      <c r="BN63" s="218"/>
      <c r="BO63" s="218"/>
      <c r="BP63" s="218"/>
      <c r="BQ63" s="218"/>
      <c r="BR63" s="218"/>
      <c r="BS63" s="218"/>
      <c r="BT63" s="218"/>
      <c r="BU63" s="218"/>
      <c r="BV63" s="218"/>
      <c r="BW63" s="218"/>
    </row>
    <row r="64" spans="2:75" ht="14.25" hidden="1">
      <c r="B64" s="228" t="s">
        <v>501</v>
      </c>
      <c r="C64" s="889"/>
      <c r="D64" s="889"/>
      <c r="E64" s="889"/>
      <c r="F64" s="935"/>
      <c r="P64" s="346"/>
      <c r="Q64" s="346"/>
      <c r="R64" s="346"/>
      <c r="S64" s="385"/>
      <c r="T64" s="328"/>
      <c r="U64" s="385"/>
      <c r="V64" s="328"/>
      <c r="W64" s="385"/>
      <c r="X64" s="328"/>
      <c r="Y64" s="385"/>
      <c r="AD64" s="294">
        <f t="shared" si="1"/>
        <v>71</v>
      </c>
      <c r="AE64" s="54" t="s">
        <v>504</v>
      </c>
      <c r="AF64" s="54">
        <v>7</v>
      </c>
      <c r="AG64" s="54" t="s">
        <v>247</v>
      </c>
      <c r="AH64" s="54">
        <v>1</v>
      </c>
      <c r="AI64" s="381">
        <v>44.87158604499996</v>
      </c>
      <c r="AJ64" s="381">
        <v>45.532687641999956</v>
      </c>
      <c r="AK64" s="381">
        <v>46.19378923899996</v>
      </c>
      <c r="AL64" s="381">
        <v>46.85489083599997</v>
      </c>
      <c r="AM64" s="381">
        <v>47.515992432999965</v>
      </c>
      <c r="AN64" s="381">
        <v>48.17709402999997</v>
      </c>
      <c r="AO64" s="381">
        <v>48.83819562699997</v>
      </c>
      <c r="AP64" s="381">
        <v>49.499297223999974</v>
      </c>
      <c r="AQ64" s="381">
        <v>50.16039882099998</v>
      </c>
      <c r="AR64" s="381">
        <v>50.821500417999985</v>
      </c>
      <c r="AS64" s="381">
        <v>51.48260201499998</v>
      </c>
      <c r="AT64" s="381">
        <v>52.14370361199998</v>
      </c>
      <c r="AU64" s="381">
        <v>52.804805208999994</v>
      </c>
      <c r="AV64" s="381">
        <v>53.46590680599999</v>
      </c>
      <c r="AW64" s="381">
        <v>54.127008403000005</v>
      </c>
      <c r="AX64" s="381">
        <v>54.78811</v>
      </c>
      <c r="AY64" s="381">
        <v>55.53183999999999</v>
      </c>
      <c r="AZ64" s="381">
        <v>59.99422</v>
      </c>
      <c r="BA64" s="381">
        <v>60.663577</v>
      </c>
      <c r="BB64" s="381">
        <v>61.332933999999995</v>
      </c>
      <c r="BC64" s="381">
        <v>61.9775</v>
      </c>
      <c r="BD64" s="381">
        <v>62.63694059999999</v>
      </c>
      <c r="BE64" s="381">
        <v>63.296381199999985</v>
      </c>
      <c r="BF64" s="381">
        <v>63.95582179999998</v>
      </c>
      <c r="BG64" s="381">
        <v>64.61526239999998</v>
      </c>
      <c r="BH64" s="381">
        <v>65.27470299999999</v>
      </c>
      <c r="BI64" s="381">
        <v>65.93910179999999</v>
      </c>
      <c r="BJ64" s="381">
        <v>66.60350059999999</v>
      </c>
      <c r="BK64" s="381">
        <v>67.26789939999999</v>
      </c>
      <c r="BL64" s="381">
        <v>67.93229819999999</v>
      </c>
      <c r="BM64" s="382">
        <v>68.596697</v>
      </c>
      <c r="BN64" s="218"/>
      <c r="BO64" s="218"/>
      <c r="BP64" s="218"/>
      <c r="BQ64" s="218"/>
      <c r="BR64" s="218"/>
      <c r="BS64" s="218"/>
      <c r="BT64" s="218"/>
      <c r="BU64" s="218"/>
      <c r="BV64" s="218"/>
      <c r="BW64" s="218"/>
    </row>
    <row r="65" spans="2:75" ht="14.25" hidden="1">
      <c r="B65" s="228" t="s">
        <v>502</v>
      </c>
      <c r="C65" s="889"/>
      <c r="D65" s="889"/>
      <c r="E65" s="933" t="s">
        <v>503</v>
      </c>
      <c r="F65" s="934" t="s">
        <v>503</v>
      </c>
      <c r="P65" s="346"/>
      <c r="Q65" s="346"/>
      <c r="R65" s="346"/>
      <c r="S65" s="385"/>
      <c r="T65" s="328"/>
      <c r="U65" s="385"/>
      <c r="V65" s="350"/>
      <c r="W65" s="385"/>
      <c r="X65" s="328"/>
      <c r="Y65" s="385"/>
      <c r="AD65" s="294">
        <f t="shared" si="1"/>
        <v>81</v>
      </c>
      <c r="AE65" s="54" t="s">
        <v>70</v>
      </c>
      <c r="AF65" s="54">
        <v>8</v>
      </c>
      <c r="AG65" s="54" t="s">
        <v>247</v>
      </c>
      <c r="AH65" s="54">
        <v>1</v>
      </c>
      <c r="AI65" s="381">
        <v>16.470954499999984</v>
      </c>
      <c r="AJ65" s="381">
        <v>16.713624199999984</v>
      </c>
      <c r="AK65" s="381">
        <v>16.956293899999988</v>
      </c>
      <c r="AL65" s="381">
        <v>17.19896359999999</v>
      </c>
      <c r="AM65" s="381">
        <v>17.44163329999999</v>
      </c>
      <c r="AN65" s="381">
        <v>17.68430299999999</v>
      </c>
      <c r="AO65" s="381">
        <v>17.92697269999999</v>
      </c>
      <c r="AP65" s="381">
        <v>18.169642399999994</v>
      </c>
      <c r="AQ65" s="381">
        <v>18.412312099999994</v>
      </c>
      <c r="AR65" s="381">
        <v>18.654981799999995</v>
      </c>
      <c r="AS65" s="381">
        <v>18.897651499999995</v>
      </c>
      <c r="AT65" s="381">
        <v>19.1403212</v>
      </c>
      <c r="AU65" s="381">
        <v>19.3829909</v>
      </c>
      <c r="AV65" s="381">
        <v>19.6256606</v>
      </c>
      <c r="AW65" s="381">
        <v>19.8683303</v>
      </c>
      <c r="AX65" s="381">
        <v>20.111</v>
      </c>
      <c r="AY65" s="381">
        <v>21.28</v>
      </c>
      <c r="AZ65" s="381">
        <v>22.99</v>
      </c>
      <c r="BA65" s="381">
        <v>23.246499999999997</v>
      </c>
      <c r="BB65" s="381">
        <v>23.502999999999997</v>
      </c>
      <c r="BC65" s="381">
        <v>24.5</v>
      </c>
      <c r="BD65" s="381">
        <v>24.81334</v>
      </c>
      <c r="BE65" s="381">
        <v>25.12668</v>
      </c>
      <c r="BF65" s="381">
        <v>25.44002</v>
      </c>
      <c r="BG65" s="381">
        <v>25.75336</v>
      </c>
      <c r="BH65" s="381">
        <v>26.066699999999997</v>
      </c>
      <c r="BI65" s="381">
        <v>26.387359999999997</v>
      </c>
      <c r="BJ65" s="381">
        <v>26.708019999999998</v>
      </c>
      <c r="BK65" s="381">
        <v>27.028679999999998</v>
      </c>
      <c r="BL65" s="381">
        <v>27.349339999999998</v>
      </c>
      <c r="BM65" s="382">
        <v>27.67</v>
      </c>
      <c r="BN65" s="218"/>
      <c r="BO65" s="218"/>
      <c r="BP65" s="218"/>
      <c r="BQ65" s="218"/>
      <c r="BR65" s="218"/>
      <c r="BS65" s="218"/>
      <c r="BT65" s="218"/>
      <c r="BU65" s="218"/>
      <c r="BV65" s="218"/>
      <c r="BW65" s="218"/>
    </row>
    <row r="66" spans="2:75" ht="14.25" hidden="1">
      <c r="B66" s="228" t="s">
        <v>649</v>
      </c>
      <c r="C66" s="889"/>
      <c r="D66" s="889"/>
      <c r="E66" s="933" t="s">
        <v>503</v>
      </c>
      <c r="F66" s="934" t="s">
        <v>503</v>
      </c>
      <c r="P66" s="346"/>
      <c r="Q66" s="346"/>
      <c r="R66" s="346"/>
      <c r="S66" s="385"/>
      <c r="T66" s="328"/>
      <c r="U66" s="385"/>
      <c r="V66" s="328"/>
      <c r="W66" s="385"/>
      <c r="X66" s="328"/>
      <c r="Y66" s="385"/>
      <c r="AD66" s="294">
        <f t="shared" si="1"/>
        <v>91</v>
      </c>
      <c r="AE66" s="54" t="s">
        <v>505</v>
      </c>
      <c r="AF66" s="54">
        <v>9</v>
      </c>
      <c r="AG66" s="54" t="s">
        <v>247</v>
      </c>
      <c r="AH66" s="54">
        <v>1</v>
      </c>
      <c r="AI66" s="381">
        <v>36.199899999999964</v>
      </c>
      <c r="AJ66" s="381">
        <v>36.73323999999997</v>
      </c>
      <c r="AK66" s="381">
        <v>37.26657999999997</v>
      </c>
      <c r="AL66" s="381">
        <v>39.689915999999975</v>
      </c>
      <c r="AM66" s="381">
        <v>42.166585999999974</v>
      </c>
      <c r="AN66" s="381">
        <v>46.63991999999997</v>
      </c>
      <c r="AO66" s="381">
        <v>51.219921999999976</v>
      </c>
      <c r="AP66" s="381">
        <v>54.90825999999998</v>
      </c>
      <c r="AQ66" s="381">
        <v>57.66493349999998</v>
      </c>
      <c r="AR66" s="381">
        <v>58.424942999999985</v>
      </c>
      <c r="AS66" s="381">
        <v>59.18495249999999</v>
      </c>
      <c r="AT66" s="381">
        <v>59.94496199999999</v>
      </c>
      <c r="AU66" s="381">
        <v>60.70497149999999</v>
      </c>
      <c r="AV66" s="381">
        <v>64.69998</v>
      </c>
      <c r="AW66" s="381">
        <v>67.683323</v>
      </c>
      <c r="AX66" s="381">
        <v>70.72</v>
      </c>
      <c r="AY66" s="381">
        <v>71.68</v>
      </c>
      <c r="AZ66" s="381">
        <v>77.44</v>
      </c>
      <c r="BA66" s="381">
        <v>78.304</v>
      </c>
      <c r="BB66" s="381">
        <v>79.168</v>
      </c>
      <c r="BC66" s="381">
        <v>85</v>
      </c>
      <c r="BD66" s="381">
        <v>86.9576</v>
      </c>
      <c r="BE66" s="381">
        <v>88.9152</v>
      </c>
      <c r="BF66" s="381">
        <v>90.8728</v>
      </c>
      <c r="BG66" s="381">
        <v>92.8304</v>
      </c>
      <c r="BH66" s="381">
        <v>94.788</v>
      </c>
      <c r="BI66" s="381">
        <v>96.8596</v>
      </c>
      <c r="BJ66" s="381">
        <v>98.9312</v>
      </c>
      <c r="BK66" s="381">
        <v>101.00280000000001</v>
      </c>
      <c r="BL66" s="381">
        <v>103.07440000000001</v>
      </c>
      <c r="BM66" s="382">
        <v>105.146</v>
      </c>
      <c r="BN66" s="218"/>
      <c r="BO66" s="218"/>
      <c r="BP66" s="218"/>
      <c r="BQ66" s="218"/>
      <c r="BR66" s="218"/>
      <c r="BS66" s="218"/>
      <c r="BT66" s="218"/>
      <c r="BU66" s="218"/>
      <c r="BV66" s="218"/>
      <c r="BW66" s="218"/>
    </row>
    <row r="67" spans="2:75" ht="14.25" hidden="1">
      <c r="B67" s="228" t="s">
        <v>70</v>
      </c>
      <c r="C67" s="889"/>
      <c r="D67" s="889"/>
      <c r="E67" s="933" t="s">
        <v>503</v>
      </c>
      <c r="F67" s="935"/>
      <c r="P67" s="346"/>
      <c r="Q67" s="346"/>
      <c r="R67" s="346"/>
      <c r="S67" s="385"/>
      <c r="T67" s="328"/>
      <c r="U67" s="385"/>
      <c r="V67" s="328"/>
      <c r="W67" s="385"/>
      <c r="X67" s="328"/>
      <c r="Y67" s="385"/>
      <c r="AD67" s="294">
        <f t="shared" si="1"/>
        <v>12</v>
      </c>
      <c r="AE67" s="54" t="s">
        <v>497</v>
      </c>
      <c r="AF67" s="54">
        <v>1</v>
      </c>
      <c r="AG67" s="54" t="s">
        <v>492</v>
      </c>
      <c r="AH67" s="54">
        <v>2</v>
      </c>
      <c r="AI67" s="381">
        <v>14.65</v>
      </c>
      <c r="AJ67" s="381">
        <v>14.85</v>
      </c>
      <c r="AK67" s="381">
        <v>15.05</v>
      </c>
      <c r="AL67" s="381">
        <v>15.25</v>
      </c>
      <c r="AM67" s="381">
        <v>15.45</v>
      </c>
      <c r="AN67" s="381">
        <v>15.65</v>
      </c>
      <c r="AO67" s="381">
        <v>15.85</v>
      </c>
      <c r="AP67" s="381">
        <v>16.05</v>
      </c>
      <c r="AQ67" s="381">
        <v>16.25</v>
      </c>
      <c r="AR67" s="381">
        <v>16.45</v>
      </c>
      <c r="AS67" s="381">
        <v>16.65</v>
      </c>
      <c r="AT67" s="381">
        <v>16.85</v>
      </c>
      <c r="AU67" s="381">
        <v>17.05</v>
      </c>
      <c r="AV67" s="381">
        <v>17.25</v>
      </c>
      <c r="AW67" s="381">
        <v>17.55</v>
      </c>
      <c r="AX67" s="381">
        <v>17.7</v>
      </c>
      <c r="AY67" s="381">
        <v>18</v>
      </c>
      <c r="AZ67" s="381">
        <v>18.19</v>
      </c>
      <c r="BA67" s="381">
        <v>18.41</v>
      </c>
      <c r="BB67" s="381">
        <v>18.63</v>
      </c>
      <c r="BC67" s="381">
        <v>18.85</v>
      </c>
      <c r="BD67" s="381">
        <v>19.074</v>
      </c>
      <c r="BE67" s="381">
        <v>19.298000000000002</v>
      </c>
      <c r="BF67" s="381">
        <v>19.522000000000002</v>
      </c>
      <c r="BG67" s="381">
        <v>19.746000000000002</v>
      </c>
      <c r="BH67" s="381">
        <v>19.97</v>
      </c>
      <c r="BI67" s="381">
        <v>20.192</v>
      </c>
      <c r="BJ67" s="381">
        <v>20.414</v>
      </c>
      <c r="BK67" s="381">
        <v>20.636000000000003</v>
      </c>
      <c r="BL67" s="381">
        <v>20.858000000000004</v>
      </c>
      <c r="BM67" s="382">
        <v>21.08</v>
      </c>
      <c r="BN67" s="218"/>
      <c r="BO67" s="218"/>
      <c r="BP67" s="218"/>
      <c r="BQ67" s="218"/>
      <c r="BR67" s="218"/>
      <c r="BS67" s="218"/>
      <c r="BT67" s="218"/>
      <c r="BU67" s="218"/>
      <c r="BV67" s="218"/>
      <c r="BW67" s="218"/>
    </row>
    <row r="68" spans="2:75" ht="15" hidden="1" thickBot="1">
      <c r="B68" s="229" t="s">
        <v>505</v>
      </c>
      <c r="C68" s="914"/>
      <c r="D68" s="914"/>
      <c r="E68" s="936" t="s">
        <v>503</v>
      </c>
      <c r="F68" s="937" t="s">
        <v>503</v>
      </c>
      <c r="P68" s="328"/>
      <c r="Q68" s="328"/>
      <c r="R68" s="328"/>
      <c r="S68" s="328"/>
      <c r="T68" s="328"/>
      <c r="U68" s="328"/>
      <c r="V68" s="328"/>
      <c r="W68" s="328"/>
      <c r="X68" s="328"/>
      <c r="Y68" s="328"/>
      <c r="AD68" s="294">
        <f t="shared" si="1"/>
        <v>22</v>
      </c>
      <c r="AE68" s="54" t="s">
        <v>498</v>
      </c>
      <c r="AF68" s="54">
        <v>2</v>
      </c>
      <c r="AG68" s="54" t="s">
        <v>492</v>
      </c>
      <c r="AH68" s="54">
        <v>2</v>
      </c>
      <c r="AI68" s="381">
        <v>14.7965</v>
      </c>
      <c r="AJ68" s="381">
        <v>14.9985</v>
      </c>
      <c r="AK68" s="381">
        <v>15.200500000000002</v>
      </c>
      <c r="AL68" s="381">
        <v>15.86</v>
      </c>
      <c r="AM68" s="381">
        <v>16.068</v>
      </c>
      <c r="AN68" s="381">
        <v>16.276</v>
      </c>
      <c r="AO68" s="381">
        <v>16.484</v>
      </c>
      <c r="AP68" s="381">
        <v>17.1735</v>
      </c>
      <c r="AQ68" s="381">
        <v>17.3875</v>
      </c>
      <c r="AR68" s="381">
        <v>17.6015</v>
      </c>
      <c r="AS68" s="381">
        <v>18.1485</v>
      </c>
      <c r="AT68" s="381">
        <v>18.366500000000002</v>
      </c>
      <c r="AU68" s="381">
        <v>18.584500000000002</v>
      </c>
      <c r="AV68" s="381">
        <v>18.8025</v>
      </c>
      <c r="AW68" s="381">
        <v>19.129500000000004</v>
      </c>
      <c r="AX68" s="381">
        <v>19.293</v>
      </c>
      <c r="AY68" s="381">
        <v>19.62</v>
      </c>
      <c r="AZ68" s="381">
        <v>19.8271</v>
      </c>
      <c r="BA68" s="381">
        <v>20.0669</v>
      </c>
      <c r="BB68" s="381">
        <v>20.3067</v>
      </c>
      <c r="BC68" s="381">
        <v>20.5465</v>
      </c>
      <c r="BD68" s="381">
        <v>20.790660000000003</v>
      </c>
      <c r="BE68" s="381">
        <v>21.034820000000003</v>
      </c>
      <c r="BF68" s="381">
        <v>21.278980000000004</v>
      </c>
      <c r="BG68" s="381">
        <v>21.523140000000005</v>
      </c>
      <c r="BH68" s="381">
        <v>21.7673</v>
      </c>
      <c r="BI68" s="381">
        <v>22.00928</v>
      </c>
      <c r="BJ68" s="381">
        <v>22.251260000000002</v>
      </c>
      <c r="BK68" s="381">
        <v>22.493240000000004</v>
      </c>
      <c r="BL68" s="381">
        <v>22.735220000000005</v>
      </c>
      <c r="BM68" s="382">
        <v>22.9772</v>
      </c>
      <c r="BN68" s="218"/>
      <c r="BO68" s="218"/>
      <c r="BP68" s="218"/>
      <c r="BQ68" s="218"/>
      <c r="BR68" s="218"/>
      <c r="BS68" s="218"/>
      <c r="BT68" s="218"/>
      <c r="BU68" s="218"/>
      <c r="BV68" s="218"/>
      <c r="BW68" s="218"/>
    </row>
    <row r="69" spans="16:75" ht="14.25" hidden="1">
      <c r="P69" s="328"/>
      <c r="Q69" s="328"/>
      <c r="R69" s="429"/>
      <c r="S69" s="386"/>
      <c r="T69" s="328"/>
      <c r="U69" s="328"/>
      <c r="V69" s="328"/>
      <c r="W69" s="268"/>
      <c r="X69" s="268"/>
      <c r="Y69" s="386"/>
      <c r="AD69" s="294">
        <f t="shared" si="1"/>
        <v>32</v>
      </c>
      <c r="AE69" s="54" t="s">
        <v>499</v>
      </c>
      <c r="AF69" s="54">
        <v>3</v>
      </c>
      <c r="AG69" s="54" t="s">
        <v>492</v>
      </c>
      <c r="AH69" s="54">
        <v>2</v>
      </c>
      <c r="AI69" s="381">
        <v>21.2425</v>
      </c>
      <c r="AJ69" s="381">
        <v>21.5325</v>
      </c>
      <c r="AK69" s="381">
        <v>21.8225</v>
      </c>
      <c r="AL69" s="381">
        <v>22.1125</v>
      </c>
      <c r="AM69" s="381">
        <v>22.4025</v>
      </c>
      <c r="AN69" s="381">
        <v>22.6925</v>
      </c>
      <c r="AO69" s="381">
        <v>22.9825</v>
      </c>
      <c r="AP69" s="381">
        <v>23.2725</v>
      </c>
      <c r="AQ69" s="381">
        <v>23.5625</v>
      </c>
      <c r="AR69" s="381">
        <v>23.8525</v>
      </c>
      <c r="AS69" s="381">
        <v>24.1425</v>
      </c>
      <c r="AT69" s="381">
        <v>24.4325</v>
      </c>
      <c r="AU69" s="381">
        <v>24.7225</v>
      </c>
      <c r="AV69" s="381">
        <v>25.0125</v>
      </c>
      <c r="AW69" s="381">
        <v>25.4475</v>
      </c>
      <c r="AX69" s="381">
        <v>25.665</v>
      </c>
      <c r="AY69" s="381">
        <v>26.1</v>
      </c>
      <c r="AZ69" s="381">
        <v>26.375500000000002</v>
      </c>
      <c r="BA69" s="381">
        <v>26.694499999999998</v>
      </c>
      <c r="BB69" s="381">
        <v>27.013499999999997</v>
      </c>
      <c r="BC69" s="381">
        <v>27.3325</v>
      </c>
      <c r="BD69" s="381">
        <v>27.6573</v>
      </c>
      <c r="BE69" s="381">
        <v>27.9821</v>
      </c>
      <c r="BF69" s="381">
        <v>28.3069</v>
      </c>
      <c r="BG69" s="381">
        <v>28.6317</v>
      </c>
      <c r="BH69" s="381">
        <v>28.9565</v>
      </c>
      <c r="BI69" s="381">
        <v>29.278399999999998</v>
      </c>
      <c r="BJ69" s="381">
        <v>29.600299999999997</v>
      </c>
      <c r="BK69" s="381">
        <v>29.922199999999997</v>
      </c>
      <c r="BL69" s="381">
        <v>30.244099999999996</v>
      </c>
      <c r="BM69" s="382">
        <v>30.565999999999995</v>
      </c>
      <c r="BN69" s="218"/>
      <c r="BO69" s="218"/>
      <c r="BP69" s="218"/>
      <c r="BQ69" s="218"/>
      <c r="BR69" s="218"/>
      <c r="BS69" s="218"/>
      <c r="BT69" s="218"/>
      <c r="BU69" s="218"/>
      <c r="BV69" s="218"/>
      <c r="BW69" s="218"/>
    </row>
    <row r="70" spans="2:75" ht="14.25" hidden="1">
      <c r="B70" s="508" t="s">
        <v>658</v>
      </c>
      <c r="C70" s="235"/>
      <c r="P70" s="328"/>
      <c r="Q70" s="328"/>
      <c r="R70" s="328"/>
      <c r="S70" s="328"/>
      <c r="T70" s="328"/>
      <c r="U70" s="328"/>
      <c r="V70" s="328"/>
      <c r="W70" s="328"/>
      <c r="X70" s="328"/>
      <c r="Y70" s="328"/>
      <c r="AD70" s="294">
        <f t="shared" si="1"/>
        <v>42</v>
      </c>
      <c r="AE70" s="54" t="s">
        <v>500</v>
      </c>
      <c r="AF70" s="54">
        <v>4</v>
      </c>
      <c r="AG70" s="54" t="s">
        <v>492</v>
      </c>
      <c r="AH70" s="54">
        <v>2</v>
      </c>
      <c r="AI70" s="381">
        <v>34.355715000000004</v>
      </c>
      <c r="AJ70" s="381">
        <v>34.824735</v>
      </c>
      <c r="AK70" s="381">
        <v>35.293755000000004</v>
      </c>
      <c r="AL70" s="381">
        <v>35.762775000000005</v>
      </c>
      <c r="AM70" s="381">
        <v>36.231795</v>
      </c>
      <c r="AN70" s="381">
        <v>36.700815000000006</v>
      </c>
      <c r="AO70" s="381">
        <v>37.169835</v>
      </c>
      <c r="AP70" s="381">
        <v>37.63885500000001</v>
      </c>
      <c r="AQ70" s="381">
        <v>38.10787499999999</v>
      </c>
      <c r="AR70" s="381">
        <v>38.57689499999999</v>
      </c>
      <c r="AS70" s="381">
        <v>39.045914999999994</v>
      </c>
      <c r="AT70" s="381">
        <v>39.51493500000001</v>
      </c>
      <c r="AU70" s="381">
        <v>39.983954999999995</v>
      </c>
      <c r="AV70" s="381">
        <v>40.452974999999995</v>
      </c>
      <c r="AW70" s="381">
        <v>41.156504999999996</v>
      </c>
      <c r="AX70" s="381">
        <v>41.508269999999996</v>
      </c>
      <c r="AY70" s="381">
        <v>42.2118</v>
      </c>
      <c r="AZ70" s="381">
        <v>42.657369</v>
      </c>
      <c r="BA70" s="381">
        <v>43.173291</v>
      </c>
      <c r="BB70" s="381">
        <v>43.689212999999995</v>
      </c>
      <c r="BC70" s="381">
        <v>44.205135</v>
      </c>
      <c r="BD70" s="381">
        <v>44.7304374</v>
      </c>
      <c r="BE70" s="381">
        <v>45.2557398</v>
      </c>
      <c r="BF70" s="381">
        <v>45.7810422</v>
      </c>
      <c r="BG70" s="381">
        <v>46.3063446</v>
      </c>
      <c r="BH70" s="381">
        <v>46.831647</v>
      </c>
      <c r="BI70" s="381">
        <v>47.3522592</v>
      </c>
      <c r="BJ70" s="381">
        <v>47.8728714</v>
      </c>
      <c r="BK70" s="381">
        <v>48.3934836</v>
      </c>
      <c r="BL70" s="381">
        <v>48.914095800000005</v>
      </c>
      <c r="BM70" s="382">
        <v>49.43470799999999</v>
      </c>
      <c r="BN70" s="218"/>
      <c r="BO70" s="218"/>
      <c r="BP70" s="218"/>
      <c r="BQ70" s="218"/>
      <c r="BR70" s="218"/>
      <c r="BS70" s="218"/>
      <c r="BT70" s="218"/>
      <c r="BU70" s="218"/>
      <c r="BV70" s="218"/>
      <c r="BW70" s="218"/>
    </row>
    <row r="71" spans="2:75" ht="14.25" hidden="1">
      <c r="B71" s="141" t="s">
        <v>652</v>
      </c>
      <c r="P71" s="328"/>
      <c r="Q71" s="328"/>
      <c r="R71" s="328"/>
      <c r="S71" s="328"/>
      <c r="T71" s="328"/>
      <c r="U71" s="328"/>
      <c r="V71" s="328"/>
      <c r="W71" s="328"/>
      <c r="X71" s="328"/>
      <c r="Y71" s="328"/>
      <c r="AD71" s="294">
        <f t="shared" si="1"/>
        <v>52</v>
      </c>
      <c r="AE71" s="54" t="s">
        <v>501</v>
      </c>
      <c r="AF71" s="54">
        <v>5</v>
      </c>
      <c r="AG71" s="54" t="s">
        <v>492</v>
      </c>
      <c r="AH71" s="54">
        <v>2</v>
      </c>
      <c r="AI71" s="381">
        <v>17.94625</v>
      </c>
      <c r="AJ71" s="381">
        <v>18.19125</v>
      </c>
      <c r="AK71" s="381">
        <v>18.43625</v>
      </c>
      <c r="AL71" s="381">
        <v>18.68125</v>
      </c>
      <c r="AM71" s="381">
        <v>18.92625</v>
      </c>
      <c r="AN71" s="381">
        <v>19.17125</v>
      </c>
      <c r="AO71" s="381">
        <v>19.41625</v>
      </c>
      <c r="AP71" s="381">
        <v>19.66125</v>
      </c>
      <c r="AQ71" s="381">
        <v>19.90625</v>
      </c>
      <c r="AR71" s="381">
        <v>20.15125</v>
      </c>
      <c r="AS71" s="381">
        <v>20.39625</v>
      </c>
      <c r="AT71" s="381">
        <v>20.64125</v>
      </c>
      <c r="AU71" s="381">
        <v>20.88625</v>
      </c>
      <c r="AV71" s="381">
        <v>21.13125</v>
      </c>
      <c r="AW71" s="381">
        <v>21.49875</v>
      </c>
      <c r="AX71" s="381">
        <v>21.6825</v>
      </c>
      <c r="AY71" s="381">
        <v>22.05</v>
      </c>
      <c r="AZ71" s="381">
        <v>22.282750000000004</v>
      </c>
      <c r="BA71" s="381">
        <v>22.55225</v>
      </c>
      <c r="BB71" s="381">
        <v>22.82175</v>
      </c>
      <c r="BC71" s="381">
        <v>23.09125</v>
      </c>
      <c r="BD71" s="381">
        <v>23.36565</v>
      </c>
      <c r="BE71" s="381">
        <v>23.64005</v>
      </c>
      <c r="BF71" s="381">
        <v>23.91445</v>
      </c>
      <c r="BG71" s="381">
        <v>24.18885</v>
      </c>
      <c r="BH71" s="381">
        <v>24.46325</v>
      </c>
      <c r="BI71" s="381">
        <v>24.7352</v>
      </c>
      <c r="BJ71" s="381">
        <v>25.00715</v>
      </c>
      <c r="BK71" s="381">
        <v>25.2791</v>
      </c>
      <c r="BL71" s="381">
        <v>25.55105</v>
      </c>
      <c r="BM71" s="382">
        <v>25.823</v>
      </c>
      <c r="BN71" s="218"/>
      <c r="BO71" s="218"/>
      <c r="BP71" s="218"/>
      <c r="BQ71" s="218"/>
      <c r="BR71" s="218"/>
      <c r="BS71" s="218"/>
      <c r="BT71" s="218"/>
      <c r="BU71" s="218"/>
      <c r="BV71" s="218"/>
      <c r="BW71" s="218"/>
    </row>
    <row r="72" spans="2:75" ht="15" hidden="1" thickBot="1">
      <c r="B72" s="141" t="s">
        <v>676</v>
      </c>
      <c r="P72" s="328"/>
      <c r="Q72" s="328"/>
      <c r="R72" s="328"/>
      <c r="S72" s="328"/>
      <c r="T72" s="328"/>
      <c r="U72" s="328"/>
      <c r="V72" s="328"/>
      <c r="W72" s="328"/>
      <c r="X72" s="328"/>
      <c r="Y72" s="328"/>
      <c r="AD72" s="294">
        <f t="shared" si="1"/>
        <v>62</v>
      </c>
      <c r="AE72" s="54" t="s">
        <v>502</v>
      </c>
      <c r="AF72" s="54">
        <v>6</v>
      </c>
      <c r="AG72" s="54" t="s">
        <v>492</v>
      </c>
      <c r="AH72" s="54">
        <v>2</v>
      </c>
      <c r="AI72" s="381">
        <v>23.8795</v>
      </c>
      <c r="AJ72" s="381">
        <v>24.205499999999997</v>
      </c>
      <c r="AK72" s="381">
        <v>24.5315</v>
      </c>
      <c r="AL72" s="381">
        <v>24.8575</v>
      </c>
      <c r="AM72" s="381">
        <v>25.1835</v>
      </c>
      <c r="AN72" s="381">
        <v>25.5095</v>
      </c>
      <c r="AO72" s="381">
        <v>25.835499999999996</v>
      </c>
      <c r="AP72" s="381">
        <v>26.1615</v>
      </c>
      <c r="AQ72" s="381">
        <v>26.4875</v>
      </c>
      <c r="AR72" s="381">
        <v>26.813499999999998</v>
      </c>
      <c r="AS72" s="381">
        <v>27.139499999999995</v>
      </c>
      <c r="AT72" s="381">
        <v>27.465500000000002</v>
      </c>
      <c r="AU72" s="381">
        <v>27.7915</v>
      </c>
      <c r="AV72" s="381">
        <v>28.1175</v>
      </c>
      <c r="AW72" s="381">
        <v>28.6065</v>
      </c>
      <c r="AX72" s="381">
        <v>28.850999999999996</v>
      </c>
      <c r="AY72" s="381">
        <v>29.34</v>
      </c>
      <c r="AZ72" s="381">
        <v>29.6497</v>
      </c>
      <c r="BA72" s="381">
        <v>30.0083</v>
      </c>
      <c r="BB72" s="381">
        <v>30.366899999999998</v>
      </c>
      <c r="BC72" s="381">
        <v>30.7255</v>
      </c>
      <c r="BD72" s="381">
        <v>31.09062</v>
      </c>
      <c r="BE72" s="381">
        <v>31.455740000000002</v>
      </c>
      <c r="BF72" s="381">
        <v>31.820860000000003</v>
      </c>
      <c r="BG72" s="381">
        <v>32.18598</v>
      </c>
      <c r="BH72" s="381">
        <v>32.5511</v>
      </c>
      <c r="BI72" s="381">
        <v>32.91296</v>
      </c>
      <c r="BJ72" s="381">
        <v>33.27482</v>
      </c>
      <c r="BK72" s="381">
        <v>33.63668</v>
      </c>
      <c r="BL72" s="381">
        <v>33.99854</v>
      </c>
      <c r="BM72" s="382">
        <v>34.3604</v>
      </c>
      <c r="BN72" s="218"/>
      <c r="BO72" s="218"/>
      <c r="BP72" s="218"/>
      <c r="BQ72" s="218"/>
      <c r="BR72" s="218"/>
      <c r="BS72" s="218"/>
      <c r="BT72" s="218"/>
      <c r="BU72" s="218"/>
      <c r="BV72" s="218"/>
      <c r="BW72" s="218"/>
    </row>
    <row r="73" spans="2:75" ht="14.25" hidden="1">
      <c r="B73" s="141" t="s">
        <v>902</v>
      </c>
      <c r="P73" s="1011" t="s">
        <v>510</v>
      </c>
      <c r="Q73" s="1012"/>
      <c r="R73" s="1012"/>
      <c r="S73" s="1012"/>
      <c r="T73" s="1013"/>
      <c r="U73" s="328"/>
      <c r="V73" s="328"/>
      <c r="W73" s="328"/>
      <c r="X73" s="328"/>
      <c r="Y73" s="328"/>
      <c r="AD73" s="294">
        <f t="shared" si="1"/>
        <v>72</v>
      </c>
      <c r="AE73" s="54" t="s">
        <v>504</v>
      </c>
      <c r="AF73" s="54">
        <v>7</v>
      </c>
      <c r="AG73" s="54" t="s">
        <v>492</v>
      </c>
      <c r="AH73" s="54">
        <v>2</v>
      </c>
      <c r="AI73" s="381">
        <v>36.318815</v>
      </c>
      <c r="AJ73" s="381">
        <v>36.814634999999996</v>
      </c>
      <c r="AK73" s="381">
        <v>37.310455000000005</v>
      </c>
      <c r="AL73" s="381">
        <v>37.806275</v>
      </c>
      <c r="AM73" s="381">
        <v>38.302094999999994</v>
      </c>
      <c r="AN73" s="381">
        <v>38.797915</v>
      </c>
      <c r="AO73" s="381">
        <v>39.293735</v>
      </c>
      <c r="AP73" s="381">
        <v>39.78955500000001</v>
      </c>
      <c r="AQ73" s="381">
        <v>40.285375</v>
      </c>
      <c r="AR73" s="381">
        <v>40.781195</v>
      </c>
      <c r="AS73" s="381">
        <v>41.27701499999999</v>
      </c>
      <c r="AT73" s="381">
        <v>41.772835</v>
      </c>
      <c r="AU73" s="381">
        <v>42.268654999999995</v>
      </c>
      <c r="AV73" s="381">
        <v>42.764475</v>
      </c>
      <c r="AW73" s="381">
        <v>43.508205</v>
      </c>
      <c r="AX73" s="381">
        <v>43.880069999999996</v>
      </c>
      <c r="AY73" s="381">
        <v>44.6238</v>
      </c>
      <c r="AZ73" s="381">
        <v>45.094829000000004</v>
      </c>
      <c r="BA73" s="381">
        <v>45.640231</v>
      </c>
      <c r="BB73" s="381">
        <v>46.185632999999996</v>
      </c>
      <c r="BC73" s="381">
        <v>46.731035000000006</v>
      </c>
      <c r="BD73" s="381">
        <v>47.2863534</v>
      </c>
      <c r="BE73" s="381">
        <v>47.8416718</v>
      </c>
      <c r="BF73" s="381">
        <v>48.3969902</v>
      </c>
      <c r="BG73" s="381">
        <v>48.952308599999995</v>
      </c>
      <c r="BH73" s="381">
        <v>49.507627</v>
      </c>
      <c r="BI73" s="381">
        <v>50.0579872</v>
      </c>
      <c r="BJ73" s="381">
        <v>50.6083474</v>
      </c>
      <c r="BK73" s="381">
        <v>51.1587076</v>
      </c>
      <c r="BL73" s="381">
        <v>51.7090678</v>
      </c>
      <c r="BM73" s="382">
        <v>52.25942799999999</v>
      </c>
      <c r="BN73" s="218"/>
      <c r="BO73" s="218"/>
      <c r="BP73" s="218"/>
      <c r="BQ73" s="218"/>
      <c r="BR73" s="218"/>
      <c r="BS73" s="218"/>
      <c r="BT73" s="218"/>
      <c r="BU73" s="218"/>
      <c r="BV73" s="218"/>
      <c r="BW73" s="218"/>
    </row>
    <row r="74" spans="2:75" ht="14.25" hidden="1">
      <c r="B74" s="141" t="s">
        <v>677</v>
      </c>
      <c r="P74" s="1020" t="s">
        <v>565</v>
      </c>
      <c r="Q74" s="1021"/>
      <c r="R74" s="1021"/>
      <c r="S74" s="1021"/>
      <c r="T74" s="1022"/>
      <c r="U74" s="328"/>
      <c r="V74" s="328"/>
      <c r="W74" s="328"/>
      <c r="X74" s="328"/>
      <c r="Y74" s="328"/>
      <c r="AD74" s="294"/>
      <c r="AE74" s="54"/>
      <c r="AF74" s="54"/>
      <c r="AG74" s="54"/>
      <c r="AH74" s="54"/>
      <c r="AI74" s="381"/>
      <c r="AJ74" s="381"/>
      <c r="AK74" s="381"/>
      <c r="AL74" s="381"/>
      <c r="AM74" s="381"/>
      <c r="AN74" s="381"/>
      <c r="AO74" s="381"/>
      <c r="AP74" s="381"/>
      <c r="AQ74" s="381"/>
      <c r="AR74" s="381"/>
      <c r="AS74" s="381"/>
      <c r="AT74" s="381"/>
      <c r="AU74" s="381"/>
      <c r="AV74" s="381"/>
      <c r="AW74" s="381"/>
      <c r="AX74" s="381"/>
      <c r="AY74" s="381"/>
      <c r="AZ74" s="381"/>
      <c r="BA74" s="381"/>
      <c r="BB74" s="381"/>
      <c r="BC74" s="381"/>
      <c r="BD74" s="381"/>
      <c r="BE74" s="381"/>
      <c r="BF74" s="381"/>
      <c r="BG74" s="381"/>
      <c r="BH74" s="381"/>
      <c r="BI74" s="381"/>
      <c r="BJ74" s="381"/>
      <c r="BK74" s="381"/>
      <c r="BL74" s="381"/>
      <c r="BM74" s="382"/>
      <c r="BN74" s="218"/>
      <c r="BO74" s="218"/>
      <c r="BP74" s="218"/>
      <c r="BQ74" s="218"/>
      <c r="BR74" s="218"/>
      <c r="BS74" s="218"/>
      <c r="BT74" s="218"/>
      <c r="BU74" s="218"/>
      <c r="BV74" s="218"/>
      <c r="BW74" s="218"/>
    </row>
    <row r="75" spans="2:75" ht="15" hidden="1" thickBot="1">
      <c r="B75" s="141"/>
      <c r="P75" s="156"/>
      <c r="Q75" s="157"/>
      <c r="R75" s="157"/>
      <c r="S75" s="157"/>
      <c r="T75" s="158"/>
      <c r="U75" s="328"/>
      <c r="V75" s="328"/>
      <c r="W75" s="328"/>
      <c r="X75" s="328"/>
      <c r="Y75" s="328"/>
      <c r="AD75" s="294"/>
      <c r="AE75" s="54"/>
      <c r="AF75" s="54"/>
      <c r="AG75" s="54"/>
      <c r="AH75" s="54"/>
      <c r="AI75" s="381"/>
      <c r="AJ75" s="381"/>
      <c r="AK75" s="381"/>
      <c r="AL75" s="381"/>
      <c r="AM75" s="381"/>
      <c r="AN75" s="381"/>
      <c r="AO75" s="381"/>
      <c r="AP75" s="381"/>
      <c r="AQ75" s="381"/>
      <c r="AR75" s="381"/>
      <c r="AS75" s="381"/>
      <c r="AT75" s="381"/>
      <c r="AU75" s="381"/>
      <c r="AV75" s="381"/>
      <c r="AW75" s="381"/>
      <c r="AX75" s="381"/>
      <c r="AY75" s="381"/>
      <c r="AZ75" s="381"/>
      <c r="BA75" s="381"/>
      <c r="BB75" s="381"/>
      <c r="BC75" s="381"/>
      <c r="BD75" s="381"/>
      <c r="BE75" s="381"/>
      <c r="BF75" s="381"/>
      <c r="BG75" s="381"/>
      <c r="BH75" s="381"/>
      <c r="BI75" s="381"/>
      <c r="BJ75" s="381"/>
      <c r="BK75" s="381"/>
      <c r="BL75" s="381"/>
      <c r="BM75" s="382"/>
      <c r="BN75" s="218"/>
      <c r="BO75" s="218"/>
      <c r="BP75" s="218"/>
      <c r="BQ75" s="218"/>
      <c r="BR75" s="218"/>
      <c r="BS75" s="218"/>
      <c r="BT75" s="218"/>
      <c r="BU75" s="218"/>
      <c r="BV75" s="218"/>
      <c r="BW75" s="218"/>
    </row>
    <row r="76" spans="2:75" ht="39" hidden="1" thickBot="1">
      <c r="B76" s="219" t="s">
        <v>820</v>
      </c>
      <c r="C76" s="220" t="s">
        <v>247</v>
      </c>
      <c r="D76" s="220" t="s">
        <v>646</v>
      </c>
      <c r="E76" s="220" t="s">
        <v>624</v>
      </c>
      <c r="F76" s="221" t="s">
        <v>625</v>
      </c>
      <c r="H76" s="141" t="s">
        <v>569</v>
      </c>
      <c r="P76" s="149" t="s">
        <v>246</v>
      </c>
      <c r="Q76" s="150" t="s">
        <v>247</v>
      </c>
      <c r="R76" s="150" t="s">
        <v>492</v>
      </c>
      <c r="S76" s="150" t="s">
        <v>493</v>
      </c>
      <c r="T76" s="151" t="s">
        <v>494</v>
      </c>
      <c r="U76" s="328"/>
      <c r="V76" s="328"/>
      <c r="W76" s="328"/>
      <c r="X76" s="328"/>
      <c r="Y76" s="328"/>
      <c r="AD76" s="294">
        <f t="shared" si="1"/>
        <v>82</v>
      </c>
      <c r="AE76" s="54" t="s">
        <v>70</v>
      </c>
      <c r="AF76" s="54">
        <v>8</v>
      </c>
      <c r="AG76" s="54" t="s">
        <v>492</v>
      </c>
      <c r="AH76" s="54">
        <v>2</v>
      </c>
      <c r="AI76" s="381">
        <v>13.3315</v>
      </c>
      <c r="AJ76" s="381">
        <v>13.5135</v>
      </c>
      <c r="AK76" s="381">
        <v>13.695500000000001</v>
      </c>
      <c r="AL76" s="381">
        <v>13.8775</v>
      </c>
      <c r="AM76" s="381">
        <v>14.0595</v>
      </c>
      <c r="AN76" s="381">
        <v>14.2415</v>
      </c>
      <c r="AO76" s="381">
        <v>14.4235</v>
      </c>
      <c r="AP76" s="381">
        <v>14.605500000000001</v>
      </c>
      <c r="AQ76" s="381">
        <v>14.7875</v>
      </c>
      <c r="AR76" s="381">
        <v>14.9695</v>
      </c>
      <c r="AS76" s="381">
        <v>15.151499999999999</v>
      </c>
      <c r="AT76" s="381">
        <v>15.333500000000003</v>
      </c>
      <c r="AU76" s="381">
        <v>15.515500000000001</v>
      </c>
      <c r="AV76" s="381">
        <v>15.6975</v>
      </c>
      <c r="AW76" s="381">
        <v>15.970500000000001</v>
      </c>
      <c r="AX76" s="381">
        <v>16.107</v>
      </c>
      <c r="AY76" s="381">
        <v>17.1</v>
      </c>
      <c r="AZ76" s="381">
        <v>17.2805</v>
      </c>
      <c r="BA76" s="381">
        <v>17.4895</v>
      </c>
      <c r="BB76" s="381">
        <v>17.6985</v>
      </c>
      <c r="BC76" s="381">
        <v>18.473000000000003</v>
      </c>
      <c r="BD76" s="381">
        <v>18.732460000000003</v>
      </c>
      <c r="BE76" s="381">
        <v>18.991920000000004</v>
      </c>
      <c r="BF76" s="381">
        <v>19.251380000000005</v>
      </c>
      <c r="BG76" s="381">
        <v>19.510840000000005</v>
      </c>
      <c r="BH76" s="381">
        <v>19.7703</v>
      </c>
      <c r="BI76" s="381">
        <v>20.032239999999998</v>
      </c>
      <c r="BJ76" s="381">
        <v>20.294179999999997</v>
      </c>
      <c r="BK76" s="381">
        <v>20.556119999999996</v>
      </c>
      <c r="BL76" s="381">
        <v>20.818059999999996</v>
      </c>
      <c r="BM76" s="382">
        <v>21.08</v>
      </c>
      <c r="BN76" s="218"/>
      <c r="BO76" s="218"/>
      <c r="BP76" s="218"/>
      <c r="BQ76" s="218"/>
      <c r="BR76" s="218"/>
      <c r="BS76" s="218"/>
      <c r="BT76" s="218"/>
      <c r="BU76" s="218"/>
      <c r="BV76" s="218"/>
      <c r="BW76" s="218"/>
    </row>
    <row r="77" spans="2:75" ht="14.25" hidden="1">
      <c r="B77" s="227" t="s">
        <v>497</v>
      </c>
      <c r="C77" s="800">
        <f>$AB$26</f>
        <v>25</v>
      </c>
      <c r="D77" s="800">
        <f>$AC$26</f>
        <v>18.85</v>
      </c>
      <c r="E77" s="801">
        <f>$AD$26</f>
        <v>10.021</v>
      </c>
      <c r="F77" s="802">
        <f>$AE$26</f>
        <v>6</v>
      </c>
      <c r="P77" s="153" t="s">
        <v>497</v>
      </c>
      <c r="Q77" s="342">
        <f>C77*(1+'Onroad Strategies'!AE129)</f>
        <v>25</v>
      </c>
      <c r="R77" s="342">
        <f>D77*(1+'Onroad Strategies'!AF$129)</f>
        <v>18.85</v>
      </c>
      <c r="S77" s="342">
        <f>E77*(1+'Onroad Strategies'!AG$129)</f>
        <v>10.021</v>
      </c>
      <c r="T77" s="343">
        <f>F77*(1+'Onroad Strategies'!AH$129)</f>
        <v>6</v>
      </c>
      <c r="AD77" s="294">
        <f t="shared" si="1"/>
        <v>92</v>
      </c>
      <c r="AE77" s="54" t="s">
        <v>505</v>
      </c>
      <c r="AF77" s="54">
        <v>9</v>
      </c>
      <c r="AG77" s="54" t="s">
        <v>492</v>
      </c>
      <c r="AH77" s="54">
        <v>2</v>
      </c>
      <c r="AI77" s="381">
        <v>29.3</v>
      </c>
      <c r="AJ77" s="381">
        <v>29.7</v>
      </c>
      <c r="AK77" s="381">
        <v>30.1</v>
      </c>
      <c r="AL77" s="381">
        <v>32.025</v>
      </c>
      <c r="AM77" s="381">
        <v>33.99</v>
      </c>
      <c r="AN77" s="381">
        <v>37.56</v>
      </c>
      <c r="AO77" s="381">
        <v>41.21</v>
      </c>
      <c r="AP77" s="381">
        <v>44.1375</v>
      </c>
      <c r="AQ77" s="381">
        <v>46.3125</v>
      </c>
      <c r="AR77" s="381">
        <v>46.8825</v>
      </c>
      <c r="AS77" s="381">
        <v>47.4525</v>
      </c>
      <c r="AT77" s="381">
        <v>48.0225</v>
      </c>
      <c r="AU77" s="381">
        <v>48.5925</v>
      </c>
      <c r="AV77" s="381">
        <v>51.75</v>
      </c>
      <c r="AW77" s="381">
        <v>57.0375</v>
      </c>
      <c r="AX77" s="381">
        <v>61.95</v>
      </c>
      <c r="AY77" s="381">
        <v>63</v>
      </c>
      <c r="AZ77" s="381">
        <v>63.665</v>
      </c>
      <c r="BA77" s="381">
        <v>64.435</v>
      </c>
      <c r="BB77" s="381">
        <v>65.205</v>
      </c>
      <c r="BC77" s="381">
        <v>72.5725</v>
      </c>
      <c r="BD77" s="381">
        <v>73.4349</v>
      </c>
      <c r="BE77" s="381">
        <v>74.29729999999999</v>
      </c>
      <c r="BF77" s="381">
        <v>75.15969999999999</v>
      </c>
      <c r="BG77" s="381">
        <v>76.02209999999998</v>
      </c>
      <c r="BH77" s="381">
        <v>76.8845</v>
      </c>
      <c r="BI77" s="381">
        <v>77.7392</v>
      </c>
      <c r="BJ77" s="381">
        <v>78.59389999999999</v>
      </c>
      <c r="BK77" s="381">
        <v>79.44859999999998</v>
      </c>
      <c r="BL77" s="381">
        <v>80.30329999999998</v>
      </c>
      <c r="BM77" s="382">
        <v>81.158</v>
      </c>
      <c r="BN77" s="218"/>
      <c r="BO77" s="218"/>
      <c r="BP77" s="218"/>
      <c r="BQ77" s="218"/>
      <c r="BR77" s="218"/>
      <c r="BS77" s="218"/>
      <c r="BT77" s="218"/>
      <c r="BU77" s="218"/>
      <c r="BV77" s="218"/>
      <c r="BW77" s="218"/>
    </row>
    <row r="78" spans="2:75" ht="14.25" hidden="1">
      <c r="B78" s="228" t="s">
        <v>647</v>
      </c>
      <c r="C78" s="803">
        <f>$AB$27</f>
        <v>27.25</v>
      </c>
      <c r="D78" s="803">
        <f>$AC$27</f>
        <v>20.5465</v>
      </c>
      <c r="E78" s="375" t="s">
        <v>503</v>
      </c>
      <c r="F78" s="376" t="s">
        <v>503</v>
      </c>
      <c r="I78" s="235"/>
      <c r="L78" s="235" t="s">
        <v>678</v>
      </c>
      <c r="P78" s="145" t="s">
        <v>498</v>
      </c>
      <c r="Q78" s="344">
        <f>C78*(1+'Onroad Strategies'!AE130)</f>
        <v>27.25</v>
      </c>
      <c r="R78" s="344">
        <f>D78*(1+'Onroad Strategies'!AF130)</f>
        <v>20.5465</v>
      </c>
      <c r="S78" s="344" t="s">
        <v>503</v>
      </c>
      <c r="T78" s="345" t="s">
        <v>503</v>
      </c>
      <c r="U78" s="328"/>
      <c r="V78" s="328"/>
      <c r="W78" s="328"/>
      <c r="X78" s="328"/>
      <c r="Y78" s="328"/>
      <c r="Z78" s="328"/>
      <c r="AD78" s="294">
        <f t="shared" si="1"/>
        <v>13</v>
      </c>
      <c r="AE78" s="54" t="s">
        <v>497</v>
      </c>
      <c r="AF78" s="54">
        <v>1</v>
      </c>
      <c r="AG78" s="54" t="s">
        <v>493</v>
      </c>
      <c r="AH78" s="54">
        <v>3</v>
      </c>
      <c r="AI78" s="381">
        <v>8.139</v>
      </c>
      <c r="AJ78" s="381">
        <v>8.2331</v>
      </c>
      <c r="AK78" s="381">
        <v>8.3272</v>
      </c>
      <c r="AL78" s="381">
        <v>8.4213</v>
      </c>
      <c r="AM78" s="381">
        <v>8.5154</v>
      </c>
      <c r="AN78" s="381">
        <v>8.6095</v>
      </c>
      <c r="AO78" s="381">
        <v>8.7036</v>
      </c>
      <c r="AP78" s="381">
        <v>8.7977</v>
      </c>
      <c r="AQ78" s="381">
        <v>8.8918</v>
      </c>
      <c r="AR78" s="381">
        <v>8.9859</v>
      </c>
      <c r="AS78" s="381">
        <v>9.08</v>
      </c>
      <c r="AT78" s="381">
        <v>9.174100000000001</v>
      </c>
      <c r="AU78" s="381">
        <v>9.2682</v>
      </c>
      <c r="AV78" s="381">
        <v>9.3623</v>
      </c>
      <c r="AW78" s="381">
        <v>9.4564</v>
      </c>
      <c r="AX78" s="381">
        <v>8.3</v>
      </c>
      <c r="AY78" s="381">
        <v>8.2</v>
      </c>
      <c r="AZ78" s="381">
        <v>9.7387</v>
      </c>
      <c r="BA78" s="381">
        <v>9.8328</v>
      </c>
      <c r="BB78" s="381">
        <v>9.9269</v>
      </c>
      <c r="BC78" s="381">
        <v>10.021</v>
      </c>
      <c r="BD78" s="381">
        <v>10.1151</v>
      </c>
      <c r="BE78" s="381">
        <v>10.2092</v>
      </c>
      <c r="BF78" s="381">
        <v>10.303299999999998</v>
      </c>
      <c r="BG78" s="381">
        <v>10.397399999999998</v>
      </c>
      <c r="BH78" s="381">
        <v>10.4915</v>
      </c>
      <c r="BI78" s="381">
        <v>10.5856</v>
      </c>
      <c r="BJ78" s="381">
        <v>10.679699999999999</v>
      </c>
      <c r="BK78" s="381">
        <v>10.773799999999998</v>
      </c>
      <c r="BL78" s="381">
        <v>10.867899999999997</v>
      </c>
      <c r="BM78" s="382">
        <v>10.962</v>
      </c>
      <c r="BN78" s="218"/>
      <c r="BO78" s="218"/>
      <c r="BP78" s="218"/>
      <c r="BQ78" s="218"/>
      <c r="BR78" s="218"/>
      <c r="BS78" s="218"/>
      <c r="BT78" s="218"/>
      <c r="BU78" s="218"/>
      <c r="BV78" s="218"/>
      <c r="BW78" s="218"/>
    </row>
    <row r="79" spans="2:75" ht="14.25" hidden="1">
      <c r="B79" s="228" t="s">
        <v>499</v>
      </c>
      <c r="C79" s="803">
        <f>$AB$28</f>
        <v>36.25</v>
      </c>
      <c r="D79" s="803">
        <f>$AC$28</f>
        <v>27.3325</v>
      </c>
      <c r="E79" s="375" t="s">
        <v>503</v>
      </c>
      <c r="F79" s="376" t="s">
        <v>503</v>
      </c>
      <c r="P79" s="145" t="s">
        <v>499</v>
      </c>
      <c r="Q79" s="344">
        <f>C79*(1+'Onroad Strategies'!AE131)</f>
        <v>36.25</v>
      </c>
      <c r="R79" s="344">
        <f>D79*(1+'Onroad Strategies'!AF131)</f>
        <v>27.3325</v>
      </c>
      <c r="S79" s="344" t="s">
        <v>503</v>
      </c>
      <c r="T79" s="345" t="s">
        <v>503</v>
      </c>
      <c r="U79" s="328"/>
      <c r="V79" s="328"/>
      <c r="W79" s="328"/>
      <c r="X79" s="328"/>
      <c r="Y79" s="328"/>
      <c r="Z79" s="328"/>
      <c r="AD79" s="294">
        <f t="shared" si="1"/>
        <v>23</v>
      </c>
      <c r="AE79" s="54" t="s">
        <v>498</v>
      </c>
      <c r="AF79" s="54">
        <v>2</v>
      </c>
      <c r="AG79" s="54" t="s">
        <v>493</v>
      </c>
      <c r="AH79" s="54">
        <v>3</v>
      </c>
      <c r="AI79" s="381" t="s">
        <v>503</v>
      </c>
      <c r="AJ79" s="381" t="s">
        <v>503</v>
      </c>
      <c r="AK79" s="381" t="s">
        <v>503</v>
      </c>
      <c r="AL79" s="381" t="s">
        <v>503</v>
      </c>
      <c r="AM79" s="381" t="s">
        <v>503</v>
      </c>
      <c r="AN79" s="381" t="s">
        <v>503</v>
      </c>
      <c r="AO79" s="381" t="s">
        <v>503</v>
      </c>
      <c r="AP79" s="381" t="s">
        <v>503</v>
      </c>
      <c r="AQ79" s="381" t="s">
        <v>503</v>
      </c>
      <c r="AR79" s="381" t="s">
        <v>503</v>
      </c>
      <c r="AS79" s="381" t="s">
        <v>503</v>
      </c>
      <c r="AT79" s="381" t="s">
        <v>503</v>
      </c>
      <c r="AU79" s="381" t="s">
        <v>503</v>
      </c>
      <c r="AV79" s="381" t="s">
        <v>503</v>
      </c>
      <c r="AW79" s="381" t="s">
        <v>503</v>
      </c>
      <c r="AX79" s="381" t="s">
        <v>503</v>
      </c>
      <c r="AY79" s="381" t="s">
        <v>503</v>
      </c>
      <c r="AZ79" s="381" t="s">
        <v>503</v>
      </c>
      <c r="BA79" s="381" t="s">
        <v>503</v>
      </c>
      <c r="BB79" s="381" t="s">
        <v>503</v>
      </c>
      <c r="BC79" s="381" t="s">
        <v>503</v>
      </c>
      <c r="BD79" s="381" t="s">
        <v>503</v>
      </c>
      <c r="BE79" s="381" t="s">
        <v>503</v>
      </c>
      <c r="BF79" s="381" t="s">
        <v>503</v>
      </c>
      <c r="BG79" s="381" t="s">
        <v>503</v>
      </c>
      <c r="BH79" s="381" t="s">
        <v>503</v>
      </c>
      <c r="BI79" s="381" t="s">
        <v>503</v>
      </c>
      <c r="BJ79" s="381" t="s">
        <v>503</v>
      </c>
      <c r="BK79" s="381" t="s">
        <v>503</v>
      </c>
      <c r="BL79" s="381" t="s">
        <v>503</v>
      </c>
      <c r="BM79" s="382" t="s">
        <v>503</v>
      </c>
      <c r="BN79" s="218"/>
      <c r="BO79" s="218"/>
      <c r="BP79" s="218"/>
      <c r="BQ79" s="218"/>
      <c r="BR79" s="218"/>
      <c r="BS79" s="218"/>
      <c r="BT79" s="218"/>
      <c r="BU79" s="218"/>
      <c r="BV79" s="218"/>
      <c r="BW79" s="218"/>
    </row>
    <row r="80" spans="2:75" ht="14.25" hidden="1">
      <c r="B80" s="228" t="s">
        <v>648</v>
      </c>
      <c r="C80" s="803">
        <f>$AB$29</f>
        <v>58.6275</v>
      </c>
      <c r="D80" s="803">
        <f>$AC$29</f>
        <v>44.205135</v>
      </c>
      <c r="E80" s="375" t="s">
        <v>503</v>
      </c>
      <c r="F80" s="376" t="s">
        <v>503</v>
      </c>
      <c r="I80" s="236"/>
      <c r="L80" s="236" t="s">
        <v>679</v>
      </c>
      <c r="P80" s="145" t="s">
        <v>500</v>
      </c>
      <c r="Q80" s="344">
        <f>C80*(1+'Onroad Strategies'!AE132)</f>
        <v>58.6275</v>
      </c>
      <c r="R80" s="344">
        <f>D80*(1+'Onroad Strategies'!AF132)</f>
        <v>44.205135</v>
      </c>
      <c r="S80" s="344" t="s">
        <v>503</v>
      </c>
      <c r="T80" s="345" t="s">
        <v>503</v>
      </c>
      <c r="U80" s="328"/>
      <c r="V80" s="328"/>
      <c r="W80" s="328"/>
      <c r="X80" s="328"/>
      <c r="Y80" s="328"/>
      <c r="Z80" s="328"/>
      <c r="AD80" s="294">
        <f t="shared" si="1"/>
        <v>33</v>
      </c>
      <c r="AE80" s="54" t="s">
        <v>499</v>
      </c>
      <c r="AF80" s="54">
        <v>3</v>
      </c>
      <c r="AG80" s="54" t="s">
        <v>493</v>
      </c>
      <c r="AH80" s="54">
        <v>3</v>
      </c>
      <c r="AI80" s="381" t="s">
        <v>503</v>
      </c>
      <c r="AJ80" s="381" t="s">
        <v>503</v>
      </c>
      <c r="AK80" s="381" t="s">
        <v>503</v>
      </c>
      <c r="AL80" s="381" t="s">
        <v>503</v>
      </c>
      <c r="AM80" s="381" t="s">
        <v>503</v>
      </c>
      <c r="AN80" s="381" t="s">
        <v>503</v>
      </c>
      <c r="AO80" s="381" t="s">
        <v>503</v>
      </c>
      <c r="AP80" s="381" t="s">
        <v>503</v>
      </c>
      <c r="AQ80" s="381" t="s">
        <v>503</v>
      </c>
      <c r="AR80" s="381" t="s">
        <v>503</v>
      </c>
      <c r="AS80" s="381" t="s">
        <v>503</v>
      </c>
      <c r="AT80" s="381" t="s">
        <v>503</v>
      </c>
      <c r="AU80" s="381" t="s">
        <v>503</v>
      </c>
      <c r="AV80" s="381" t="s">
        <v>503</v>
      </c>
      <c r="AW80" s="381" t="s">
        <v>503</v>
      </c>
      <c r="AX80" s="381" t="s">
        <v>503</v>
      </c>
      <c r="AY80" s="381" t="s">
        <v>503</v>
      </c>
      <c r="AZ80" s="381" t="s">
        <v>503</v>
      </c>
      <c r="BA80" s="381" t="s">
        <v>503</v>
      </c>
      <c r="BB80" s="381" t="s">
        <v>503</v>
      </c>
      <c r="BC80" s="381" t="s">
        <v>503</v>
      </c>
      <c r="BD80" s="381" t="s">
        <v>503</v>
      </c>
      <c r="BE80" s="381" t="s">
        <v>503</v>
      </c>
      <c r="BF80" s="381" t="s">
        <v>503</v>
      </c>
      <c r="BG80" s="381" t="s">
        <v>503</v>
      </c>
      <c r="BH80" s="381" t="s">
        <v>503</v>
      </c>
      <c r="BI80" s="381" t="s">
        <v>503</v>
      </c>
      <c r="BJ80" s="381" t="s">
        <v>503</v>
      </c>
      <c r="BK80" s="381" t="s">
        <v>503</v>
      </c>
      <c r="BL80" s="381" t="s">
        <v>503</v>
      </c>
      <c r="BM80" s="382" t="s">
        <v>503</v>
      </c>
      <c r="BN80" s="218"/>
      <c r="BO80" s="218"/>
      <c r="BP80" s="218"/>
      <c r="BQ80" s="218"/>
      <c r="BR80" s="218"/>
      <c r="BS80" s="218"/>
      <c r="BT80" s="218"/>
      <c r="BU80" s="218"/>
      <c r="BV80" s="218"/>
      <c r="BW80" s="218"/>
    </row>
    <row r="81" spans="2:75" ht="14.25" hidden="1">
      <c r="B81" s="228" t="s">
        <v>501</v>
      </c>
      <c r="C81" s="803">
        <f>$AB$30</f>
        <v>30.625</v>
      </c>
      <c r="D81" s="803">
        <f>$AC$30</f>
        <v>23.09125</v>
      </c>
      <c r="E81" s="804">
        <f>$AD$30</f>
        <v>11.446</v>
      </c>
      <c r="F81" s="805">
        <f>$AE$30</f>
        <v>8.641</v>
      </c>
      <c r="P81" s="145" t="s">
        <v>501</v>
      </c>
      <c r="Q81" s="344">
        <f>C81*(1+'Onroad Strategies'!AE133)</f>
        <v>30.625</v>
      </c>
      <c r="R81" s="344">
        <f>D81*(1+'Onroad Strategies'!AF133)</f>
        <v>23.09125</v>
      </c>
      <c r="S81" s="344">
        <f>E81*(1+'Onroad Strategies'!AG133)</f>
        <v>11.446</v>
      </c>
      <c r="T81" s="345">
        <f>F81*(1+'Onroad Strategies'!AH133)</f>
        <v>8.641</v>
      </c>
      <c r="U81" s="328"/>
      <c r="V81" s="328"/>
      <c r="W81" s="328"/>
      <c r="X81" s="328"/>
      <c r="Y81" s="328"/>
      <c r="Z81" s="328"/>
      <c r="AD81" s="294">
        <f t="shared" si="1"/>
        <v>43</v>
      </c>
      <c r="AE81" s="54" t="s">
        <v>500</v>
      </c>
      <c r="AF81" s="54">
        <v>4</v>
      </c>
      <c r="AG81" s="54" t="s">
        <v>493</v>
      </c>
      <c r="AH81" s="54">
        <v>3</v>
      </c>
      <c r="AI81" s="381" t="s">
        <v>503</v>
      </c>
      <c r="AJ81" s="381" t="s">
        <v>503</v>
      </c>
      <c r="AK81" s="381" t="s">
        <v>503</v>
      </c>
      <c r="AL81" s="381" t="s">
        <v>503</v>
      </c>
      <c r="AM81" s="381" t="s">
        <v>503</v>
      </c>
      <c r="AN81" s="381" t="s">
        <v>503</v>
      </c>
      <c r="AO81" s="381" t="s">
        <v>503</v>
      </c>
      <c r="AP81" s="381" t="s">
        <v>503</v>
      </c>
      <c r="AQ81" s="381" t="s">
        <v>503</v>
      </c>
      <c r="AR81" s="381" t="s">
        <v>503</v>
      </c>
      <c r="AS81" s="381" t="s">
        <v>503</v>
      </c>
      <c r="AT81" s="381" t="s">
        <v>503</v>
      </c>
      <c r="AU81" s="381" t="s">
        <v>503</v>
      </c>
      <c r="AV81" s="381" t="s">
        <v>503</v>
      </c>
      <c r="AW81" s="381" t="s">
        <v>503</v>
      </c>
      <c r="AX81" s="381" t="s">
        <v>503</v>
      </c>
      <c r="AY81" s="381" t="s">
        <v>503</v>
      </c>
      <c r="AZ81" s="381" t="s">
        <v>503</v>
      </c>
      <c r="BA81" s="381" t="s">
        <v>503</v>
      </c>
      <c r="BB81" s="381" t="s">
        <v>503</v>
      </c>
      <c r="BC81" s="381" t="s">
        <v>503</v>
      </c>
      <c r="BD81" s="381" t="s">
        <v>503</v>
      </c>
      <c r="BE81" s="381" t="s">
        <v>503</v>
      </c>
      <c r="BF81" s="381" t="s">
        <v>503</v>
      </c>
      <c r="BG81" s="381" t="s">
        <v>503</v>
      </c>
      <c r="BH81" s="381" t="s">
        <v>503</v>
      </c>
      <c r="BI81" s="381" t="s">
        <v>503</v>
      </c>
      <c r="BJ81" s="381" t="s">
        <v>503</v>
      </c>
      <c r="BK81" s="381" t="s">
        <v>503</v>
      </c>
      <c r="BL81" s="381" t="s">
        <v>503</v>
      </c>
      <c r="BM81" s="382" t="s">
        <v>503</v>
      </c>
      <c r="BN81" s="218"/>
      <c r="BO81" s="218"/>
      <c r="BP81" s="218"/>
      <c r="BQ81" s="218"/>
      <c r="BR81" s="218"/>
      <c r="BS81" s="218"/>
      <c r="BT81" s="218"/>
      <c r="BU81" s="218"/>
      <c r="BV81" s="218"/>
      <c r="BW81" s="218"/>
    </row>
    <row r="82" spans="2:75" ht="14.25" hidden="1">
      <c r="B82" s="228" t="s">
        <v>502</v>
      </c>
      <c r="C82" s="803">
        <f>$AB$31</f>
        <v>40.75</v>
      </c>
      <c r="D82" s="803">
        <f>$AC$31</f>
        <v>30.7255</v>
      </c>
      <c r="E82" s="375" t="s">
        <v>503</v>
      </c>
      <c r="F82" s="376" t="s">
        <v>503</v>
      </c>
      <c r="I82" s="387"/>
      <c r="P82" s="145" t="s">
        <v>502</v>
      </c>
      <c r="Q82" s="344">
        <f>C82*(1+'Onroad Strategies'!AE134)</f>
        <v>40.75</v>
      </c>
      <c r="R82" s="344">
        <f>D82*(1+'Onroad Strategies'!AF134)</f>
        <v>30.7255</v>
      </c>
      <c r="S82" s="344" t="s">
        <v>503</v>
      </c>
      <c r="T82" s="345" t="s">
        <v>503</v>
      </c>
      <c r="U82" s="328"/>
      <c r="V82" s="328"/>
      <c r="W82" s="328"/>
      <c r="X82" s="328"/>
      <c r="Y82" s="328"/>
      <c r="Z82" s="328"/>
      <c r="AD82" s="294">
        <f t="shared" si="1"/>
        <v>53</v>
      </c>
      <c r="AE82" s="54" t="s">
        <v>501</v>
      </c>
      <c r="AF82" s="54">
        <v>5</v>
      </c>
      <c r="AG82" s="54" t="s">
        <v>493</v>
      </c>
      <c r="AH82" s="54">
        <v>3</v>
      </c>
      <c r="AI82" s="381">
        <v>9.994</v>
      </c>
      <c r="AJ82" s="381">
        <v>10.066600000000001</v>
      </c>
      <c r="AK82" s="381">
        <v>10.139199999999999</v>
      </c>
      <c r="AL82" s="381">
        <v>10.2118</v>
      </c>
      <c r="AM82" s="381">
        <v>10.2844</v>
      </c>
      <c r="AN82" s="381">
        <v>10.357</v>
      </c>
      <c r="AO82" s="381">
        <v>10.4296</v>
      </c>
      <c r="AP82" s="381">
        <v>10.502199999999998</v>
      </c>
      <c r="AQ82" s="381">
        <v>10.5748</v>
      </c>
      <c r="AR82" s="381">
        <v>10.647400000000001</v>
      </c>
      <c r="AS82" s="381">
        <v>10.72</v>
      </c>
      <c r="AT82" s="381">
        <v>10.7926</v>
      </c>
      <c r="AU82" s="381">
        <v>10.8652</v>
      </c>
      <c r="AV82" s="381">
        <v>10.9378</v>
      </c>
      <c r="AW82" s="381">
        <v>11.0104</v>
      </c>
      <c r="AX82" s="381">
        <v>11.082999999999998</v>
      </c>
      <c r="AY82" s="381">
        <v>10.045</v>
      </c>
      <c r="AZ82" s="381">
        <v>11.228200000000001</v>
      </c>
      <c r="BA82" s="381">
        <v>11.300799999999999</v>
      </c>
      <c r="BB82" s="381">
        <v>11.3734</v>
      </c>
      <c r="BC82" s="381">
        <v>11.446</v>
      </c>
      <c r="BD82" s="381">
        <v>11.5186</v>
      </c>
      <c r="BE82" s="381">
        <v>11.591199999999999</v>
      </c>
      <c r="BF82" s="381">
        <v>11.663799999999998</v>
      </c>
      <c r="BG82" s="381">
        <v>11.736399999999998</v>
      </c>
      <c r="BH82" s="381">
        <v>11.809000000000001</v>
      </c>
      <c r="BI82" s="381">
        <v>11.8816</v>
      </c>
      <c r="BJ82" s="381">
        <v>11.9542</v>
      </c>
      <c r="BK82" s="381">
        <v>12.0268</v>
      </c>
      <c r="BL82" s="381">
        <v>12.0994</v>
      </c>
      <c r="BM82" s="382">
        <v>12.172</v>
      </c>
      <c r="BN82" s="218"/>
      <c r="BO82" s="218"/>
      <c r="BP82" s="218"/>
      <c r="BQ82" s="218"/>
      <c r="BR82" s="218"/>
      <c r="BS82" s="218"/>
      <c r="BT82" s="218"/>
      <c r="BU82" s="218"/>
      <c r="BV82" s="218"/>
      <c r="BW82" s="218"/>
    </row>
    <row r="83" spans="2:75" ht="14.25" hidden="1">
      <c r="B83" s="228" t="s">
        <v>649</v>
      </c>
      <c r="C83" s="803">
        <f>$AB$32</f>
        <v>61.9775</v>
      </c>
      <c r="D83" s="803">
        <f>$AC$32</f>
        <v>46.731035000000006</v>
      </c>
      <c r="E83" s="375" t="s">
        <v>503</v>
      </c>
      <c r="F83" s="376" t="s">
        <v>503</v>
      </c>
      <c r="P83" s="145" t="s">
        <v>504</v>
      </c>
      <c r="Q83" s="344">
        <f>C83*(1+'Onroad Strategies'!AE135)</f>
        <v>61.9775</v>
      </c>
      <c r="R83" s="344">
        <f>D83*(1+'Onroad Strategies'!AF135)</f>
        <v>46.731035000000006</v>
      </c>
      <c r="S83" s="344" t="s">
        <v>503</v>
      </c>
      <c r="T83" s="345" t="s">
        <v>503</v>
      </c>
      <c r="U83" s="328"/>
      <c r="V83" s="328"/>
      <c r="W83" s="328"/>
      <c r="X83" s="328"/>
      <c r="Y83" s="328"/>
      <c r="Z83" s="328"/>
      <c r="AD83" s="294">
        <f t="shared" si="1"/>
        <v>63</v>
      </c>
      <c r="AE83" s="54" t="s">
        <v>502</v>
      </c>
      <c r="AF83" s="54">
        <v>6</v>
      </c>
      <c r="AG83" s="54" t="s">
        <v>493</v>
      </c>
      <c r="AH83" s="54">
        <v>3</v>
      </c>
      <c r="AI83" s="381" t="s">
        <v>503</v>
      </c>
      <c r="AJ83" s="381" t="s">
        <v>503</v>
      </c>
      <c r="AK83" s="381" t="s">
        <v>503</v>
      </c>
      <c r="AL83" s="381" t="s">
        <v>503</v>
      </c>
      <c r="AM83" s="381" t="s">
        <v>503</v>
      </c>
      <c r="AN83" s="381" t="s">
        <v>503</v>
      </c>
      <c r="AO83" s="381" t="s">
        <v>503</v>
      </c>
      <c r="AP83" s="381" t="s">
        <v>503</v>
      </c>
      <c r="AQ83" s="381" t="s">
        <v>503</v>
      </c>
      <c r="AR83" s="381" t="s">
        <v>503</v>
      </c>
      <c r="AS83" s="381" t="s">
        <v>503</v>
      </c>
      <c r="AT83" s="381" t="s">
        <v>503</v>
      </c>
      <c r="AU83" s="381" t="s">
        <v>503</v>
      </c>
      <c r="AV83" s="381" t="s">
        <v>503</v>
      </c>
      <c r="AW83" s="381" t="s">
        <v>503</v>
      </c>
      <c r="AX83" s="381" t="s">
        <v>503</v>
      </c>
      <c r="AY83" s="381" t="s">
        <v>503</v>
      </c>
      <c r="AZ83" s="381" t="s">
        <v>503</v>
      </c>
      <c r="BA83" s="381" t="s">
        <v>503</v>
      </c>
      <c r="BB83" s="381" t="s">
        <v>503</v>
      </c>
      <c r="BC83" s="381" t="s">
        <v>503</v>
      </c>
      <c r="BD83" s="381" t="s">
        <v>503</v>
      </c>
      <c r="BE83" s="381" t="s">
        <v>503</v>
      </c>
      <c r="BF83" s="381" t="s">
        <v>503</v>
      </c>
      <c r="BG83" s="381" t="s">
        <v>503</v>
      </c>
      <c r="BH83" s="381" t="s">
        <v>503</v>
      </c>
      <c r="BI83" s="381" t="s">
        <v>503</v>
      </c>
      <c r="BJ83" s="381" t="s">
        <v>503</v>
      </c>
      <c r="BK83" s="381" t="s">
        <v>503</v>
      </c>
      <c r="BL83" s="381" t="s">
        <v>503</v>
      </c>
      <c r="BM83" s="382" t="s">
        <v>503</v>
      </c>
      <c r="BN83" s="218"/>
      <c r="BO83" s="218"/>
      <c r="BP83" s="218"/>
      <c r="BQ83" s="218"/>
      <c r="BR83" s="218"/>
      <c r="BS83" s="218"/>
      <c r="BT83" s="218"/>
      <c r="BU83" s="218"/>
      <c r="BV83" s="218"/>
      <c r="BW83" s="218"/>
    </row>
    <row r="84" spans="2:75" ht="14.25" hidden="1">
      <c r="B84" s="228" t="s">
        <v>70</v>
      </c>
      <c r="C84" s="803">
        <f>$AB$33</f>
        <v>24.5</v>
      </c>
      <c r="D84" s="803">
        <f>$AC$33</f>
        <v>18.473000000000003</v>
      </c>
      <c r="E84" s="375" t="s">
        <v>503</v>
      </c>
      <c r="F84" s="805">
        <f>$AE$33</f>
        <v>8.20895</v>
      </c>
      <c r="P84" s="145" t="s">
        <v>70</v>
      </c>
      <c r="Q84" s="344">
        <f>C84*(1+'Onroad Strategies'!AE136)</f>
        <v>24.5</v>
      </c>
      <c r="R84" s="344">
        <f>D84*(1+'Onroad Strategies'!AF136)</f>
        <v>18.473000000000003</v>
      </c>
      <c r="S84" s="344" t="s">
        <v>503</v>
      </c>
      <c r="T84" s="345">
        <f>F84*(1+'Onroad Strategies'!AH136)</f>
        <v>8.20895</v>
      </c>
      <c r="U84" s="328"/>
      <c r="V84" s="328"/>
      <c r="W84" s="328"/>
      <c r="X84" s="328"/>
      <c r="Y84" s="328"/>
      <c r="Z84" s="328"/>
      <c r="AD84" s="294">
        <f t="shared" si="1"/>
        <v>73</v>
      </c>
      <c r="AE84" s="54" t="s">
        <v>504</v>
      </c>
      <c r="AF84" s="54">
        <v>7</v>
      </c>
      <c r="AG84" s="54" t="s">
        <v>493</v>
      </c>
      <c r="AH84" s="54">
        <v>3</v>
      </c>
      <c r="AI84" s="381" t="s">
        <v>503</v>
      </c>
      <c r="AJ84" s="381" t="s">
        <v>503</v>
      </c>
      <c r="AK84" s="381" t="s">
        <v>503</v>
      </c>
      <c r="AL84" s="381" t="s">
        <v>503</v>
      </c>
      <c r="AM84" s="381" t="s">
        <v>503</v>
      </c>
      <c r="AN84" s="381" t="s">
        <v>503</v>
      </c>
      <c r="AO84" s="381" t="s">
        <v>503</v>
      </c>
      <c r="AP84" s="381" t="s">
        <v>503</v>
      </c>
      <c r="AQ84" s="381" t="s">
        <v>503</v>
      </c>
      <c r="AR84" s="381" t="s">
        <v>503</v>
      </c>
      <c r="AS84" s="381" t="s">
        <v>503</v>
      </c>
      <c r="AT84" s="381" t="s">
        <v>503</v>
      </c>
      <c r="AU84" s="381" t="s">
        <v>503</v>
      </c>
      <c r="AV84" s="381" t="s">
        <v>503</v>
      </c>
      <c r="AW84" s="381" t="s">
        <v>503</v>
      </c>
      <c r="AX84" s="381" t="s">
        <v>503</v>
      </c>
      <c r="AY84" s="381" t="s">
        <v>503</v>
      </c>
      <c r="AZ84" s="381" t="s">
        <v>503</v>
      </c>
      <c r="BA84" s="381" t="s">
        <v>503</v>
      </c>
      <c r="BB84" s="381" t="s">
        <v>503</v>
      </c>
      <c r="BC84" s="381" t="s">
        <v>503</v>
      </c>
      <c r="BD84" s="381" t="s">
        <v>503</v>
      </c>
      <c r="BE84" s="381" t="s">
        <v>503</v>
      </c>
      <c r="BF84" s="381" t="s">
        <v>503</v>
      </c>
      <c r="BG84" s="381" t="s">
        <v>503</v>
      </c>
      <c r="BH84" s="381" t="s">
        <v>503</v>
      </c>
      <c r="BI84" s="381" t="s">
        <v>503</v>
      </c>
      <c r="BJ84" s="381" t="s">
        <v>503</v>
      </c>
      <c r="BK84" s="381" t="s">
        <v>503</v>
      </c>
      <c r="BL84" s="381" t="s">
        <v>503</v>
      </c>
      <c r="BM84" s="382" t="s">
        <v>503</v>
      </c>
      <c r="BN84" s="218"/>
      <c r="BO84" s="218"/>
      <c r="BP84" s="218"/>
      <c r="BQ84" s="218"/>
      <c r="BR84" s="218"/>
      <c r="BS84" s="218"/>
      <c r="BT84" s="218"/>
      <c r="BU84" s="218"/>
      <c r="BV84" s="218"/>
      <c r="BW84" s="218"/>
    </row>
    <row r="85" spans="2:75" ht="13.5" hidden="1" thickBot="1">
      <c r="B85" s="229" t="s">
        <v>505</v>
      </c>
      <c r="C85" s="806">
        <f>$AB$34</f>
        <v>85</v>
      </c>
      <c r="D85" s="806">
        <f>$AC$34</f>
        <v>72.5725</v>
      </c>
      <c r="E85" s="383" t="s">
        <v>503</v>
      </c>
      <c r="F85" s="384" t="s">
        <v>503</v>
      </c>
      <c r="P85" s="152" t="s">
        <v>505</v>
      </c>
      <c r="Q85" s="358">
        <f>C85*(1+'Onroad Strategies'!AE137)</f>
        <v>85</v>
      </c>
      <c r="R85" s="358">
        <f>D85*(1+'Onroad Strategies'!AF137)</f>
        <v>72.5725</v>
      </c>
      <c r="S85" s="358" t="s">
        <v>503</v>
      </c>
      <c r="T85" s="359" t="s">
        <v>503</v>
      </c>
      <c r="U85" s="328"/>
      <c r="V85" s="328"/>
      <c r="W85" s="328"/>
      <c r="X85" s="328"/>
      <c r="Y85" s="328"/>
      <c r="Z85" s="328"/>
      <c r="AD85" s="266">
        <v>83</v>
      </c>
      <c r="AE85" s="388" t="s">
        <v>70</v>
      </c>
      <c r="AF85" s="388">
        <v>8</v>
      </c>
      <c r="AG85" s="388" t="s">
        <v>493</v>
      </c>
      <c r="AH85" s="388">
        <v>3</v>
      </c>
      <c r="AI85" s="389" t="s">
        <v>503</v>
      </c>
      <c r="AJ85" s="389" t="s">
        <v>503</v>
      </c>
      <c r="AK85" s="389" t="s">
        <v>503</v>
      </c>
      <c r="AL85" s="389" t="s">
        <v>503</v>
      </c>
      <c r="AM85" s="389" t="s">
        <v>503</v>
      </c>
      <c r="AN85" s="389" t="s">
        <v>503</v>
      </c>
      <c r="AO85" s="389" t="s">
        <v>503</v>
      </c>
      <c r="AP85" s="389" t="s">
        <v>503</v>
      </c>
      <c r="AQ85" s="389" t="s">
        <v>503</v>
      </c>
      <c r="AR85" s="389" t="s">
        <v>503</v>
      </c>
      <c r="AS85" s="389" t="s">
        <v>503</v>
      </c>
      <c r="AT85" s="389" t="s">
        <v>503</v>
      </c>
      <c r="AU85" s="389" t="s">
        <v>503</v>
      </c>
      <c r="AV85" s="389" t="s">
        <v>503</v>
      </c>
      <c r="AW85" s="389" t="s">
        <v>503</v>
      </c>
      <c r="AX85" s="389" t="s">
        <v>503</v>
      </c>
      <c r="AY85" s="389" t="s">
        <v>503</v>
      </c>
      <c r="AZ85" s="389" t="s">
        <v>503</v>
      </c>
      <c r="BA85" s="389" t="s">
        <v>503</v>
      </c>
      <c r="BB85" s="389" t="s">
        <v>503</v>
      </c>
      <c r="BC85" s="389" t="s">
        <v>503</v>
      </c>
      <c r="BD85" s="389" t="s">
        <v>503</v>
      </c>
      <c r="BE85" s="389" t="s">
        <v>503</v>
      </c>
      <c r="BF85" s="389" t="s">
        <v>503</v>
      </c>
      <c r="BG85" s="389" t="s">
        <v>503</v>
      </c>
      <c r="BH85" s="389" t="s">
        <v>503</v>
      </c>
      <c r="BI85" s="389" t="s">
        <v>503</v>
      </c>
      <c r="BJ85" s="389" t="s">
        <v>503</v>
      </c>
      <c r="BK85" s="389" t="s">
        <v>503</v>
      </c>
      <c r="BL85" s="389" t="s">
        <v>503</v>
      </c>
      <c r="BM85" s="390" t="s">
        <v>503</v>
      </c>
      <c r="BN85" s="218"/>
      <c r="BO85" s="218"/>
      <c r="BP85" s="218"/>
      <c r="BQ85" s="218"/>
      <c r="BR85" s="218"/>
      <c r="BS85" s="218"/>
      <c r="BT85" s="218"/>
      <c r="BU85" s="218"/>
      <c r="BV85" s="218"/>
      <c r="BW85" s="218"/>
    </row>
    <row r="86" spans="16:75" ht="12.75" hidden="1">
      <c r="P86" s="328"/>
      <c r="Q86" s="430"/>
      <c r="R86" s="430"/>
      <c r="S86" s="427"/>
      <c r="T86" s="427"/>
      <c r="U86" s="328"/>
      <c r="V86" s="328"/>
      <c r="W86" s="328"/>
      <c r="X86" s="328"/>
      <c r="Y86" s="328"/>
      <c r="Z86" s="328"/>
      <c r="AD86" s="266">
        <v>93</v>
      </c>
      <c r="AE86" s="388" t="s">
        <v>505</v>
      </c>
      <c r="AF86" s="388">
        <v>9</v>
      </c>
      <c r="AG86" s="388" t="s">
        <v>493</v>
      </c>
      <c r="AH86" s="388">
        <v>3</v>
      </c>
      <c r="AI86" s="389" t="s">
        <v>503</v>
      </c>
      <c r="AJ86" s="389" t="s">
        <v>503</v>
      </c>
      <c r="AK86" s="389" t="s">
        <v>503</v>
      </c>
      <c r="AL86" s="389" t="s">
        <v>503</v>
      </c>
      <c r="AM86" s="389" t="s">
        <v>503</v>
      </c>
      <c r="AN86" s="389" t="s">
        <v>503</v>
      </c>
      <c r="AO86" s="389" t="s">
        <v>503</v>
      </c>
      <c r="AP86" s="389" t="s">
        <v>503</v>
      </c>
      <c r="AQ86" s="389" t="s">
        <v>503</v>
      </c>
      <c r="AR86" s="389" t="s">
        <v>503</v>
      </c>
      <c r="AS86" s="389" t="s">
        <v>503</v>
      </c>
      <c r="AT86" s="389" t="s">
        <v>503</v>
      </c>
      <c r="AU86" s="389" t="s">
        <v>503</v>
      </c>
      <c r="AV86" s="389" t="s">
        <v>503</v>
      </c>
      <c r="AW86" s="389" t="s">
        <v>503</v>
      </c>
      <c r="AX86" s="389" t="s">
        <v>503</v>
      </c>
      <c r="AY86" s="389" t="s">
        <v>503</v>
      </c>
      <c r="AZ86" s="389" t="s">
        <v>503</v>
      </c>
      <c r="BA86" s="389" t="s">
        <v>503</v>
      </c>
      <c r="BB86" s="389" t="s">
        <v>503</v>
      </c>
      <c r="BC86" s="389" t="s">
        <v>503</v>
      </c>
      <c r="BD86" s="389" t="s">
        <v>503</v>
      </c>
      <c r="BE86" s="389" t="s">
        <v>503</v>
      </c>
      <c r="BF86" s="389" t="s">
        <v>503</v>
      </c>
      <c r="BG86" s="389" t="s">
        <v>503</v>
      </c>
      <c r="BH86" s="389" t="s">
        <v>503</v>
      </c>
      <c r="BI86" s="389" t="s">
        <v>503</v>
      </c>
      <c r="BJ86" s="389" t="s">
        <v>503</v>
      </c>
      <c r="BK86" s="389" t="s">
        <v>503</v>
      </c>
      <c r="BL86" s="389" t="s">
        <v>503</v>
      </c>
      <c r="BM86" s="390" t="s">
        <v>503</v>
      </c>
      <c r="BN86" s="218"/>
      <c r="BO86" s="218"/>
      <c r="BP86" s="218"/>
      <c r="BQ86" s="218"/>
      <c r="BR86" s="218"/>
      <c r="BS86" s="218"/>
      <c r="BT86" s="218"/>
      <c r="BU86" s="218"/>
      <c r="BV86" s="218"/>
      <c r="BW86" s="218"/>
    </row>
    <row r="87" spans="16:75" ht="12.75" hidden="1">
      <c r="P87" s="328"/>
      <c r="Q87" s="430"/>
      <c r="R87" s="430"/>
      <c r="S87" s="427"/>
      <c r="T87" s="427"/>
      <c r="U87" s="328"/>
      <c r="V87" s="328"/>
      <c r="W87" s="328"/>
      <c r="X87" s="328"/>
      <c r="Y87" s="328"/>
      <c r="Z87" s="328"/>
      <c r="AD87" s="266">
        <v>14</v>
      </c>
      <c r="AE87" s="388" t="s">
        <v>497</v>
      </c>
      <c r="AF87" s="388">
        <v>1</v>
      </c>
      <c r="AG87" s="388" t="s">
        <v>494</v>
      </c>
      <c r="AH87" s="388">
        <v>4</v>
      </c>
      <c r="AI87" s="389">
        <v>6.905</v>
      </c>
      <c r="AJ87" s="389">
        <v>6.976499999999999</v>
      </c>
      <c r="AK87" s="389">
        <v>7.047999999999999</v>
      </c>
      <c r="AL87" s="389">
        <v>7.1194999999999995</v>
      </c>
      <c r="AM87" s="389">
        <v>7.190999999999999</v>
      </c>
      <c r="AN87" s="389">
        <v>7.2625</v>
      </c>
      <c r="AO87" s="389">
        <v>7.333999999999999</v>
      </c>
      <c r="AP87" s="389">
        <v>7.405499999999999</v>
      </c>
      <c r="AQ87" s="389">
        <v>7.476999999999999</v>
      </c>
      <c r="AR87" s="389">
        <v>7.548499999999999</v>
      </c>
      <c r="AS87" s="389">
        <v>7.62</v>
      </c>
      <c r="AT87" s="389">
        <v>7.6915</v>
      </c>
      <c r="AU87" s="389">
        <v>7.762999999999999</v>
      </c>
      <c r="AV87" s="389">
        <v>7.834499999999999</v>
      </c>
      <c r="AW87" s="389">
        <v>7.905999999999999</v>
      </c>
      <c r="AX87" s="389">
        <v>5.2</v>
      </c>
      <c r="AY87" s="389">
        <v>5.1</v>
      </c>
      <c r="AZ87" s="389">
        <v>5.2</v>
      </c>
      <c r="BA87" s="389">
        <v>5.4</v>
      </c>
      <c r="BB87" s="389">
        <v>5.5</v>
      </c>
      <c r="BC87" s="389">
        <v>6</v>
      </c>
      <c r="BD87" s="389">
        <v>6.1</v>
      </c>
      <c r="BE87" s="389">
        <v>6.2</v>
      </c>
      <c r="BF87" s="389">
        <v>6.3</v>
      </c>
      <c r="BG87" s="389">
        <v>6.4</v>
      </c>
      <c r="BH87" s="389">
        <v>6.5</v>
      </c>
      <c r="BI87" s="389">
        <v>6.6</v>
      </c>
      <c r="BJ87" s="389">
        <v>6.7</v>
      </c>
      <c r="BK87" s="389">
        <v>6.8</v>
      </c>
      <c r="BL87" s="389">
        <v>6.9</v>
      </c>
      <c r="BM87" s="390">
        <v>7</v>
      </c>
      <c r="BN87" s="218"/>
      <c r="BO87" s="218"/>
      <c r="BP87" s="218"/>
      <c r="BQ87" s="218"/>
      <c r="BR87" s="218"/>
      <c r="BS87" s="218"/>
      <c r="BT87" s="218"/>
      <c r="BU87" s="218"/>
      <c r="BV87" s="218"/>
      <c r="BW87" s="218"/>
    </row>
    <row r="88" spans="2:75" ht="12.75" hidden="1">
      <c r="B88" s="508" t="s">
        <v>661</v>
      </c>
      <c r="P88" s="328"/>
      <c r="Q88" s="430"/>
      <c r="R88" s="430"/>
      <c r="S88" s="427"/>
      <c r="T88" s="430"/>
      <c r="U88" s="328"/>
      <c r="V88" s="328"/>
      <c r="W88" s="328"/>
      <c r="X88" s="328"/>
      <c r="Y88" s="328"/>
      <c r="Z88" s="328"/>
      <c r="AD88" s="266">
        <v>24</v>
      </c>
      <c r="AE88" s="388" t="s">
        <v>498</v>
      </c>
      <c r="AF88" s="388">
        <v>2</v>
      </c>
      <c r="AG88" s="388" t="s">
        <v>494</v>
      </c>
      <c r="AH88" s="388">
        <v>4</v>
      </c>
      <c r="AI88" s="389" t="s">
        <v>503</v>
      </c>
      <c r="AJ88" s="389" t="s">
        <v>503</v>
      </c>
      <c r="AK88" s="389" t="s">
        <v>503</v>
      </c>
      <c r="AL88" s="389" t="s">
        <v>503</v>
      </c>
      <c r="AM88" s="389" t="s">
        <v>503</v>
      </c>
      <c r="AN88" s="389" t="s">
        <v>503</v>
      </c>
      <c r="AO88" s="389" t="s">
        <v>503</v>
      </c>
      <c r="AP88" s="389" t="s">
        <v>503</v>
      </c>
      <c r="AQ88" s="389" t="s">
        <v>503</v>
      </c>
      <c r="AR88" s="389" t="s">
        <v>503</v>
      </c>
      <c r="AS88" s="389" t="s">
        <v>503</v>
      </c>
      <c r="AT88" s="389" t="s">
        <v>503</v>
      </c>
      <c r="AU88" s="389" t="s">
        <v>503</v>
      </c>
      <c r="AV88" s="389" t="s">
        <v>503</v>
      </c>
      <c r="AW88" s="389" t="s">
        <v>503</v>
      </c>
      <c r="AX88" s="389" t="s">
        <v>503</v>
      </c>
      <c r="AY88" s="389" t="s">
        <v>503</v>
      </c>
      <c r="AZ88" s="389" t="s">
        <v>503</v>
      </c>
      <c r="BA88" s="389" t="s">
        <v>503</v>
      </c>
      <c r="BB88" s="389" t="s">
        <v>503</v>
      </c>
      <c r="BC88" s="389" t="s">
        <v>503</v>
      </c>
      <c r="BD88" s="389" t="s">
        <v>503</v>
      </c>
      <c r="BE88" s="389" t="s">
        <v>503</v>
      </c>
      <c r="BF88" s="389" t="s">
        <v>503</v>
      </c>
      <c r="BG88" s="389" t="s">
        <v>503</v>
      </c>
      <c r="BH88" s="389" t="s">
        <v>503</v>
      </c>
      <c r="BI88" s="389" t="s">
        <v>503</v>
      </c>
      <c r="BJ88" s="389" t="s">
        <v>503</v>
      </c>
      <c r="BK88" s="389" t="s">
        <v>503</v>
      </c>
      <c r="BL88" s="389" t="s">
        <v>503</v>
      </c>
      <c r="BM88" s="390" t="s">
        <v>503</v>
      </c>
      <c r="BN88" s="218"/>
      <c r="BO88" s="218"/>
      <c r="BP88" s="218"/>
      <c r="BQ88" s="218"/>
      <c r="BR88" s="218"/>
      <c r="BS88" s="218"/>
      <c r="BT88" s="218"/>
      <c r="BU88" s="218"/>
      <c r="BV88" s="218"/>
      <c r="BW88" s="218"/>
    </row>
    <row r="89" spans="2:75" ht="12.75" hidden="1">
      <c r="B89" s="141" t="s">
        <v>698</v>
      </c>
      <c r="P89" s="328"/>
      <c r="Q89" s="430"/>
      <c r="R89" s="430"/>
      <c r="S89" s="427"/>
      <c r="T89" s="427"/>
      <c r="U89" s="328"/>
      <c r="V89" s="328"/>
      <c r="W89" s="328"/>
      <c r="X89" s="328"/>
      <c r="Y89" s="328"/>
      <c r="Z89" s="328"/>
      <c r="AD89" s="266">
        <v>34</v>
      </c>
      <c r="AE89" s="388" t="s">
        <v>499</v>
      </c>
      <c r="AF89" s="388">
        <v>3</v>
      </c>
      <c r="AG89" s="388" t="s">
        <v>494</v>
      </c>
      <c r="AH89" s="388">
        <v>4</v>
      </c>
      <c r="AI89" s="389" t="s">
        <v>503</v>
      </c>
      <c r="AJ89" s="389" t="s">
        <v>503</v>
      </c>
      <c r="AK89" s="389" t="s">
        <v>503</v>
      </c>
      <c r="AL89" s="389" t="s">
        <v>503</v>
      </c>
      <c r="AM89" s="389" t="s">
        <v>503</v>
      </c>
      <c r="AN89" s="389" t="s">
        <v>503</v>
      </c>
      <c r="AO89" s="389" t="s">
        <v>503</v>
      </c>
      <c r="AP89" s="389" t="s">
        <v>503</v>
      </c>
      <c r="AQ89" s="389" t="s">
        <v>503</v>
      </c>
      <c r="AR89" s="389" t="s">
        <v>503</v>
      </c>
      <c r="AS89" s="389" t="s">
        <v>503</v>
      </c>
      <c r="AT89" s="389" t="s">
        <v>503</v>
      </c>
      <c r="AU89" s="389" t="s">
        <v>503</v>
      </c>
      <c r="AV89" s="389" t="s">
        <v>503</v>
      </c>
      <c r="AW89" s="389" t="s">
        <v>503</v>
      </c>
      <c r="AX89" s="389" t="s">
        <v>503</v>
      </c>
      <c r="AY89" s="389" t="s">
        <v>503</v>
      </c>
      <c r="AZ89" s="389" t="s">
        <v>503</v>
      </c>
      <c r="BA89" s="389" t="s">
        <v>503</v>
      </c>
      <c r="BB89" s="389" t="s">
        <v>503</v>
      </c>
      <c r="BC89" s="389" t="s">
        <v>503</v>
      </c>
      <c r="BD89" s="389" t="s">
        <v>503</v>
      </c>
      <c r="BE89" s="389" t="s">
        <v>503</v>
      </c>
      <c r="BF89" s="389" t="s">
        <v>503</v>
      </c>
      <c r="BG89" s="389" t="s">
        <v>503</v>
      </c>
      <c r="BH89" s="389" t="s">
        <v>503</v>
      </c>
      <c r="BI89" s="389" t="s">
        <v>503</v>
      </c>
      <c r="BJ89" s="389" t="s">
        <v>503</v>
      </c>
      <c r="BK89" s="389" t="s">
        <v>503</v>
      </c>
      <c r="BL89" s="389" t="s">
        <v>503</v>
      </c>
      <c r="BM89" s="390" t="s">
        <v>503</v>
      </c>
      <c r="BN89" s="218"/>
      <c r="BO89" s="218"/>
      <c r="BP89" s="218"/>
      <c r="BQ89" s="218"/>
      <c r="BR89" s="218"/>
      <c r="BS89" s="218"/>
      <c r="BT89" s="218"/>
      <c r="BU89" s="218"/>
      <c r="BV89" s="218"/>
      <c r="BW89" s="218"/>
    </row>
    <row r="90" spans="2:75" ht="13.5" hidden="1" thickBot="1">
      <c r="B90" s="141" t="s">
        <v>699</v>
      </c>
      <c r="P90" s="328"/>
      <c r="Q90" s="430"/>
      <c r="R90" s="430"/>
      <c r="S90" s="427"/>
      <c r="T90" s="427"/>
      <c r="U90" s="328"/>
      <c r="V90" s="328"/>
      <c r="W90" s="328"/>
      <c r="X90" s="328"/>
      <c r="Y90" s="328"/>
      <c r="Z90" s="328"/>
      <c r="AD90" s="266"/>
      <c r="AE90" s="388"/>
      <c r="AF90" s="388"/>
      <c r="AG90" s="388"/>
      <c r="AH90" s="388"/>
      <c r="AI90" s="389"/>
      <c r="AJ90" s="389"/>
      <c r="AK90" s="389"/>
      <c r="AL90" s="389"/>
      <c r="AM90" s="389"/>
      <c r="AN90" s="389"/>
      <c r="AO90" s="389"/>
      <c r="AP90" s="389"/>
      <c r="AQ90" s="389"/>
      <c r="AR90" s="389"/>
      <c r="AS90" s="389"/>
      <c r="AT90" s="389"/>
      <c r="AU90" s="389"/>
      <c r="AV90" s="389"/>
      <c r="AW90" s="389"/>
      <c r="AX90" s="389"/>
      <c r="AY90" s="389"/>
      <c r="AZ90" s="389"/>
      <c r="BA90" s="389"/>
      <c r="BB90" s="389"/>
      <c r="BC90" s="389"/>
      <c r="BD90" s="389"/>
      <c r="BE90" s="389"/>
      <c r="BF90" s="389"/>
      <c r="BG90" s="389"/>
      <c r="BH90" s="389"/>
      <c r="BI90" s="389"/>
      <c r="BJ90" s="389"/>
      <c r="BK90" s="389"/>
      <c r="BL90" s="389"/>
      <c r="BM90" s="390"/>
      <c r="BN90" s="218"/>
      <c r="BO90" s="218"/>
      <c r="BP90" s="218"/>
      <c r="BQ90" s="218"/>
      <c r="BR90" s="218"/>
      <c r="BS90" s="218"/>
      <c r="BT90" s="218"/>
      <c r="BU90" s="218"/>
      <c r="BV90" s="218"/>
      <c r="BW90" s="218"/>
    </row>
    <row r="91" spans="2:75" ht="15" customHeight="1" hidden="1">
      <c r="B91" s="424" t="s">
        <v>87</v>
      </c>
      <c r="C91" s="1005" t="s">
        <v>673</v>
      </c>
      <c r="D91" s="1005"/>
      <c r="E91" s="1005"/>
      <c r="F91" s="1006"/>
      <c r="P91" s="328"/>
      <c r="Q91" s="328"/>
      <c r="R91" s="328"/>
      <c r="S91" s="328"/>
      <c r="T91" s="328"/>
      <c r="U91" s="328"/>
      <c r="V91" s="328"/>
      <c r="W91" s="328"/>
      <c r="X91" s="328"/>
      <c r="Y91" s="328"/>
      <c r="Z91" s="328"/>
      <c r="AD91" s="266">
        <v>44</v>
      </c>
      <c r="AE91" s="388" t="s">
        <v>500</v>
      </c>
      <c r="AF91" s="388">
        <v>4</v>
      </c>
      <c r="AG91" s="388" t="s">
        <v>494</v>
      </c>
      <c r="AH91" s="388">
        <v>4</v>
      </c>
      <c r="AI91" s="389" t="s">
        <v>503</v>
      </c>
      <c r="AJ91" s="389" t="s">
        <v>503</v>
      </c>
      <c r="AK91" s="389" t="s">
        <v>503</v>
      </c>
      <c r="AL91" s="389" t="s">
        <v>503</v>
      </c>
      <c r="AM91" s="389" t="s">
        <v>503</v>
      </c>
      <c r="AN91" s="389" t="s">
        <v>503</v>
      </c>
      <c r="AO91" s="389" t="s">
        <v>503</v>
      </c>
      <c r="AP91" s="389" t="s">
        <v>503</v>
      </c>
      <c r="AQ91" s="389" t="s">
        <v>503</v>
      </c>
      <c r="AR91" s="389" t="s">
        <v>503</v>
      </c>
      <c r="AS91" s="389" t="s">
        <v>503</v>
      </c>
      <c r="AT91" s="389" t="s">
        <v>503</v>
      </c>
      <c r="AU91" s="389" t="s">
        <v>503</v>
      </c>
      <c r="AV91" s="389" t="s">
        <v>503</v>
      </c>
      <c r="AW91" s="389" t="s">
        <v>503</v>
      </c>
      <c r="AX91" s="389" t="s">
        <v>503</v>
      </c>
      <c r="AY91" s="389" t="s">
        <v>503</v>
      </c>
      <c r="AZ91" s="389" t="s">
        <v>503</v>
      </c>
      <c r="BA91" s="389" t="s">
        <v>503</v>
      </c>
      <c r="BB91" s="389" t="s">
        <v>503</v>
      </c>
      <c r="BC91" s="389" t="s">
        <v>503</v>
      </c>
      <c r="BD91" s="389" t="s">
        <v>503</v>
      </c>
      <c r="BE91" s="389" t="s">
        <v>503</v>
      </c>
      <c r="BF91" s="389" t="s">
        <v>503</v>
      </c>
      <c r="BG91" s="389" t="s">
        <v>503</v>
      </c>
      <c r="BH91" s="389" t="s">
        <v>503</v>
      </c>
      <c r="BI91" s="389" t="s">
        <v>503</v>
      </c>
      <c r="BJ91" s="389" t="s">
        <v>503</v>
      </c>
      <c r="BK91" s="389" t="s">
        <v>503</v>
      </c>
      <c r="BL91" s="389" t="s">
        <v>503</v>
      </c>
      <c r="BM91" s="390" t="s">
        <v>503</v>
      </c>
      <c r="BN91" s="218"/>
      <c r="BO91" s="218"/>
      <c r="BP91" s="218"/>
      <c r="BQ91" s="218"/>
      <c r="BR91" s="218"/>
      <c r="BS91" s="218"/>
      <c r="BT91" s="218"/>
      <c r="BU91" s="218"/>
      <c r="BV91" s="218"/>
      <c r="BW91" s="218"/>
    </row>
    <row r="92" spans="2:75" ht="12.75" hidden="1">
      <c r="B92" s="425" t="s">
        <v>97</v>
      </c>
      <c r="C92" s="871">
        <f>'Onroad Strategies'!AI38</f>
        <v>0</v>
      </c>
      <c r="D92" s="1014" t="s">
        <v>672</v>
      </c>
      <c r="E92" s="1014"/>
      <c r="F92" s="1015"/>
      <c r="P92" s="328"/>
      <c r="Q92" s="328"/>
      <c r="R92" s="328"/>
      <c r="S92" s="328"/>
      <c r="T92" s="328"/>
      <c r="U92" s="328"/>
      <c r="V92" s="328"/>
      <c r="W92" s="328"/>
      <c r="X92" s="328"/>
      <c r="Y92" s="328"/>
      <c r="Z92" s="328"/>
      <c r="AD92" s="266">
        <v>54</v>
      </c>
      <c r="AE92" s="388" t="s">
        <v>501</v>
      </c>
      <c r="AF92" s="388">
        <v>5</v>
      </c>
      <c r="AG92" s="388" t="s">
        <v>494</v>
      </c>
      <c r="AH92" s="388">
        <v>4</v>
      </c>
      <c r="AI92" s="389">
        <v>6.859</v>
      </c>
      <c r="AJ92" s="389">
        <v>6.9481</v>
      </c>
      <c r="AK92" s="389">
        <v>7.0372</v>
      </c>
      <c r="AL92" s="389">
        <v>7.1263000000000005</v>
      </c>
      <c r="AM92" s="389">
        <v>7.215399999999999</v>
      </c>
      <c r="AN92" s="389">
        <v>7.304499999999999</v>
      </c>
      <c r="AO92" s="389">
        <v>7.393599999999999</v>
      </c>
      <c r="AP92" s="389">
        <v>7.4826999999999995</v>
      </c>
      <c r="AQ92" s="389">
        <v>7.5718</v>
      </c>
      <c r="AR92" s="389">
        <v>7.6609</v>
      </c>
      <c r="AS92" s="389">
        <v>7.75</v>
      </c>
      <c r="AT92" s="389">
        <v>7.8391</v>
      </c>
      <c r="AU92" s="389">
        <v>7.9282</v>
      </c>
      <c r="AV92" s="389">
        <v>8.0173</v>
      </c>
      <c r="AW92" s="389">
        <v>8.106399999999999</v>
      </c>
      <c r="AX92" s="389">
        <v>8.1955</v>
      </c>
      <c r="AY92" s="389">
        <v>8.2846</v>
      </c>
      <c r="AZ92" s="389">
        <v>8.3737</v>
      </c>
      <c r="BA92" s="389">
        <v>8.4628</v>
      </c>
      <c r="BB92" s="389">
        <v>8.5519</v>
      </c>
      <c r="BC92" s="389">
        <v>8.641</v>
      </c>
      <c r="BD92" s="389">
        <v>8.7301</v>
      </c>
      <c r="BE92" s="389">
        <v>8.8192</v>
      </c>
      <c r="BF92" s="389">
        <v>8.9083</v>
      </c>
      <c r="BG92" s="389">
        <v>8.9974</v>
      </c>
      <c r="BH92" s="389">
        <v>9.0865</v>
      </c>
      <c r="BI92" s="389">
        <v>9.1756</v>
      </c>
      <c r="BJ92" s="389">
        <v>9.2647</v>
      </c>
      <c r="BK92" s="389">
        <v>9.3538</v>
      </c>
      <c r="BL92" s="389">
        <v>9.4429</v>
      </c>
      <c r="BM92" s="390">
        <v>9.532</v>
      </c>
      <c r="BN92" s="218"/>
      <c r="BO92" s="218"/>
      <c r="BP92" s="218"/>
      <c r="BQ92" s="218"/>
      <c r="BR92" s="218"/>
      <c r="BS92" s="218"/>
      <c r="BT92" s="218"/>
      <c r="BU92" s="218"/>
      <c r="BV92" s="218"/>
      <c r="BW92" s="218"/>
    </row>
    <row r="93" spans="2:75" ht="12.75" hidden="1">
      <c r="B93" s="425" t="s">
        <v>561</v>
      </c>
      <c r="C93" s="393">
        <f>'Onroad Strategies'!AI64</f>
        <v>0</v>
      </c>
      <c r="D93" s="391" t="s">
        <v>675</v>
      </c>
      <c r="E93" s="391"/>
      <c r="F93" s="392"/>
      <c r="P93" s="328"/>
      <c r="Q93" s="328"/>
      <c r="R93" s="328"/>
      <c r="S93" s="328"/>
      <c r="T93" s="328"/>
      <c r="U93" s="328"/>
      <c r="V93" s="328"/>
      <c r="W93" s="328"/>
      <c r="X93" s="328"/>
      <c r="Y93" s="328"/>
      <c r="Z93" s="328"/>
      <c r="AD93" s="266">
        <v>64</v>
      </c>
      <c r="AE93" s="388" t="s">
        <v>502</v>
      </c>
      <c r="AF93" s="388">
        <v>6</v>
      </c>
      <c r="AG93" s="388" t="s">
        <v>494</v>
      </c>
      <c r="AH93" s="388">
        <v>4</v>
      </c>
      <c r="AI93" s="389" t="s">
        <v>503</v>
      </c>
      <c r="AJ93" s="389" t="s">
        <v>503</v>
      </c>
      <c r="AK93" s="389" t="s">
        <v>503</v>
      </c>
      <c r="AL93" s="389" t="s">
        <v>503</v>
      </c>
      <c r="AM93" s="389" t="s">
        <v>503</v>
      </c>
      <c r="AN93" s="389" t="s">
        <v>503</v>
      </c>
      <c r="AO93" s="389" t="s">
        <v>503</v>
      </c>
      <c r="AP93" s="389" t="s">
        <v>503</v>
      </c>
      <c r="AQ93" s="389" t="s">
        <v>503</v>
      </c>
      <c r="AR93" s="389" t="s">
        <v>503</v>
      </c>
      <c r="AS93" s="389" t="s">
        <v>503</v>
      </c>
      <c r="AT93" s="389" t="s">
        <v>503</v>
      </c>
      <c r="AU93" s="389" t="s">
        <v>503</v>
      </c>
      <c r="AV93" s="389" t="s">
        <v>503</v>
      </c>
      <c r="AW93" s="389" t="s">
        <v>503</v>
      </c>
      <c r="AX93" s="389" t="s">
        <v>503</v>
      </c>
      <c r="AY93" s="389" t="s">
        <v>503</v>
      </c>
      <c r="AZ93" s="389" t="s">
        <v>503</v>
      </c>
      <c r="BA93" s="389" t="s">
        <v>503</v>
      </c>
      <c r="BB93" s="389" t="s">
        <v>503</v>
      </c>
      <c r="BC93" s="389" t="s">
        <v>503</v>
      </c>
      <c r="BD93" s="389" t="s">
        <v>503</v>
      </c>
      <c r="BE93" s="389" t="s">
        <v>503</v>
      </c>
      <c r="BF93" s="389" t="s">
        <v>503</v>
      </c>
      <c r="BG93" s="389" t="s">
        <v>503</v>
      </c>
      <c r="BH93" s="389" t="s">
        <v>503</v>
      </c>
      <c r="BI93" s="389" t="s">
        <v>503</v>
      </c>
      <c r="BJ93" s="389" t="s">
        <v>503</v>
      </c>
      <c r="BK93" s="389" t="s">
        <v>503</v>
      </c>
      <c r="BL93" s="389" t="s">
        <v>503</v>
      </c>
      <c r="BM93" s="390" t="s">
        <v>503</v>
      </c>
      <c r="BN93" s="218"/>
      <c r="BO93" s="218"/>
      <c r="BP93" s="218"/>
      <c r="BQ93" s="218"/>
      <c r="BR93" s="218"/>
      <c r="BS93" s="218"/>
      <c r="BT93" s="218"/>
      <c r="BU93" s="218"/>
      <c r="BV93" s="218"/>
      <c r="BW93" s="218"/>
    </row>
    <row r="94" spans="2:75" ht="12.75" hidden="1">
      <c r="B94" s="425" t="s">
        <v>562</v>
      </c>
      <c r="C94" s="393">
        <f>'Onroad Strategies'!AI79</f>
        <v>0</v>
      </c>
      <c r="D94" s="391" t="s">
        <v>675</v>
      </c>
      <c r="E94" s="391"/>
      <c r="F94" s="392"/>
      <c r="P94" s="317"/>
      <c r="Q94" s="308"/>
      <c r="R94" s="308"/>
      <c r="S94" s="308"/>
      <c r="T94" s="308"/>
      <c r="U94" s="328"/>
      <c r="V94" s="328"/>
      <c r="W94" s="328"/>
      <c r="X94" s="328"/>
      <c r="Y94" s="328"/>
      <c r="Z94" s="328"/>
      <c r="AD94" s="266">
        <v>74</v>
      </c>
      <c r="AE94" s="388" t="s">
        <v>504</v>
      </c>
      <c r="AF94" s="388">
        <v>7</v>
      </c>
      <c r="AG94" s="388" t="s">
        <v>494</v>
      </c>
      <c r="AH94" s="388">
        <v>4</v>
      </c>
      <c r="AI94" s="389" t="s">
        <v>503</v>
      </c>
      <c r="AJ94" s="389" t="s">
        <v>503</v>
      </c>
      <c r="AK94" s="389" t="s">
        <v>503</v>
      </c>
      <c r="AL94" s="389" t="s">
        <v>503</v>
      </c>
      <c r="AM94" s="389" t="s">
        <v>503</v>
      </c>
      <c r="AN94" s="389" t="s">
        <v>503</v>
      </c>
      <c r="AO94" s="389" t="s">
        <v>503</v>
      </c>
      <c r="AP94" s="389" t="s">
        <v>503</v>
      </c>
      <c r="AQ94" s="389" t="s">
        <v>503</v>
      </c>
      <c r="AR94" s="389" t="s">
        <v>503</v>
      </c>
      <c r="AS94" s="389" t="s">
        <v>503</v>
      </c>
      <c r="AT94" s="389" t="s">
        <v>503</v>
      </c>
      <c r="AU94" s="389" t="s">
        <v>503</v>
      </c>
      <c r="AV94" s="389" t="s">
        <v>503</v>
      </c>
      <c r="AW94" s="389" t="s">
        <v>503</v>
      </c>
      <c r="AX94" s="389" t="s">
        <v>503</v>
      </c>
      <c r="AY94" s="389" t="s">
        <v>503</v>
      </c>
      <c r="AZ94" s="389" t="s">
        <v>503</v>
      </c>
      <c r="BA94" s="389" t="s">
        <v>503</v>
      </c>
      <c r="BB94" s="389" t="s">
        <v>503</v>
      </c>
      <c r="BC94" s="389" t="s">
        <v>503</v>
      </c>
      <c r="BD94" s="389" t="s">
        <v>503</v>
      </c>
      <c r="BE94" s="389" t="s">
        <v>503</v>
      </c>
      <c r="BF94" s="389" t="s">
        <v>503</v>
      </c>
      <c r="BG94" s="389" t="s">
        <v>503</v>
      </c>
      <c r="BH94" s="389" t="s">
        <v>503</v>
      </c>
      <c r="BI94" s="389" t="s">
        <v>503</v>
      </c>
      <c r="BJ94" s="389" t="s">
        <v>503</v>
      </c>
      <c r="BK94" s="389" t="s">
        <v>503</v>
      </c>
      <c r="BL94" s="389" t="s">
        <v>503</v>
      </c>
      <c r="BM94" s="390" t="s">
        <v>503</v>
      </c>
      <c r="BN94" s="218"/>
      <c r="BO94" s="218"/>
      <c r="BP94" s="218"/>
      <c r="BQ94" s="218"/>
      <c r="BR94" s="218"/>
      <c r="BS94" s="218"/>
      <c r="BT94" s="218"/>
      <c r="BU94" s="218"/>
      <c r="BV94" s="218"/>
      <c r="BW94" s="218"/>
    </row>
    <row r="95" spans="2:75" ht="12.75" hidden="1">
      <c r="B95" s="425" t="s">
        <v>563</v>
      </c>
      <c r="C95" s="393">
        <f>'Onroad Strategies'!AI79</f>
        <v>0</v>
      </c>
      <c r="D95" s="391" t="s">
        <v>675</v>
      </c>
      <c r="E95" s="391"/>
      <c r="F95" s="392"/>
      <c r="J95" s="394"/>
      <c r="P95" s="328"/>
      <c r="Q95" s="431"/>
      <c r="R95" s="431"/>
      <c r="S95" s="431"/>
      <c r="T95" s="431"/>
      <c r="U95" s="328"/>
      <c r="V95" s="328"/>
      <c r="W95" s="328"/>
      <c r="X95" s="328"/>
      <c r="Y95" s="328"/>
      <c r="Z95" s="328"/>
      <c r="AD95" s="266">
        <v>84</v>
      </c>
      <c r="AE95" s="388" t="s">
        <v>70</v>
      </c>
      <c r="AF95" s="388">
        <v>8</v>
      </c>
      <c r="AG95" s="388" t="s">
        <v>494</v>
      </c>
      <c r="AH95" s="388">
        <v>4</v>
      </c>
      <c r="AI95" s="389">
        <v>4.8012999999999995</v>
      </c>
      <c r="AJ95" s="389">
        <v>4.86367</v>
      </c>
      <c r="AK95" s="389">
        <v>4.9260399999999995</v>
      </c>
      <c r="AL95" s="389">
        <v>4.98841</v>
      </c>
      <c r="AM95" s="389">
        <v>5.050779999999999</v>
      </c>
      <c r="AN95" s="389">
        <v>5.113149999999999</v>
      </c>
      <c r="AO95" s="389">
        <v>5.175519999999999</v>
      </c>
      <c r="AP95" s="389">
        <v>5.612024999999999</v>
      </c>
      <c r="AQ95" s="389">
        <v>5.67885</v>
      </c>
      <c r="AR95" s="389">
        <v>5.745675</v>
      </c>
      <c r="AS95" s="389">
        <v>6.2</v>
      </c>
      <c r="AT95" s="389">
        <v>7.0551900000000005</v>
      </c>
      <c r="AU95" s="389">
        <v>7.1353800000000005</v>
      </c>
      <c r="AV95" s="389">
        <v>5.772456</v>
      </c>
      <c r="AW95" s="389">
        <v>5.674479999999999</v>
      </c>
      <c r="AX95" s="389">
        <v>5.736849999999999</v>
      </c>
      <c r="AY95" s="389">
        <v>5.964911999999999</v>
      </c>
      <c r="AZ95" s="389">
        <v>6.447749</v>
      </c>
      <c r="BA95" s="389">
        <v>7.6165199999999995</v>
      </c>
      <c r="BB95" s="389">
        <v>7.69671</v>
      </c>
      <c r="BC95" s="389">
        <v>8.20895</v>
      </c>
      <c r="BD95" s="389">
        <v>8.293595</v>
      </c>
      <c r="BE95" s="389">
        <v>8.37824</v>
      </c>
      <c r="BF95" s="389">
        <v>8.462885</v>
      </c>
      <c r="BG95" s="389">
        <v>8.54753</v>
      </c>
      <c r="BH95" s="389">
        <v>8.632174999999998</v>
      </c>
      <c r="BI95" s="389">
        <v>8.716819999999998</v>
      </c>
      <c r="BJ95" s="389">
        <v>8.801464999999999</v>
      </c>
      <c r="BK95" s="389">
        <v>8.886109999999999</v>
      </c>
      <c r="BL95" s="389">
        <v>8.970754999999999</v>
      </c>
      <c r="BM95" s="390">
        <v>9.055399999999999</v>
      </c>
      <c r="BN95" s="218"/>
      <c r="BO95" s="218"/>
      <c r="BP95" s="218"/>
      <c r="BQ95" s="218"/>
      <c r="BR95" s="218"/>
      <c r="BS95" s="218"/>
      <c r="BT95" s="218"/>
      <c r="BU95" s="218"/>
      <c r="BV95" s="218"/>
      <c r="BW95" s="218"/>
    </row>
    <row r="96" spans="2:75" ht="13.5" hidden="1" thickBot="1">
      <c r="B96" s="425" t="s">
        <v>674</v>
      </c>
      <c r="C96" s="393">
        <f>'Onroad Strategies'!AI109</f>
        <v>0</v>
      </c>
      <c r="D96" s="391" t="s">
        <v>675</v>
      </c>
      <c r="E96" s="391"/>
      <c r="F96" s="392"/>
      <c r="P96" s="328"/>
      <c r="Q96" s="431"/>
      <c r="R96" s="431"/>
      <c r="S96" s="427"/>
      <c r="T96" s="427"/>
      <c r="U96" s="328"/>
      <c r="V96" s="328"/>
      <c r="W96" s="328"/>
      <c r="X96" s="328"/>
      <c r="Y96" s="328"/>
      <c r="Z96" s="328"/>
      <c r="AD96" s="267">
        <v>94</v>
      </c>
      <c r="AE96" s="395" t="s">
        <v>505</v>
      </c>
      <c r="AF96" s="395">
        <v>9</v>
      </c>
      <c r="AG96" s="395" t="s">
        <v>494</v>
      </c>
      <c r="AH96" s="395">
        <v>4</v>
      </c>
      <c r="AI96" s="396" t="s">
        <v>503</v>
      </c>
      <c r="AJ96" s="396" t="s">
        <v>503</v>
      </c>
      <c r="AK96" s="396" t="s">
        <v>503</v>
      </c>
      <c r="AL96" s="396" t="s">
        <v>503</v>
      </c>
      <c r="AM96" s="396" t="s">
        <v>503</v>
      </c>
      <c r="AN96" s="396" t="s">
        <v>503</v>
      </c>
      <c r="AO96" s="396" t="s">
        <v>503</v>
      </c>
      <c r="AP96" s="396" t="s">
        <v>503</v>
      </c>
      <c r="AQ96" s="396" t="s">
        <v>503</v>
      </c>
      <c r="AR96" s="396" t="s">
        <v>503</v>
      </c>
      <c r="AS96" s="396" t="s">
        <v>503</v>
      </c>
      <c r="AT96" s="396" t="s">
        <v>503</v>
      </c>
      <c r="AU96" s="396" t="s">
        <v>503</v>
      </c>
      <c r="AV96" s="396" t="s">
        <v>503</v>
      </c>
      <c r="AW96" s="396" t="s">
        <v>503</v>
      </c>
      <c r="AX96" s="396" t="s">
        <v>503</v>
      </c>
      <c r="AY96" s="396" t="s">
        <v>503</v>
      </c>
      <c r="AZ96" s="396" t="s">
        <v>503</v>
      </c>
      <c r="BA96" s="396" t="s">
        <v>503</v>
      </c>
      <c r="BB96" s="396" t="s">
        <v>503</v>
      </c>
      <c r="BC96" s="396" t="s">
        <v>503</v>
      </c>
      <c r="BD96" s="396" t="s">
        <v>503</v>
      </c>
      <c r="BE96" s="396" t="s">
        <v>503</v>
      </c>
      <c r="BF96" s="396" t="s">
        <v>503</v>
      </c>
      <c r="BG96" s="396" t="s">
        <v>503</v>
      </c>
      <c r="BH96" s="396" t="s">
        <v>503</v>
      </c>
      <c r="BI96" s="396" t="s">
        <v>503</v>
      </c>
      <c r="BJ96" s="396" t="s">
        <v>503</v>
      </c>
      <c r="BK96" s="396" t="s">
        <v>503</v>
      </c>
      <c r="BL96" s="396" t="s">
        <v>503</v>
      </c>
      <c r="BM96" s="397" t="s">
        <v>503</v>
      </c>
      <c r="BN96" s="218"/>
      <c r="BO96" s="218"/>
      <c r="BP96" s="218"/>
      <c r="BQ96" s="218"/>
      <c r="BR96" s="218"/>
      <c r="BS96" s="218"/>
      <c r="BT96" s="218"/>
      <c r="BU96" s="218"/>
      <c r="BV96" s="218"/>
      <c r="BW96" s="218"/>
    </row>
    <row r="97" spans="2:75" ht="13.5" hidden="1" thickBot="1">
      <c r="B97" s="426" t="s">
        <v>564</v>
      </c>
      <c r="C97" s="398">
        <f>'Onroad Strategies'!AI124</f>
        <v>0</v>
      </c>
      <c r="D97" s="399" t="s">
        <v>675</v>
      </c>
      <c r="E97" s="399"/>
      <c r="F97" s="400"/>
      <c r="P97" s="328"/>
      <c r="Q97" s="431"/>
      <c r="R97" s="431"/>
      <c r="S97" s="427"/>
      <c r="T97" s="427"/>
      <c r="U97" s="328"/>
      <c r="V97" s="328"/>
      <c r="W97" s="328"/>
      <c r="X97" s="328"/>
      <c r="Y97" s="328"/>
      <c r="Z97" s="328"/>
      <c r="BN97" s="218"/>
      <c r="BO97" s="218"/>
      <c r="BP97" s="218"/>
      <c r="BQ97" s="218"/>
      <c r="BR97" s="218"/>
      <c r="BS97" s="218"/>
      <c r="BT97" s="218"/>
      <c r="BU97" s="218"/>
      <c r="BV97" s="218"/>
      <c r="BW97" s="218"/>
    </row>
    <row r="98" spans="16:75" ht="12.75" hidden="1">
      <c r="P98" s="328"/>
      <c r="Q98" s="431"/>
      <c r="R98" s="431"/>
      <c r="S98" s="427"/>
      <c r="T98" s="427"/>
      <c r="U98" s="328"/>
      <c r="V98" s="328"/>
      <c r="W98" s="328"/>
      <c r="X98" s="328"/>
      <c r="Y98" s="328"/>
      <c r="Z98" s="328"/>
      <c r="BN98" s="218"/>
      <c r="BO98" s="218"/>
      <c r="BP98" s="218"/>
      <c r="BQ98" s="218"/>
      <c r="BR98" s="218"/>
      <c r="BS98" s="218"/>
      <c r="BT98" s="218"/>
      <c r="BU98" s="218"/>
      <c r="BV98" s="218"/>
      <c r="BW98" s="218"/>
    </row>
    <row r="99" spans="2:75" ht="12.75" hidden="1">
      <c r="B99" s="508" t="s">
        <v>635</v>
      </c>
      <c r="P99" s="328"/>
      <c r="Q99" s="431"/>
      <c r="R99" s="431"/>
      <c r="S99" s="431"/>
      <c r="T99" s="431"/>
      <c r="U99" s="328"/>
      <c r="V99" s="328"/>
      <c r="W99" s="328"/>
      <c r="X99" s="328"/>
      <c r="Y99" s="328"/>
      <c r="Z99" s="328"/>
      <c r="BN99" s="218"/>
      <c r="BO99" s="218"/>
      <c r="BP99" s="218"/>
      <c r="BQ99" s="218"/>
      <c r="BR99" s="218"/>
      <c r="BS99" s="218"/>
      <c r="BT99" s="218"/>
      <c r="BU99" s="218"/>
      <c r="BV99" s="218"/>
      <c r="BW99" s="218"/>
    </row>
    <row r="100" spans="2:75" ht="13.5" hidden="1" thickBot="1">
      <c r="B100" s="141" t="s">
        <v>642</v>
      </c>
      <c r="P100" s="328"/>
      <c r="Q100" s="431"/>
      <c r="R100" s="431"/>
      <c r="S100" s="427"/>
      <c r="T100" s="427"/>
      <c r="U100" s="328"/>
      <c r="V100" s="328"/>
      <c r="W100" s="328"/>
      <c r="X100" s="328"/>
      <c r="Y100" s="328"/>
      <c r="Z100" s="328"/>
      <c r="BN100" s="218"/>
      <c r="BO100" s="218"/>
      <c r="BP100" s="218"/>
      <c r="BQ100" s="218"/>
      <c r="BR100" s="218"/>
      <c r="BS100" s="218"/>
      <c r="BT100" s="218"/>
      <c r="BU100" s="218"/>
      <c r="BV100" s="218"/>
      <c r="BW100" s="218"/>
    </row>
    <row r="101" spans="2:75" ht="12.75" hidden="1">
      <c r="B101" s="219" t="s">
        <v>491</v>
      </c>
      <c r="C101" s="221" t="s">
        <v>566</v>
      </c>
      <c r="P101" s="254" t="s">
        <v>491</v>
      </c>
      <c r="Q101" s="255" t="s">
        <v>575</v>
      </c>
      <c r="R101" s="256" t="s">
        <v>579</v>
      </c>
      <c r="S101" s="427"/>
      <c r="T101" s="427"/>
      <c r="U101" s="328"/>
      <c r="V101" s="328"/>
      <c r="W101" s="328"/>
      <c r="X101" s="328"/>
      <c r="Y101" s="328"/>
      <c r="Z101" s="328"/>
      <c r="BN101" s="218"/>
      <c r="BO101" s="218"/>
      <c r="BP101" s="218"/>
      <c r="BQ101" s="218"/>
      <c r="BR101" s="218"/>
      <c r="BS101" s="218"/>
      <c r="BT101" s="218"/>
      <c r="BU101" s="218"/>
      <c r="BV101" s="218"/>
      <c r="BW101" s="218"/>
    </row>
    <row r="102" spans="2:75" ht="12.75" hidden="1">
      <c r="B102" s="225" t="s">
        <v>567</v>
      </c>
      <c r="C102" s="226">
        <f>SUM(C103:C107)</f>
        <v>1</v>
      </c>
      <c r="P102" s="260" t="s">
        <v>576</v>
      </c>
      <c r="Q102" s="261">
        <f>SUMPRODUCT(Q103:Q107,R103:R107)</f>
        <v>8810</v>
      </c>
      <c r="R102" s="262"/>
      <c r="S102" s="427"/>
      <c r="T102" s="431"/>
      <c r="U102" s="328"/>
      <c r="V102" s="328"/>
      <c r="W102" s="328"/>
      <c r="X102" s="328"/>
      <c r="Y102" s="328"/>
      <c r="Z102" s="328"/>
      <c r="BN102" s="218"/>
      <c r="BO102" s="218"/>
      <c r="BP102" s="218"/>
      <c r="BQ102" s="218"/>
      <c r="BR102" s="218"/>
      <c r="BS102" s="218"/>
      <c r="BT102" s="218"/>
      <c r="BU102" s="218"/>
      <c r="BV102" s="218"/>
      <c r="BW102" s="218"/>
    </row>
    <row r="103" spans="2:75" ht="14.25" hidden="1">
      <c r="B103" s="228" t="s">
        <v>497</v>
      </c>
      <c r="C103" s="361">
        <f>1-SUM(C104:C107)</f>
        <v>1</v>
      </c>
      <c r="P103" s="228" t="s">
        <v>497</v>
      </c>
      <c r="Q103" s="362">
        <f>VLOOKUP("Gasoline (all)",Fuel_Data,2,FALSE)</f>
        <v>8810</v>
      </c>
      <c r="R103" s="363">
        <f>IF(ISERROR(C103),0,C103)</f>
        <v>1</v>
      </c>
      <c r="S103" s="427"/>
      <c r="T103" s="427"/>
      <c r="U103" s="328"/>
      <c r="V103" s="328"/>
      <c r="W103" s="328"/>
      <c r="X103" s="328"/>
      <c r="Y103" s="328"/>
      <c r="Z103" s="328"/>
      <c r="BN103" s="218"/>
      <c r="BO103" s="218"/>
      <c r="BP103" s="218"/>
      <c r="BQ103" s="218"/>
      <c r="BR103" s="218"/>
      <c r="BS103" s="218"/>
      <c r="BT103" s="218"/>
      <c r="BU103" s="218"/>
      <c r="BV103" s="218"/>
      <c r="BW103" s="218"/>
    </row>
    <row r="104" spans="2:26" ht="14.25" hidden="1">
      <c r="B104" s="223" t="s">
        <v>636</v>
      </c>
      <c r="C104" s="364"/>
      <c r="F104" s="394"/>
      <c r="P104" s="223" t="s">
        <v>515</v>
      </c>
      <c r="Q104" s="365">
        <f>$Q$38*(1-VLOOKUP("E10 corn",Mit_Factors,2,FALSE))</f>
        <v>8633.8</v>
      </c>
      <c r="R104" s="361">
        <f>IF(ISERROR(C104),0,C104)</f>
        <v>0</v>
      </c>
      <c r="S104" s="328"/>
      <c r="T104" s="328"/>
      <c r="U104" s="328"/>
      <c r="V104" s="328"/>
      <c r="W104" s="328"/>
      <c r="X104" s="328"/>
      <c r="Y104" s="328"/>
      <c r="Z104" s="328"/>
    </row>
    <row r="105" spans="2:26" ht="14.25" hidden="1">
      <c r="B105" s="223" t="s">
        <v>637</v>
      </c>
      <c r="C105" s="364"/>
      <c r="P105" s="223" t="s">
        <v>516</v>
      </c>
      <c r="Q105" s="365">
        <f>$Q$38*(1-VLOOKUP("E10 cellulosic",Mit_Factors,2,FALSE))</f>
        <v>8281.4</v>
      </c>
      <c r="R105" s="361">
        <f>IF(ISERROR(C105),0,C105)</f>
        <v>0</v>
      </c>
      <c r="S105" s="328"/>
      <c r="T105" s="328"/>
      <c r="U105" s="328"/>
      <c r="V105" s="328"/>
      <c r="W105" s="328"/>
      <c r="X105" s="328"/>
      <c r="Y105" s="328"/>
      <c r="Z105" s="328"/>
    </row>
    <row r="106" spans="2:26" ht="14.25" hidden="1">
      <c r="B106" s="223" t="s">
        <v>638</v>
      </c>
      <c r="C106" s="364"/>
      <c r="P106" s="223" t="s">
        <v>517</v>
      </c>
      <c r="Q106" s="365">
        <f>$Q$38*(1-VLOOKUP("E85 Corn",Mit_Factors,2,FALSE))</f>
        <v>6078.9</v>
      </c>
      <c r="R106" s="361">
        <f>IF(ISERROR(C106),0,C106)</f>
        <v>0</v>
      </c>
      <c r="S106" s="328"/>
      <c r="T106" s="328"/>
      <c r="U106" s="328"/>
      <c r="V106" s="328"/>
      <c r="W106" s="328"/>
      <c r="X106" s="328"/>
      <c r="Y106" s="328"/>
      <c r="Z106" s="328"/>
    </row>
    <row r="107" spans="2:26" ht="15" customHeight="1" hidden="1">
      <c r="B107" s="223" t="s">
        <v>639</v>
      </c>
      <c r="C107" s="364"/>
      <c r="E107" s="309" t="s">
        <v>790</v>
      </c>
      <c r="F107" s="367"/>
      <c r="G107" s="367"/>
      <c r="H107" s="367"/>
      <c r="I107" s="367"/>
      <c r="P107" s="223" t="s">
        <v>518</v>
      </c>
      <c r="Q107" s="365">
        <f>$Q$38*(1-VLOOKUP("E85 Cellulosic",Mit_Factors,2,FALSE))</f>
        <v>2202.5</v>
      </c>
      <c r="R107" s="361">
        <f>IF(ISERROR(C107),0,C107)</f>
        <v>0</v>
      </c>
      <c r="S107" s="308"/>
      <c r="T107" s="308"/>
      <c r="U107" s="432"/>
      <c r="V107" s="328"/>
      <c r="W107" s="328"/>
      <c r="X107" s="328"/>
      <c r="Y107" s="432"/>
      <c r="Z107" s="328"/>
    </row>
    <row r="108" spans="2:26" ht="12.75" hidden="1">
      <c r="B108" s="225" t="s">
        <v>568</v>
      </c>
      <c r="C108" s="226">
        <f>SUM(C109:C112)</f>
        <v>1</v>
      </c>
      <c r="E108" s="309" t="s">
        <v>643</v>
      </c>
      <c r="F108" s="367"/>
      <c r="G108" s="367"/>
      <c r="H108" s="367"/>
      <c r="I108" s="367"/>
      <c r="O108" s="328"/>
      <c r="P108" s="263" t="s">
        <v>577</v>
      </c>
      <c r="Q108" s="264">
        <f>SUMPRODUCT(Q109:Q112,R109:R112)</f>
        <v>10150</v>
      </c>
      <c r="R108" s="265"/>
      <c r="S108" s="431"/>
      <c r="T108" s="431"/>
      <c r="U108" s="431"/>
      <c r="V108" s="431"/>
      <c r="W108" s="328"/>
      <c r="X108" s="328"/>
      <c r="Y108" s="386"/>
      <c r="Z108" s="328"/>
    </row>
    <row r="109" spans="2:26" ht="14.25" hidden="1">
      <c r="B109" s="228" t="s">
        <v>501</v>
      </c>
      <c r="C109" s="361">
        <f>1-SUM(C110:C112)</f>
        <v>1</v>
      </c>
      <c r="P109" s="228" t="s">
        <v>501</v>
      </c>
      <c r="Q109" s="369">
        <f>VLOOKUP("Diesel",Fuel_Data,2,FALSE)</f>
        <v>10150</v>
      </c>
      <c r="R109" s="370">
        <f>IF(ISERROR(C109),0,C109)</f>
        <v>1</v>
      </c>
      <c r="S109" s="431"/>
      <c r="T109" s="433"/>
      <c r="U109" s="433"/>
      <c r="V109" s="431"/>
      <c r="W109" s="328"/>
      <c r="X109" s="328"/>
      <c r="Y109" s="434"/>
      <c r="Z109" s="328"/>
    </row>
    <row r="110" spans="2:26" ht="14.25" hidden="1">
      <c r="B110" s="223" t="s">
        <v>812</v>
      </c>
      <c r="C110" s="371"/>
      <c r="P110" s="223" t="s">
        <v>811</v>
      </c>
      <c r="Q110" s="365">
        <f>$Q$44*(1-VLOOKUP("B5",Mit_Factors,2,FALSE))</f>
        <v>9769.375</v>
      </c>
      <c r="R110" s="370">
        <f>IF(ISERROR(C110),0,C110)</f>
        <v>0</v>
      </c>
      <c r="S110" s="431"/>
      <c r="T110" s="433"/>
      <c r="U110" s="433"/>
      <c r="V110" s="431"/>
      <c r="W110" s="328"/>
      <c r="X110" s="328"/>
      <c r="Y110" s="434"/>
      <c r="Z110" s="328"/>
    </row>
    <row r="111" spans="2:26" ht="14.25" hidden="1">
      <c r="B111" s="223" t="s">
        <v>640</v>
      </c>
      <c r="C111" s="371"/>
      <c r="P111" s="223" t="s">
        <v>89</v>
      </c>
      <c r="Q111" s="365">
        <f>$Q$44*(1-VLOOKUP("B20",Mit_Factors,2,FALSE))</f>
        <v>8627.5</v>
      </c>
      <c r="R111" s="370">
        <f>IF(ISERROR(C111),0,C111)</f>
        <v>0</v>
      </c>
      <c r="S111" s="431"/>
      <c r="T111" s="433"/>
      <c r="U111" s="433"/>
      <c r="V111" s="431"/>
      <c r="W111" s="328"/>
      <c r="X111" s="328"/>
      <c r="Y111" s="434"/>
      <c r="Z111" s="328"/>
    </row>
    <row r="112" spans="2:26" ht="15" hidden="1" thickBot="1">
      <c r="B112" s="224" t="s">
        <v>641</v>
      </c>
      <c r="C112" s="372"/>
      <c r="P112" s="224" t="s">
        <v>85</v>
      </c>
      <c r="Q112" s="373">
        <f>$Q$44*(1-VLOOKUP("B100",Mit_Factors,2,FALSE))</f>
        <v>2131.4999999999995</v>
      </c>
      <c r="R112" s="374">
        <f>IF(ISERROR(C112),0,C112)</f>
        <v>0</v>
      </c>
      <c r="S112" s="431"/>
      <c r="T112" s="431"/>
      <c r="U112" s="431"/>
      <c r="V112" s="431"/>
      <c r="W112" s="328"/>
      <c r="X112" s="328"/>
      <c r="Y112" s="386"/>
      <c r="Z112" s="328"/>
    </row>
    <row r="113" spans="2:26" ht="12.75" hidden="1">
      <c r="B113" s="328"/>
      <c r="C113" s="328"/>
      <c r="P113" s="328"/>
      <c r="Q113" s="431"/>
      <c r="R113" s="433"/>
      <c r="S113" s="431"/>
      <c r="T113" s="433"/>
      <c r="U113" s="433"/>
      <c r="V113" s="431"/>
      <c r="W113" s="328"/>
      <c r="X113" s="328"/>
      <c r="Y113" s="434"/>
      <c r="Z113" s="328"/>
    </row>
    <row r="114" spans="2:26" ht="13.5" hidden="1" thickBot="1">
      <c r="B114" s="1010"/>
      <c r="C114" s="1010"/>
      <c r="P114" s="328"/>
      <c r="Q114" s="431"/>
      <c r="R114" s="433"/>
      <c r="S114" s="431"/>
      <c r="T114" s="433"/>
      <c r="U114" s="433"/>
      <c r="V114" s="431"/>
      <c r="W114" s="328"/>
      <c r="X114" s="328"/>
      <c r="Y114" s="434"/>
      <c r="Z114" s="328"/>
    </row>
    <row r="115" spans="2:26" ht="14.25" hidden="1">
      <c r="B115" s="54"/>
      <c r="C115" s="435"/>
      <c r="D115" s="401"/>
      <c r="P115" s="1011" t="s">
        <v>511</v>
      </c>
      <c r="Q115" s="1012"/>
      <c r="R115" s="1012"/>
      <c r="S115" s="1012"/>
      <c r="T115" s="1013"/>
      <c r="Z115" s="328"/>
    </row>
    <row r="116" spans="2:26" ht="15" hidden="1" thickBot="1">
      <c r="B116" s="54"/>
      <c r="C116" s="435"/>
      <c r="P116" s="149" t="s">
        <v>246</v>
      </c>
      <c r="Q116" s="150" t="s">
        <v>247</v>
      </c>
      <c r="R116" s="150" t="s">
        <v>492</v>
      </c>
      <c r="S116" s="150" t="s">
        <v>493</v>
      </c>
      <c r="T116" s="151" t="s">
        <v>494</v>
      </c>
      <c r="Z116" s="328"/>
    </row>
    <row r="117" spans="2:26" ht="13.5" hidden="1" thickBot="1">
      <c r="B117" s="328"/>
      <c r="C117" s="328"/>
      <c r="P117" s="153" t="s">
        <v>497</v>
      </c>
      <c r="Q117" s="342">
        <f aca="true" t="shared" si="2" ref="Q117:Q125">IF(C77=0,0,C60/C77)</f>
        <v>0</v>
      </c>
      <c r="R117" s="342">
        <f aca="true" t="shared" si="3" ref="R117:R125">IF(D77=0,0,D60/D77)</f>
        <v>0</v>
      </c>
      <c r="S117" s="342">
        <f>IF(E77=0,0,E60/E77)</f>
        <v>0</v>
      </c>
      <c r="T117" s="343">
        <f>IF(F77=0,0,F60/F77)</f>
        <v>0</v>
      </c>
      <c r="Z117" s="328"/>
    </row>
    <row r="118" spans="16:26" ht="13.5" hidden="1" thickBot="1">
      <c r="P118" s="145" t="s">
        <v>498</v>
      </c>
      <c r="Q118" s="344">
        <f t="shared" si="2"/>
        <v>0</v>
      </c>
      <c r="R118" s="344">
        <f t="shared" si="3"/>
        <v>0</v>
      </c>
      <c r="S118" s="344" t="s">
        <v>503</v>
      </c>
      <c r="T118" s="345" t="s">
        <v>503</v>
      </c>
      <c r="Z118" s="328"/>
    </row>
    <row r="119" spans="16:26" ht="13.5" thickBot="1">
      <c r="P119" s="145" t="s">
        <v>499</v>
      </c>
      <c r="Q119" s="344">
        <f t="shared" si="2"/>
        <v>0</v>
      </c>
      <c r="R119" s="344">
        <f t="shared" si="3"/>
        <v>0</v>
      </c>
      <c r="S119" s="344" t="s">
        <v>503</v>
      </c>
      <c r="T119" s="345" t="s">
        <v>503</v>
      </c>
      <c r="W119" s="403" t="s">
        <v>512</v>
      </c>
      <c r="X119" s="404">
        <v>0.33</v>
      </c>
      <c r="Z119" s="328"/>
    </row>
    <row r="120" spans="16:20" ht="12.75">
      <c r="P120" s="145" t="s">
        <v>500</v>
      </c>
      <c r="Q120" s="344">
        <f t="shared" si="2"/>
        <v>0</v>
      </c>
      <c r="R120" s="344">
        <f t="shared" si="3"/>
        <v>0</v>
      </c>
      <c r="S120" s="344" t="s">
        <v>503</v>
      </c>
      <c r="T120" s="345" t="s">
        <v>503</v>
      </c>
    </row>
    <row r="121" spans="16:20" ht="12.75">
      <c r="P121" s="145" t="s">
        <v>501</v>
      </c>
      <c r="Q121" s="344">
        <f t="shared" si="2"/>
        <v>0</v>
      </c>
      <c r="R121" s="344">
        <f t="shared" si="3"/>
        <v>0</v>
      </c>
      <c r="S121" s="344">
        <f>IF(E81=0,0,E64/E81)</f>
        <v>0</v>
      </c>
      <c r="T121" s="345">
        <f>IF(F81=0,0,F64/F81)</f>
        <v>0</v>
      </c>
    </row>
    <row r="122" spans="16:23" ht="12.75">
      <c r="P122" s="145" t="s">
        <v>502</v>
      </c>
      <c r="Q122" s="344">
        <f t="shared" si="2"/>
        <v>0</v>
      </c>
      <c r="R122" s="344">
        <f t="shared" si="3"/>
        <v>0</v>
      </c>
      <c r="S122" s="344" t="s">
        <v>503</v>
      </c>
      <c r="T122" s="345" t="s">
        <v>503</v>
      </c>
      <c r="W122" s="235"/>
    </row>
    <row r="123" spans="16:20" ht="12.75">
      <c r="P123" s="145" t="s">
        <v>504</v>
      </c>
      <c r="Q123" s="344">
        <f t="shared" si="2"/>
        <v>0</v>
      </c>
      <c r="R123" s="344">
        <f t="shared" si="3"/>
        <v>0</v>
      </c>
      <c r="S123" s="344" t="s">
        <v>503</v>
      </c>
      <c r="T123" s="345" t="s">
        <v>503</v>
      </c>
    </row>
    <row r="124" spans="16:20" ht="12.75">
      <c r="P124" s="145" t="s">
        <v>70</v>
      </c>
      <c r="Q124" s="344">
        <f t="shared" si="2"/>
        <v>0</v>
      </c>
      <c r="R124" s="344">
        <f t="shared" si="3"/>
        <v>0</v>
      </c>
      <c r="S124" s="344" t="s">
        <v>503</v>
      </c>
      <c r="T124" s="345">
        <f>IF(F84=0,0,F67/F84)</f>
        <v>0</v>
      </c>
    </row>
    <row r="125" spans="16:20" ht="13.5" thickBot="1">
      <c r="P125" s="152" t="s">
        <v>505</v>
      </c>
      <c r="Q125" s="358">
        <f t="shared" si="2"/>
        <v>0</v>
      </c>
      <c r="R125" s="358">
        <f t="shared" si="3"/>
        <v>0</v>
      </c>
      <c r="S125" s="358" t="s">
        <v>503</v>
      </c>
      <c r="T125" s="359" t="s">
        <v>503</v>
      </c>
    </row>
    <row r="126" spans="16:20" ht="12.75">
      <c r="P126" s="328"/>
      <c r="Q126" s="448"/>
      <c r="R126" s="448"/>
      <c r="S126" s="449"/>
      <c r="T126" s="449"/>
    </row>
    <row r="127" spans="16:20" ht="13.5" thickBot="1">
      <c r="P127" s="328"/>
      <c r="Q127" s="448"/>
      <c r="R127" s="448"/>
      <c r="S127" s="449"/>
      <c r="T127" s="449"/>
    </row>
    <row r="128" spans="16:20" ht="12.75">
      <c r="P128" s="1011" t="s">
        <v>513</v>
      </c>
      <c r="Q128" s="1012"/>
      <c r="R128" s="1012"/>
      <c r="S128" s="1012"/>
      <c r="T128" s="1013"/>
    </row>
    <row r="129" spans="16:20" ht="13.5" thickBot="1">
      <c r="P129" s="149" t="s">
        <v>246</v>
      </c>
      <c r="Q129" s="150" t="s">
        <v>247</v>
      </c>
      <c r="R129" s="150" t="s">
        <v>492</v>
      </c>
      <c r="S129" s="150" t="s">
        <v>493</v>
      </c>
      <c r="T129" s="151" t="s">
        <v>494</v>
      </c>
    </row>
    <row r="130" spans="16:20" ht="12.75">
      <c r="P130" s="153" t="s">
        <v>497</v>
      </c>
      <c r="Q130" s="342">
        <f aca="true" t="shared" si="4" ref="Q130:Q138">IF(Q77=0,0,C60/Q77)</f>
        <v>0</v>
      </c>
      <c r="R130" s="342">
        <f aca="true" t="shared" si="5" ref="R130:R138">IF(R77=0,0,D60/R77)</f>
        <v>0</v>
      </c>
      <c r="S130" s="342">
        <f>IF(S77=0,0,E60/S77)</f>
        <v>0</v>
      </c>
      <c r="T130" s="343">
        <f>IF(T77=0,0,F60/T77)</f>
        <v>0</v>
      </c>
    </row>
    <row r="131" spans="16:20" ht="12.75">
      <c r="P131" s="145" t="s">
        <v>498</v>
      </c>
      <c r="Q131" s="344">
        <f t="shared" si="4"/>
        <v>0</v>
      </c>
      <c r="R131" s="344">
        <f t="shared" si="5"/>
        <v>0</v>
      </c>
      <c r="S131" s="344" t="s">
        <v>503</v>
      </c>
      <c r="T131" s="345" t="s">
        <v>503</v>
      </c>
    </row>
    <row r="132" spans="16:20" ht="12.75">
      <c r="P132" s="145" t="s">
        <v>499</v>
      </c>
      <c r="Q132" s="344">
        <f t="shared" si="4"/>
        <v>0</v>
      </c>
      <c r="R132" s="344">
        <f t="shared" si="5"/>
        <v>0</v>
      </c>
      <c r="S132" s="344" t="s">
        <v>503</v>
      </c>
      <c r="T132" s="345" t="s">
        <v>503</v>
      </c>
    </row>
    <row r="133" spans="16:20" ht="12.75">
      <c r="P133" s="145" t="s">
        <v>500</v>
      </c>
      <c r="Q133" s="344">
        <f t="shared" si="4"/>
        <v>0</v>
      </c>
      <c r="R133" s="344">
        <f t="shared" si="5"/>
        <v>0</v>
      </c>
      <c r="S133" s="344" t="s">
        <v>503</v>
      </c>
      <c r="T133" s="345" t="s">
        <v>503</v>
      </c>
    </row>
    <row r="134" spans="16:20" ht="12.75">
      <c r="P134" s="145" t="s">
        <v>501</v>
      </c>
      <c r="Q134" s="344">
        <f t="shared" si="4"/>
        <v>0</v>
      </c>
      <c r="R134" s="344">
        <f t="shared" si="5"/>
        <v>0</v>
      </c>
      <c r="S134" s="344">
        <f>IF(S81=0,0,E64/S81)</f>
        <v>0</v>
      </c>
      <c r="T134" s="345">
        <f>IF(T81=0,0,F64/T81)</f>
        <v>0</v>
      </c>
    </row>
    <row r="135" spans="16:20" ht="12.75">
      <c r="P135" s="145" t="s">
        <v>502</v>
      </c>
      <c r="Q135" s="344">
        <f t="shared" si="4"/>
        <v>0</v>
      </c>
      <c r="R135" s="344">
        <f t="shared" si="5"/>
        <v>0</v>
      </c>
      <c r="S135" s="344" t="s">
        <v>503</v>
      </c>
      <c r="T135" s="345" t="s">
        <v>503</v>
      </c>
    </row>
    <row r="136" spans="16:20" ht="12.75">
      <c r="P136" s="145" t="s">
        <v>504</v>
      </c>
      <c r="Q136" s="344">
        <f t="shared" si="4"/>
        <v>0</v>
      </c>
      <c r="R136" s="344">
        <f t="shared" si="5"/>
        <v>0</v>
      </c>
      <c r="S136" s="344" t="s">
        <v>503</v>
      </c>
      <c r="T136" s="345" t="s">
        <v>503</v>
      </c>
    </row>
    <row r="137" spans="16:20" ht="12.75">
      <c r="P137" s="145" t="s">
        <v>70</v>
      </c>
      <c r="Q137" s="344">
        <f t="shared" si="4"/>
        <v>0</v>
      </c>
      <c r="R137" s="344">
        <f t="shared" si="5"/>
        <v>0</v>
      </c>
      <c r="S137" s="344" t="s">
        <v>503</v>
      </c>
      <c r="T137" s="345">
        <f>IF(T84=0,0,F67/T84)</f>
        <v>0</v>
      </c>
    </row>
    <row r="138" spans="16:20" ht="13.5" thickBot="1">
      <c r="P138" s="152" t="s">
        <v>505</v>
      </c>
      <c r="Q138" s="358">
        <f t="shared" si="4"/>
        <v>0</v>
      </c>
      <c r="R138" s="358">
        <f t="shared" si="5"/>
        <v>0</v>
      </c>
      <c r="S138" s="358" t="s">
        <v>503</v>
      </c>
      <c r="T138" s="359" t="s">
        <v>503</v>
      </c>
    </row>
    <row r="139" spans="16:20" ht="12.75">
      <c r="P139" s="328"/>
      <c r="Q139" s="448"/>
      <c r="R139" s="448"/>
      <c r="S139" s="449"/>
      <c r="T139" s="449"/>
    </row>
    <row r="140" spans="16:20" ht="13.5" thickBot="1">
      <c r="P140" s="328"/>
      <c r="Q140" s="448"/>
      <c r="R140" s="448"/>
      <c r="S140" s="449"/>
      <c r="T140" s="449"/>
    </row>
    <row r="141" spans="16:20" ht="12.75">
      <c r="P141" s="146" t="s">
        <v>664</v>
      </c>
      <c r="Q141" s="147"/>
      <c r="R141" s="147"/>
      <c r="S141" s="147"/>
      <c r="T141" s="148"/>
    </row>
    <row r="142" spans="16:20" ht="13.5" thickBot="1">
      <c r="P142" s="149" t="s">
        <v>246</v>
      </c>
      <c r="Q142" s="150" t="s">
        <v>247</v>
      </c>
      <c r="R142" s="150" t="s">
        <v>492</v>
      </c>
      <c r="S142" s="150" t="s">
        <v>493</v>
      </c>
      <c r="T142" s="151" t="s">
        <v>494</v>
      </c>
    </row>
    <row r="143" spans="16:20" ht="12.75">
      <c r="P143" s="153" t="s">
        <v>497</v>
      </c>
      <c r="Q143" s="342">
        <f>Q130-'Onroad Strategies'!AE29</f>
        <v>0</v>
      </c>
      <c r="R143" s="342">
        <f>R130-'Onroad Strategies'!AF29</f>
        <v>0</v>
      </c>
      <c r="S143" s="406">
        <f>S130-'Onroad Strategies'!AG29</f>
        <v>0</v>
      </c>
      <c r="T143" s="407">
        <f>T130-'Onroad Strategies'!AH29</f>
        <v>0</v>
      </c>
    </row>
    <row r="144" spans="16:20" ht="12.75">
      <c r="P144" s="145" t="s">
        <v>498</v>
      </c>
      <c r="Q144" s="344">
        <f>Q131-'Onroad Strategies'!AE30</f>
        <v>0</v>
      </c>
      <c r="R144" s="344">
        <f>R131-'Onroad Strategies'!AF30</f>
        <v>0</v>
      </c>
      <c r="S144" s="405" t="s">
        <v>503</v>
      </c>
      <c r="T144" s="408" t="s">
        <v>503</v>
      </c>
    </row>
    <row r="145" spans="16:20" ht="12.75">
      <c r="P145" s="145" t="s">
        <v>499</v>
      </c>
      <c r="Q145" s="344">
        <f>Q132</f>
        <v>0</v>
      </c>
      <c r="R145" s="344">
        <f>R132</f>
        <v>0</v>
      </c>
      <c r="S145" s="405" t="s">
        <v>503</v>
      </c>
      <c r="T145" s="408" t="s">
        <v>503</v>
      </c>
    </row>
    <row r="146" spans="16:25" ht="12.75">
      <c r="P146" s="145" t="s">
        <v>500</v>
      </c>
      <c r="Q146" s="344">
        <f>Q133</f>
        <v>0</v>
      </c>
      <c r="R146" s="344">
        <f>R133</f>
        <v>0</v>
      </c>
      <c r="S146" s="405" t="s">
        <v>503</v>
      </c>
      <c r="T146" s="408" t="s">
        <v>503</v>
      </c>
      <c r="Y146" s="328"/>
    </row>
    <row r="147" spans="16:20" ht="12.75">
      <c r="P147" s="145" t="s">
        <v>501</v>
      </c>
      <c r="Q147" s="344">
        <f>Q134-'Onroad Strategies'!AE33</f>
        <v>0</v>
      </c>
      <c r="R147" s="344">
        <f>R134-'Onroad Strategies'!AF33</f>
        <v>0</v>
      </c>
      <c r="S147" s="405">
        <f>S134-'Onroad Strategies'!AG33</f>
        <v>0</v>
      </c>
      <c r="T147" s="408">
        <f>T134-'Onroad Strategies'!AH33</f>
        <v>0</v>
      </c>
    </row>
    <row r="148" spans="16:20" ht="12.75">
      <c r="P148" s="145" t="s">
        <v>502</v>
      </c>
      <c r="Q148" s="344">
        <f>Q135</f>
        <v>0</v>
      </c>
      <c r="R148" s="344">
        <f>R135</f>
        <v>0</v>
      </c>
      <c r="S148" s="405" t="s">
        <v>503</v>
      </c>
      <c r="T148" s="408" t="s">
        <v>503</v>
      </c>
    </row>
    <row r="149" spans="16:20" ht="12.75">
      <c r="P149" s="145" t="s">
        <v>504</v>
      </c>
      <c r="Q149" s="344">
        <f>Q136</f>
        <v>0</v>
      </c>
      <c r="R149" s="344">
        <f>R136</f>
        <v>0</v>
      </c>
      <c r="S149" s="405" t="s">
        <v>503</v>
      </c>
      <c r="T149" s="408" t="s">
        <v>503</v>
      </c>
    </row>
    <row r="150" spans="16:20" ht="12.75">
      <c r="P150" s="145" t="s">
        <v>70</v>
      </c>
      <c r="Q150" s="344">
        <f>Q137-'Onroad Strategies'!AE36</f>
        <v>0</v>
      </c>
      <c r="R150" s="344">
        <f>R137-'Onroad Strategies'!AF36</f>
        <v>0</v>
      </c>
      <c r="S150" s="405" t="s">
        <v>503</v>
      </c>
      <c r="T150" s="408">
        <f>T137-'Onroad Strategies'!AH36</f>
        <v>0</v>
      </c>
    </row>
    <row r="151" spans="16:23" ht="13.5" thickBot="1">
      <c r="P151" s="152" t="s">
        <v>505</v>
      </c>
      <c r="Q151" s="358">
        <f>Q138</f>
        <v>0</v>
      </c>
      <c r="R151" s="358">
        <f>R138</f>
        <v>0</v>
      </c>
      <c r="S151" s="409" t="s">
        <v>503</v>
      </c>
      <c r="T151" s="410" t="s">
        <v>503</v>
      </c>
      <c r="U151" s="328"/>
      <c r="V151" s="328"/>
      <c r="W151" s="328"/>
    </row>
    <row r="152" ht="13.5" thickBot="1"/>
    <row r="153" spans="16:25" ht="13.5" thickBot="1">
      <c r="P153" s="439" t="s">
        <v>660</v>
      </c>
      <c r="Q153" s="440"/>
      <c r="R153" s="440"/>
      <c r="S153" s="440"/>
      <c r="T153" s="440"/>
      <c r="U153" s="440"/>
      <c r="W153" s="441" t="s">
        <v>666</v>
      </c>
      <c r="X153" s="442"/>
      <c r="Y153" s="443"/>
    </row>
    <row r="154" spans="16:25" ht="13.5" thickBot="1">
      <c r="P154" s="436" t="s">
        <v>491</v>
      </c>
      <c r="Q154" s="437" t="s">
        <v>232</v>
      </c>
      <c r="R154" s="437" t="s">
        <v>247</v>
      </c>
      <c r="S154" s="437" t="s">
        <v>492</v>
      </c>
      <c r="T154" s="437" t="s">
        <v>493</v>
      </c>
      <c r="U154" s="438" t="s">
        <v>494</v>
      </c>
      <c r="W154" s="444"/>
      <c r="X154" s="428" t="s">
        <v>103</v>
      </c>
      <c r="Y154" s="447" t="s">
        <v>56</v>
      </c>
    </row>
    <row r="155" spans="16:25" ht="14.25">
      <c r="P155" s="153" t="s">
        <v>248</v>
      </c>
      <c r="Q155" s="411">
        <f>SUM(R155:U155)</f>
        <v>0</v>
      </c>
      <c r="R155" s="411">
        <f>SUM(Q117:Q119)+(1-$X$119)*Q120</f>
        <v>0</v>
      </c>
      <c r="S155" s="411">
        <f>SUM(R117:R119)+(1-$X$119)*R120</f>
        <v>0</v>
      </c>
      <c r="T155" s="411">
        <f>S117</f>
        <v>0</v>
      </c>
      <c r="U155" s="412">
        <f>T117</f>
        <v>0</v>
      </c>
      <c r="V155" s="413"/>
      <c r="W155" s="414" t="s">
        <v>237</v>
      </c>
      <c r="X155" s="415">
        <f>Q103</f>
        <v>8810</v>
      </c>
      <c r="Y155" s="416">
        <f>Q155*X155/1000</f>
        <v>0</v>
      </c>
    </row>
    <row r="156" spans="16:25" ht="14.25">
      <c r="P156" s="145" t="s">
        <v>249</v>
      </c>
      <c r="Q156" s="417">
        <f>SUM(R156:U156)</f>
        <v>0</v>
      </c>
      <c r="R156" s="417">
        <f>(SUM(Q121:Q122)+(1-$X$119)*Q123)*GGE!$D$6</f>
        <v>0</v>
      </c>
      <c r="S156" s="417">
        <f>(SUM(R121:R122)+(1-$X$119)*R123)*GGE!$D$6</f>
        <v>0</v>
      </c>
      <c r="T156" s="417">
        <f>S121*GGE!$D$6</f>
        <v>0</v>
      </c>
      <c r="U156" s="418">
        <f>T121*GGE!$D$6</f>
        <v>0</v>
      </c>
      <c r="V156" s="413"/>
      <c r="W156" s="414" t="s">
        <v>61</v>
      </c>
      <c r="X156" s="415">
        <f>Q109</f>
        <v>10150</v>
      </c>
      <c r="Y156" s="416">
        <f>Q156*X156/1000</f>
        <v>0</v>
      </c>
    </row>
    <row r="157" spans="16:25" ht="14.25">
      <c r="P157" s="145" t="s">
        <v>496</v>
      </c>
      <c r="Q157" s="417">
        <f>SUM(R157:U157)</f>
        <v>0</v>
      </c>
      <c r="R157" s="417">
        <f>Q124*GGE!$D$8/1000</f>
        <v>0</v>
      </c>
      <c r="S157" s="417">
        <f>R124*GGE!$D$8/1000</f>
        <v>0</v>
      </c>
      <c r="T157" s="417" t="s">
        <v>503</v>
      </c>
      <c r="U157" s="418">
        <f>T124*GGE!$D$8/1000</f>
        <v>0</v>
      </c>
      <c r="V157" s="413"/>
      <c r="W157" s="414" t="s">
        <v>70</v>
      </c>
      <c r="X157" s="346">
        <f>VLOOKUP("CNG",Fuel_Data,2,FALSE)</f>
        <v>54500</v>
      </c>
      <c r="Y157" s="416">
        <f>Q157*X157/1000</f>
        <v>0</v>
      </c>
    </row>
    <row r="158" spans="16:25" ht="15" thickBot="1">
      <c r="P158" s="152" t="s">
        <v>514</v>
      </c>
      <c r="Q158" s="419">
        <f>SUM(R158:U158)</f>
        <v>0</v>
      </c>
      <c r="R158" s="419">
        <f>(Q125+$X$119*(Q120+Q123))*GGE!$D$15</f>
        <v>0</v>
      </c>
      <c r="S158" s="419">
        <f>(R125+$X$119*(R120+R123))*GGE!$D$15</f>
        <v>0</v>
      </c>
      <c r="T158" s="419" t="s">
        <v>503</v>
      </c>
      <c r="U158" s="420" t="s">
        <v>503</v>
      </c>
      <c r="V158" s="413"/>
      <c r="W158" s="414" t="s">
        <v>100</v>
      </c>
      <c r="X158" s="346">
        <f>VLOOKUP("Grid Electricity",Fuel_Data,2,FALSE)</f>
        <v>623.7751878374099</v>
      </c>
      <c r="Y158" s="416">
        <f>Q158*X158/1000</f>
        <v>0</v>
      </c>
    </row>
    <row r="159" spans="14:25" ht="15" thickBot="1">
      <c r="N159" s="328"/>
      <c r="P159" s="328"/>
      <c r="Q159" s="450"/>
      <c r="R159" s="450"/>
      <c r="S159" s="450"/>
      <c r="T159" s="450"/>
      <c r="U159" s="450"/>
      <c r="V159" s="413"/>
      <c r="W159" s="421" t="s">
        <v>232</v>
      </c>
      <c r="X159" s="422"/>
      <c r="Y159" s="423">
        <f>SUM(Y155:Y158)</f>
        <v>0</v>
      </c>
    </row>
    <row r="160" spans="16:24" ht="15" thickBot="1">
      <c r="P160" s="328"/>
      <c r="Q160" s="450"/>
      <c r="R160" s="450"/>
      <c r="S160" s="450"/>
      <c r="T160" s="450"/>
      <c r="U160" s="450"/>
      <c r="V160" s="413"/>
      <c r="X160" s="328"/>
    </row>
    <row r="161" spans="16:25" ht="13.5" thickBot="1">
      <c r="P161" s="439" t="s">
        <v>665</v>
      </c>
      <c r="Q161" s="440"/>
      <c r="R161" s="440"/>
      <c r="S161" s="440"/>
      <c r="T161" s="440"/>
      <c r="U161" s="440"/>
      <c r="V161" s="413"/>
      <c r="W161" s="441" t="s">
        <v>667</v>
      </c>
      <c r="X161" s="442"/>
      <c r="Y161" s="443"/>
    </row>
    <row r="162" spans="16:25" ht="13.5" thickBot="1">
      <c r="P162" s="436" t="s">
        <v>491</v>
      </c>
      <c r="Q162" s="437" t="s">
        <v>232</v>
      </c>
      <c r="R162" s="437" t="s">
        <v>247</v>
      </c>
      <c r="S162" s="437" t="s">
        <v>492</v>
      </c>
      <c r="T162" s="437" t="s">
        <v>493</v>
      </c>
      <c r="U162" s="438" t="s">
        <v>494</v>
      </c>
      <c r="V162" s="413"/>
      <c r="W162" s="444" t="s">
        <v>662</v>
      </c>
      <c r="X162" s="445" t="s">
        <v>103</v>
      </c>
      <c r="Y162" s="446" t="s">
        <v>56</v>
      </c>
    </row>
    <row r="163" spans="16:25" ht="14.25">
      <c r="P163" s="153" t="s">
        <v>248</v>
      </c>
      <c r="Q163" s="411">
        <f>SUM(R163:U163)</f>
        <v>0</v>
      </c>
      <c r="R163" s="411">
        <f>SUM(Q143:Q145)+(1-$X$119)*Q146</f>
        <v>0</v>
      </c>
      <c r="S163" s="411">
        <f>SUM(R143:R145)+(1-$X$119)*R146</f>
        <v>0</v>
      </c>
      <c r="T163" s="411">
        <f>S143</f>
        <v>0</v>
      </c>
      <c r="U163" s="412">
        <f>T143</f>
        <v>0</v>
      </c>
      <c r="V163" s="413"/>
      <c r="W163" s="414" t="s">
        <v>237</v>
      </c>
      <c r="X163" s="415">
        <f>Q102</f>
        <v>8810</v>
      </c>
      <c r="Y163" s="416">
        <f>Q163*X163/1000</f>
        <v>0</v>
      </c>
    </row>
    <row r="164" spans="9:25" ht="14.25">
      <c r="I164" s="328"/>
      <c r="J164" s="328"/>
      <c r="K164" s="328"/>
      <c r="L164" s="328"/>
      <c r="P164" s="145" t="s">
        <v>249</v>
      </c>
      <c r="Q164" s="417">
        <f>SUM(R164:U164)</f>
        <v>0</v>
      </c>
      <c r="R164" s="417">
        <f>(SUM(Q147:Q148)+(1-$X$119)*Q149)*GGE!$D$6</f>
        <v>0</v>
      </c>
      <c r="S164" s="417">
        <f>(SUM(R147:R148)+(1-$X$119)*R149)*GGE!$D$6</f>
        <v>0</v>
      </c>
      <c r="T164" s="417">
        <f>S147*GGE!$D$6</f>
        <v>0</v>
      </c>
      <c r="U164" s="418">
        <f>T147*GGE!$D$6</f>
        <v>0</v>
      </c>
      <c r="V164" s="413"/>
      <c r="W164" s="414" t="s">
        <v>61</v>
      </c>
      <c r="X164" s="415">
        <f>Q108</f>
        <v>10150</v>
      </c>
      <c r="Y164" s="416">
        <f>Q164*X164/1000</f>
        <v>0</v>
      </c>
    </row>
    <row r="165" spans="9:25" ht="14.25">
      <c r="I165" s="402"/>
      <c r="J165" s="328"/>
      <c r="K165" s="328"/>
      <c r="L165" s="328"/>
      <c r="P165" s="145" t="s">
        <v>496</v>
      </c>
      <c r="Q165" s="417">
        <f>SUM(R165:U165)</f>
        <v>0</v>
      </c>
      <c r="R165" s="417">
        <f>Q150*GGE!$D$8/1000</f>
        <v>0</v>
      </c>
      <c r="S165" s="417">
        <f>R150*GGE!$D$8/1000</f>
        <v>0</v>
      </c>
      <c r="T165" s="417" t="s">
        <v>503</v>
      </c>
      <c r="U165" s="418">
        <f>T150*GGE!$D$8/1000</f>
        <v>0</v>
      </c>
      <c r="V165" s="413"/>
      <c r="W165" s="414" t="s">
        <v>70</v>
      </c>
      <c r="X165" s="346">
        <f>VLOOKUP("CNG",Fuel_Data,2,FALSE)</f>
        <v>54500</v>
      </c>
      <c r="Y165" s="416">
        <f>Q165*X165/1000</f>
        <v>0</v>
      </c>
    </row>
    <row r="166" spans="9:25" ht="15" thickBot="1">
      <c r="I166" s="328"/>
      <c r="J166" s="328"/>
      <c r="K166" s="328"/>
      <c r="L166" s="328"/>
      <c r="P166" s="152" t="s">
        <v>514</v>
      </c>
      <c r="Q166" s="419">
        <f>SUM(R166:U166)</f>
        <v>0</v>
      </c>
      <c r="R166" s="419">
        <f>(Q151+$X$119*(Q146+Q149))*GGE!$D$15</f>
        <v>0</v>
      </c>
      <c r="S166" s="419">
        <f>(R151+$X$119*(R146+R149))*GGE!$D$15</f>
        <v>0</v>
      </c>
      <c r="T166" s="419" t="s">
        <v>503</v>
      </c>
      <c r="U166" s="420" t="s">
        <v>503</v>
      </c>
      <c r="V166" s="413"/>
      <c r="W166" s="414" t="s">
        <v>100</v>
      </c>
      <c r="X166" s="346">
        <f>VLOOKUP("Grid Electricity",Fuel_Data,2,FALSE)</f>
        <v>623.7751878374099</v>
      </c>
      <c r="Y166" s="416">
        <f>Q166*X166/1000</f>
        <v>0</v>
      </c>
    </row>
    <row r="167" spans="16:25" ht="15" thickBot="1">
      <c r="P167" s="328"/>
      <c r="Q167" s="450"/>
      <c r="R167" s="450"/>
      <c r="S167" s="450"/>
      <c r="T167" s="450"/>
      <c r="U167" s="450"/>
      <c r="V167" s="413"/>
      <c r="W167" s="421" t="s">
        <v>232</v>
      </c>
      <c r="X167" s="422"/>
      <c r="Y167" s="423">
        <f>SUM(Y163:Y166)</f>
        <v>0</v>
      </c>
    </row>
    <row r="168" spans="16:22" ht="14.25">
      <c r="P168" s="328"/>
      <c r="Q168" s="450"/>
      <c r="R168" s="450"/>
      <c r="S168" s="450"/>
      <c r="T168" s="450"/>
      <c r="U168" s="450"/>
      <c r="V168" s="413"/>
    </row>
    <row r="192" ht="12.75">
      <c r="M192" s="328"/>
    </row>
    <row r="206" ht="12.75">
      <c r="L206" s="328"/>
    </row>
    <row r="210" ht="12.75">
      <c r="A210" s="328"/>
    </row>
    <row r="228" ht="12.75">
      <c r="K228" s="328"/>
    </row>
    <row r="229" spans="4:8" ht="14.25">
      <c r="D229" s="346"/>
      <c r="E229" s="346"/>
      <c r="F229" s="346"/>
      <c r="G229" s="346"/>
      <c r="H229" s="328"/>
    </row>
    <row r="230" spans="4:8" ht="14.25">
      <c r="D230" s="346"/>
      <c r="E230" s="346"/>
      <c r="F230" s="346"/>
      <c r="G230" s="346"/>
      <c r="H230" s="328"/>
    </row>
    <row r="231" spans="4:8" ht="14.25">
      <c r="D231" s="346"/>
      <c r="E231" s="346"/>
      <c r="F231" s="346"/>
      <c r="G231" s="346"/>
      <c r="H231" s="328"/>
    </row>
    <row r="232" spans="4:8" ht="14.25">
      <c r="D232" s="346"/>
      <c r="E232" s="346"/>
      <c r="F232" s="346"/>
      <c r="G232" s="346"/>
      <c r="H232" s="328"/>
    </row>
    <row r="233" spans="4:8" ht="14.25">
      <c r="D233" s="346"/>
      <c r="E233" s="346"/>
      <c r="F233" s="346"/>
      <c r="G233" s="346"/>
      <c r="H233" s="328"/>
    </row>
    <row r="234" spans="4:8" ht="14.25">
      <c r="D234" s="346"/>
      <c r="E234" s="346"/>
      <c r="F234" s="346"/>
      <c r="G234" s="346"/>
      <c r="H234" s="328"/>
    </row>
    <row r="235" spans="4:8" ht="12.75">
      <c r="D235" s="328"/>
      <c r="E235" s="328"/>
      <c r="F235" s="328"/>
      <c r="G235" s="328"/>
      <c r="H235" s="328"/>
    </row>
    <row r="253" ht="12.75">
      <c r="L253" s="328"/>
    </row>
    <row r="254" ht="12.75">
      <c r="L254" s="328"/>
    </row>
    <row r="255" ht="12.75">
      <c r="L255" s="328"/>
    </row>
    <row r="256" ht="12.75">
      <c r="L256" s="328"/>
    </row>
    <row r="257" ht="12.75">
      <c r="L257" s="328"/>
    </row>
    <row r="258" ht="12.75">
      <c r="L258" s="328"/>
    </row>
    <row r="259" ht="12.75">
      <c r="L259" s="328"/>
    </row>
    <row r="260" ht="12.75">
      <c r="L260" s="328"/>
    </row>
    <row r="261" ht="12.75">
      <c r="L261" s="328"/>
    </row>
    <row r="262" ht="12.75">
      <c r="L262" s="328"/>
    </row>
    <row r="263" spans="11:12" ht="12.75">
      <c r="K263" s="328"/>
      <c r="L263" s="328"/>
    </row>
    <row r="264" spans="11:12" ht="12.75">
      <c r="K264" s="328"/>
      <c r="L264" s="328"/>
    </row>
    <row r="265" spans="11:12" ht="12.75">
      <c r="K265" s="328"/>
      <c r="L265" s="328"/>
    </row>
    <row r="266" spans="9:12" ht="12.75">
      <c r="I266" s="328"/>
      <c r="J266" s="328"/>
      <c r="K266" s="328"/>
      <c r="L266" s="328"/>
    </row>
    <row r="267" spans="9:12" ht="12.75">
      <c r="I267" s="328"/>
      <c r="J267" s="328"/>
      <c r="K267" s="328"/>
      <c r="L267" s="328"/>
    </row>
    <row r="268" spans="9:12" ht="12.75">
      <c r="I268" s="328"/>
      <c r="J268" s="328"/>
      <c r="K268" s="328"/>
      <c r="L268" s="328"/>
    </row>
    <row r="269" spans="9:12" ht="12.75">
      <c r="I269" s="328"/>
      <c r="J269" s="328"/>
      <c r="K269" s="328"/>
      <c r="L269" s="328"/>
    </row>
    <row r="270" spans="9:11" ht="12.75">
      <c r="I270" s="328"/>
      <c r="J270" s="328"/>
      <c r="K270" s="328"/>
    </row>
    <row r="271" spans="9:11" ht="12.75">
      <c r="I271" s="328"/>
      <c r="J271" s="328"/>
      <c r="K271" s="328"/>
    </row>
    <row r="272" spans="9:11" ht="12.75">
      <c r="I272" s="328"/>
      <c r="J272" s="328"/>
      <c r="K272" s="328"/>
    </row>
    <row r="273" spans="9:11" ht="12.75">
      <c r="I273" s="328"/>
      <c r="J273" s="328"/>
      <c r="K273" s="328"/>
    </row>
    <row r="274" spans="9:11" ht="12.75">
      <c r="I274" s="328"/>
      <c r="J274" s="328"/>
      <c r="K274" s="328"/>
    </row>
    <row r="275" spans="10:11" ht="12.75">
      <c r="J275" s="328"/>
      <c r="K275" s="328"/>
    </row>
    <row r="276" spans="10:11" ht="12.75">
      <c r="J276" s="328"/>
      <c r="K276" s="328"/>
    </row>
    <row r="277" spans="10:11" ht="12.75">
      <c r="J277" s="328"/>
      <c r="K277" s="328"/>
    </row>
    <row r="278" spans="10:11" ht="12.75">
      <c r="J278" s="328"/>
      <c r="K278" s="328"/>
    </row>
    <row r="279" spans="10:11" ht="12.75">
      <c r="J279" s="328"/>
      <c r="K279" s="328"/>
    </row>
    <row r="280" ht="12.75">
      <c r="J280" s="328"/>
    </row>
    <row r="281" ht="12.75">
      <c r="J281" s="328"/>
    </row>
    <row r="282" ht="12.75">
      <c r="J282" s="328"/>
    </row>
    <row r="283" ht="12.75">
      <c r="J283" s="328"/>
    </row>
    <row r="284" ht="12.75">
      <c r="J284" s="328"/>
    </row>
    <row r="285" ht="12.75">
      <c r="J285" s="328"/>
    </row>
    <row r="286" ht="12.75">
      <c r="J286" s="328"/>
    </row>
    <row r="287" ht="12.75">
      <c r="J287" s="328"/>
    </row>
  </sheetData>
  <sheetProtection/>
  <mergeCells count="17">
    <mergeCell ref="AA39:AE39"/>
    <mergeCell ref="P73:T73"/>
    <mergeCell ref="P74:T74"/>
    <mergeCell ref="T43:U43"/>
    <mergeCell ref="E28:H28"/>
    <mergeCell ref="P115:T115"/>
    <mergeCell ref="D92:F92"/>
    <mergeCell ref="C91:F91"/>
    <mergeCell ref="C18:D18"/>
    <mergeCell ref="C19:D19"/>
    <mergeCell ref="P128:T128"/>
    <mergeCell ref="B17:D17"/>
    <mergeCell ref="G12:I12"/>
    <mergeCell ref="G13:I13"/>
    <mergeCell ref="G14:I14"/>
    <mergeCell ref="G15:I15"/>
    <mergeCell ref="B114:C114"/>
  </mergeCells>
  <conditionalFormatting sqref="Q150:S151 T151">
    <cfRule type="expression" priority="13" dxfId="43" stopIfTrue="1">
      <formula>AB70=0</formula>
    </cfRule>
    <cfRule type="expression" priority="14" dxfId="44" stopIfTrue="1">
      <formula>AB70&lt;&gt;0</formula>
    </cfRule>
  </conditionalFormatting>
  <conditionalFormatting sqref="T150 Q146:T149">
    <cfRule type="expression" priority="11" dxfId="43" stopIfTrue="1">
      <formula>AB67=0</formula>
    </cfRule>
    <cfRule type="expression" priority="12" dxfId="44" stopIfTrue="1">
      <formula>AB67&lt;&gt;0</formula>
    </cfRule>
  </conditionalFormatting>
  <conditionalFormatting sqref="Q126:T126">
    <cfRule type="expression" priority="7" dxfId="43" stopIfTrue="1">
      <formula>AB67=0</formula>
    </cfRule>
    <cfRule type="expression" priority="8" dxfId="44" stopIfTrue="1">
      <formula>AB67&lt;&gt;0</formula>
    </cfRule>
  </conditionalFormatting>
  <conditionalFormatting sqref="Q143:T144">
    <cfRule type="expression" priority="9" dxfId="43" stopIfTrue="1">
      <formula>#REF!=0</formula>
    </cfRule>
    <cfRule type="expression" priority="10" dxfId="44" stopIfTrue="1">
      <formula>#REF!&lt;&gt;0</formula>
    </cfRule>
  </conditionalFormatting>
  <conditionalFormatting sqref="Q127:T127">
    <cfRule type="expression" priority="5" dxfId="43" stopIfTrue="1">
      <formula>#REF!=0</formula>
    </cfRule>
    <cfRule type="expression" priority="6" dxfId="44" stopIfTrue="1">
      <formula>#REF!&lt;&gt;0</formula>
    </cfRule>
  </conditionalFormatting>
  <conditionalFormatting sqref="Q140:T140">
    <cfRule type="expression" priority="25" dxfId="43" stopIfTrue="1">
      <formula>#REF!=0</formula>
    </cfRule>
    <cfRule type="expression" priority="26" dxfId="44" stopIfTrue="1">
      <formula>#REF!&lt;&gt;0</formula>
    </cfRule>
  </conditionalFormatting>
  <conditionalFormatting sqref="Q145:T145 Q139:T139">
    <cfRule type="expression" priority="27" dxfId="43" stopIfTrue="1">
      <formula>#REF!=0</formula>
    </cfRule>
    <cfRule type="expression" priority="28" dxfId="44" stopIfTrue="1">
      <formula>#REF!&lt;&gt;0</formula>
    </cfRule>
  </conditionalFormatting>
  <conditionalFormatting sqref="Q108:R108 Q43:R43">
    <cfRule type="cellIs" priority="29" dxfId="44" operator="notEqual" stopIfTrue="1">
      <formula>1</formula>
    </cfRule>
  </conditionalFormatting>
  <conditionalFormatting sqref="Q102:R102 C37 Q37:R37 C102 C108 C43">
    <cfRule type="cellIs" priority="30" dxfId="44" operator="notEqual" stopIfTrue="1">
      <formula>1</formula>
    </cfRule>
    <cfRule type="cellIs" priority="31" dxfId="45" operator="equal" stopIfTrue="1">
      <formula>1</formula>
    </cfRule>
  </conditionalFormatting>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24">
    <tabColor indexed="44"/>
  </sheetPr>
  <dimension ref="A1:BH197"/>
  <sheetViews>
    <sheetView showGridLines="0" zoomScalePageLayoutView="0" workbookViewId="0" topLeftCell="A1">
      <selection activeCell="A1" sqref="A1"/>
    </sheetView>
  </sheetViews>
  <sheetFormatPr defaultColWidth="9.140625" defaultRowHeight="15"/>
  <cols>
    <col min="1" max="1" width="1.7109375" style="575" customWidth="1"/>
    <col min="2" max="2" width="31.421875" style="575" customWidth="1"/>
    <col min="3" max="3" width="18.421875" style="575" customWidth="1"/>
    <col min="4" max="4" width="15.421875" style="575" customWidth="1"/>
    <col min="5" max="5" width="16.57421875" style="575" customWidth="1"/>
    <col min="6" max="6" width="12.7109375" style="575" customWidth="1"/>
    <col min="7" max="7" width="12.57421875" style="575" customWidth="1"/>
    <col min="8" max="8" width="13.421875" style="575" bestFit="1" customWidth="1"/>
    <col min="9" max="9" width="13.8515625" style="575" customWidth="1"/>
    <col min="10" max="10" width="11.00390625" style="575" customWidth="1"/>
    <col min="11" max="11" width="12.57421875" style="575" customWidth="1"/>
    <col min="12" max="12" width="12.421875" style="575" customWidth="1"/>
    <col min="13" max="13" width="22.7109375" style="575" customWidth="1"/>
    <col min="14" max="14" width="15.140625" style="575" customWidth="1"/>
    <col min="15" max="15" width="17.00390625" style="575" customWidth="1"/>
    <col min="16" max="16" width="12.57421875" style="575" customWidth="1"/>
    <col min="17" max="18" width="14.57421875" style="575" customWidth="1"/>
    <col min="19" max="19" width="6.421875" style="575" customWidth="1"/>
    <col min="20" max="20" width="17.00390625" style="575" bestFit="1" customWidth="1"/>
    <col min="21" max="21" width="16.140625" style="575" customWidth="1"/>
    <col min="22" max="22" width="12.8515625" style="575" customWidth="1"/>
    <col min="23" max="27" width="18.7109375" style="575" customWidth="1"/>
    <col min="28" max="28" width="10.57421875" style="575" bestFit="1" customWidth="1"/>
    <col min="29" max="29" width="33.28125" style="575" bestFit="1" customWidth="1"/>
    <col min="30" max="30" width="14.57421875" style="575" customWidth="1"/>
    <col min="31" max="31" width="14.8515625" style="575" customWidth="1"/>
    <col min="32" max="32" width="17.140625" style="575" customWidth="1"/>
    <col min="33" max="35" width="14.8515625" style="575" customWidth="1"/>
    <col min="36" max="36" width="9.140625" style="575" customWidth="1"/>
    <col min="37" max="37" width="33.28125" style="575" bestFit="1" customWidth="1"/>
    <col min="38" max="38" width="15.7109375" style="575" customWidth="1"/>
    <col min="39" max="39" width="21.7109375" style="575" customWidth="1"/>
    <col min="40" max="40" width="14.57421875" style="575" customWidth="1"/>
    <col min="41" max="41" width="14.421875" style="575" customWidth="1"/>
    <col min="42" max="42" width="9.7109375" style="575" bestFit="1" customWidth="1"/>
    <col min="43" max="43" width="17.421875" style="575" customWidth="1"/>
    <col min="44" max="44" width="13.7109375" style="575" customWidth="1"/>
    <col min="45" max="45" width="17.7109375" style="575" customWidth="1"/>
    <col min="46" max="46" width="16.28125" style="575" bestFit="1" customWidth="1"/>
    <col min="47" max="47" width="13.8515625" style="575" customWidth="1"/>
    <col min="48" max="48" width="15.7109375" style="575" bestFit="1" customWidth="1"/>
    <col min="49" max="49" width="13.421875" style="575" customWidth="1"/>
    <col min="50" max="50" width="16.57421875" style="575" customWidth="1"/>
    <col min="51" max="51" width="18.7109375" style="575" customWidth="1"/>
    <col min="52" max="52" width="15.00390625" style="575" bestFit="1" customWidth="1"/>
    <col min="53" max="53" width="17.28125" style="575" customWidth="1"/>
    <col min="54" max="54" width="20.28125" style="575" customWidth="1"/>
    <col min="55" max="55" width="13.140625" style="575" bestFit="1" customWidth="1"/>
    <col min="56" max="56" width="9.28125" style="575" bestFit="1" customWidth="1"/>
    <col min="57" max="57" width="13.421875" style="575" bestFit="1" customWidth="1"/>
    <col min="58" max="58" width="16.7109375" style="575" bestFit="1" customWidth="1"/>
    <col min="59" max="60" width="12.421875" style="575" customWidth="1"/>
    <col min="61" max="61" width="20.00390625" style="575" bestFit="1" customWidth="1"/>
    <col min="62" max="16384" width="9.140625" style="575" customWidth="1"/>
  </cols>
  <sheetData>
    <row r="1" spans="1:2" s="574" customFormat="1" ht="41.25" customHeight="1">
      <c r="A1" s="322" t="s">
        <v>324</v>
      </c>
      <c r="B1" s="573"/>
    </row>
    <row r="3" ht="12.75">
      <c r="B3" s="576"/>
    </row>
    <row r="4" ht="12.75">
      <c r="B4" s="577"/>
    </row>
    <row r="5" ht="12.75">
      <c r="B5" s="577"/>
    </row>
    <row r="6" ht="12.75">
      <c r="B6" s="577"/>
    </row>
    <row r="7" ht="12.75">
      <c r="B7" s="577"/>
    </row>
    <row r="8" ht="12.75">
      <c r="B8" s="577"/>
    </row>
    <row r="9" ht="12.75">
      <c r="B9" s="577"/>
    </row>
    <row r="10" ht="12.75">
      <c r="B10" s="577"/>
    </row>
    <row r="11" ht="12.75">
      <c r="B11" s="577"/>
    </row>
    <row r="12" ht="12.75">
      <c r="B12" s="577"/>
    </row>
    <row r="13" ht="12.75">
      <c r="B13" s="577"/>
    </row>
    <row r="14" ht="12.75">
      <c r="B14" s="577"/>
    </row>
    <row r="16" ht="13.5" thickBot="1"/>
    <row r="17" spans="3:9" ht="12.75">
      <c r="C17" s="576" t="s">
        <v>768</v>
      </c>
      <c r="G17" s="961" t="s">
        <v>614</v>
      </c>
      <c r="H17" s="962"/>
      <c r="I17" s="963"/>
    </row>
    <row r="18" spans="7:9" ht="12.75">
      <c r="G18" s="975" t="s">
        <v>615</v>
      </c>
      <c r="H18" s="976"/>
      <c r="I18" s="977"/>
    </row>
    <row r="19" spans="7:9" ht="12.75">
      <c r="G19" s="978" t="s">
        <v>632</v>
      </c>
      <c r="H19" s="979"/>
      <c r="I19" s="980"/>
    </row>
    <row r="20" spans="7:9" ht="13.5" thickBot="1">
      <c r="G20" s="981" t="s">
        <v>681</v>
      </c>
      <c r="H20" s="982"/>
      <c r="I20" s="983"/>
    </row>
    <row r="21" ht="13.5" thickBot="1"/>
    <row r="22" spans="7:9" ht="12.75">
      <c r="G22" s="987" t="s">
        <v>901</v>
      </c>
      <c r="H22" s="1023"/>
      <c r="I22" s="988"/>
    </row>
    <row r="23" spans="7:9" ht="13.5" thickBot="1">
      <c r="G23" s="811" t="s">
        <v>815</v>
      </c>
      <c r="H23" s="807"/>
      <c r="I23" s="812"/>
    </row>
    <row r="24" spans="3:9" ht="13.5" customHeight="1" thickBot="1">
      <c r="C24" s="1051" t="s">
        <v>629</v>
      </c>
      <c r="D24" s="1052"/>
      <c r="E24" s="1053"/>
      <c r="G24" s="808" t="s">
        <v>814</v>
      </c>
      <c r="H24" s="809"/>
      <c r="I24" s="810"/>
    </row>
    <row r="25" spans="3:9" ht="13.5" thickBot="1">
      <c r="C25" s="938" t="s">
        <v>460</v>
      </c>
      <c r="D25" s="1049"/>
      <c r="E25" s="1050"/>
      <c r="F25" s="578"/>
      <c r="G25" s="328"/>
      <c r="H25" s="328"/>
      <c r="I25" s="328"/>
    </row>
    <row r="26" spans="3:9" ht="15" customHeight="1" thickBot="1">
      <c r="C26" s="916" t="s">
        <v>461</v>
      </c>
      <c r="D26" s="1002"/>
      <c r="E26" s="1003"/>
      <c r="F26" s="578"/>
      <c r="G26" s="1054" t="s">
        <v>904</v>
      </c>
      <c r="H26" s="1055"/>
      <c r="I26" s="1056"/>
    </row>
    <row r="27" spans="7:9" ht="13.5" thickBot="1">
      <c r="G27" s="808" t="s">
        <v>816</v>
      </c>
      <c r="H27" s="809"/>
      <c r="I27" s="810"/>
    </row>
    <row r="28" spans="7:9" ht="12.75">
      <c r="G28" s="328"/>
      <c r="H28" s="328"/>
      <c r="I28" s="328"/>
    </row>
    <row r="29" spans="1:10" s="574" customFormat="1" ht="30" customHeight="1" hidden="1">
      <c r="A29" s="334" t="s">
        <v>907</v>
      </c>
      <c r="B29" s="334"/>
      <c r="C29" s="573"/>
      <c r="D29" s="573"/>
      <c r="E29" s="573"/>
      <c r="F29" s="573"/>
      <c r="J29" s="573"/>
    </row>
    <row r="30" ht="12.75" hidden="1"/>
    <row r="31" spans="2:9" ht="12.75" hidden="1">
      <c r="B31" s="508" t="s">
        <v>644</v>
      </c>
      <c r="E31" s="644"/>
      <c r="G31" s="644"/>
      <c r="H31" s="644"/>
      <c r="I31" s="644"/>
    </row>
    <row r="32" spans="2:9" ht="12.75" hidden="1">
      <c r="B32" s="141" t="s">
        <v>634</v>
      </c>
      <c r="E32" s="644"/>
      <c r="G32" s="644"/>
      <c r="H32" s="644"/>
      <c r="I32" s="644"/>
    </row>
    <row r="33" spans="1:29" ht="12.75" hidden="1">
      <c r="A33" s="487"/>
      <c r="B33" s="141" t="s">
        <v>906</v>
      </c>
      <c r="C33" s="762"/>
      <c r="D33" s="761"/>
      <c r="E33" s="644"/>
      <c r="G33" s="644"/>
      <c r="H33" s="644"/>
      <c r="I33" s="644"/>
      <c r="O33" s="1024" t="s">
        <v>216</v>
      </c>
      <c r="P33" s="1025"/>
      <c r="Q33" s="1025"/>
      <c r="R33" s="1025"/>
      <c r="U33" s="487"/>
      <c r="V33" s="487"/>
      <c r="W33" s="487"/>
      <c r="X33" s="487"/>
      <c r="Y33" s="487"/>
      <c r="Z33" s="487"/>
      <c r="AA33" s="487"/>
      <c r="AB33" s="487"/>
      <c r="AC33" s="487"/>
    </row>
    <row r="34" spans="1:29" ht="13.5" hidden="1" thickBot="1">
      <c r="A34" s="487"/>
      <c r="D34" s="761"/>
      <c r="E34" s="644"/>
      <c r="G34" s="644"/>
      <c r="H34" s="644"/>
      <c r="I34" s="644"/>
      <c r="O34" s="645"/>
      <c r="P34" s="646"/>
      <c r="Q34" s="646"/>
      <c r="R34" s="646"/>
      <c r="U34" s="487"/>
      <c r="V34" s="487"/>
      <c r="W34" s="487"/>
      <c r="X34" s="487"/>
      <c r="Y34" s="487"/>
      <c r="Z34" s="487"/>
      <c r="AA34" s="487"/>
      <c r="AB34" s="487"/>
      <c r="AC34" s="487"/>
    </row>
    <row r="35" spans="2:29" ht="12.75" hidden="1">
      <c r="B35" s="424" t="s">
        <v>60</v>
      </c>
      <c r="C35" s="528"/>
      <c r="D35" s="613"/>
      <c r="E35" s="644"/>
      <c r="F35" s="644"/>
      <c r="G35" s="644"/>
      <c r="H35" s="644"/>
      <c r="I35" s="644"/>
      <c r="O35" s="648" t="s">
        <v>72</v>
      </c>
      <c r="P35" s="649" t="s">
        <v>587</v>
      </c>
      <c r="Q35" s="649" t="s">
        <v>220</v>
      </c>
      <c r="R35" s="650" t="s">
        <v>583</v>
      </c>
      <c r="U35" s="487"/>
      <c r="V35" s="218"/>
      <c r="W35" s="218"/>
      <c r="X35" s="218"/>
      <c r="Y35" s="218"/>
      <c r="Z35" s="218"/>
      <c r="AA35" s="487"/>
      <c r="AB35" s="487"/>
      <c r="AC35" s="487"/>
    </row>
    <row r="36" spans="2:26" ht="12.75" hidden="1">
      <c r="B36" s="790" t="s">
        <v>627</v>
      </c>
      <c r="C36" s="932"/>
      <c r="D36" s="651"/>
      <c r="E36" s="644"/>
      <c r="F36" s="644"/>
      <c r="G36" s="644"/>
      <c r="H36" s="644"/>
      <c r="I36" s="644"/>
      <c r="O36" s="499" t="s">
        <v>219</v>
      </c>
      <c r="P36" s="654">
        <f>C36</f>
        <v>0</v>
      </c>
      <c r="Q36" s="654">
        <f>VLOOKUP(O36,Fuel_Data,2,FALSE)</f>
        <v>8810</v>
      </c>
      <c r="R36" s="655">
        <f>Q36*C36/1000</f>
        <v>0</v>
      </c>
      <c r="U36" s="487"/>
      <c r="V36" s="218"/>
      <c r="W36" s="218"/>
      <c r="X36" s="218"/>
      <c r="Y36" s="218"/>
      <c r="Z36" s="218"/>
    </row>
    <row r="37" spans="2:26" ht="12.75" hidden="1">
      <c r="B37" s="790" t="s">
        <v>628</v>
      </c>
      <c r="C37" s="932"/>
      <c r="D37" s="651"/>
      <c r="E37" s="309" t="s">
        <v>818</v>
      </c>
      <c r="F37" s="367"/>
      <c r="G37" s="367"/>
      <c r="H37" s="367"/>
      <c r="I37" s="367"/>
      <c r="J37" s="367"/>
      <c r="O37" s="425" t="s">
        <v>218</v>
      </c>
      <c r="P37" s="652">
        <f>C37</f>
        <v>0</v>
      </c>
      <c r="Q37" s="652">
        <f>VLOOKUP(O37,Fuel_Data,2,FALSE)</f>
        <v>10150</v>
      </c>
      <c r="R37" s="653">
        <f>Q37*C37/1000</f>
        <v>0</v>
      </c>
      <c r="U37" s="487"/>
      <c r="V37" s="218"/>
      <c r="W37" s="218"/>
      <c r="X37" s="218"/>
      <c r="Y37" s="218"/>
      <c r="Z37" s="218"/>
    </row>
    <row r="38" spans="2:26" ht="12.75" hidden="1">
      <c r="B38" s="790" t="s">
        <v>905</v>
      </c>
      <c r="C38" s="932"/>
      <c r="D38" s="651"/>
      <c r="E38" s="309" t="s">
        <v>817</v>
      </c>
      <c r="F38" s="367"/>
      <c r="G38" s="367"/>
      <c r="H38" s="367"/>
      <c r="I38" s="367"/>
      <c r="J38" s="367"/>
      <c r="O38" s="499" t="s">
        <v>69</v>
      </c>
      <c r="P38" s="654">
        <f>C38</f>
        <v>0</v>
      </c>
      <c r="Q38" s="654">
        <f>VLOOKUP(O38,Fuel_Data,2,FALSE)</f>
        <v>5740</v>
      </c>
      <c r="R38" s="655">
        <f>Q38*C38/1000</f>
        <v>0</v>
      </c>
      <c r="U38" s="487"/>
      <c r="V38" s="218"/>
      <c r="W38" s="218"/>
      <c r="X38" s="218"/>
      <c r="Y38" s="218"/>
      <c r="Z38" s="218"/>
    </row>
    <row r="39" spans="2:26" ht="12.75" hidden="1">
      <c r="B39" s="425" t="s">
        <v>479</v>
      </c>
      <c r="C39" s="932"/>
      <c r="D39" s="651"/>
      <c r="E39" s="644"/>
      <c r="F39" s="644"/>
      <c r="G39" s="644"/>
      <c r="H39" s="644"/>
      <c r="I39" s="644"/>
      <c r="O39" s="499" t="s">
        <v>70</v>
      </c>
      <c r="P39" s="654">
        <f>C39</f>
        <v>0</v>
      </c>
      <c r="Q39" s="654">
        <f>VLOOKUP(O39,Fuel_Data,2,FALSE)</f>
        <v>54500</v>
      </c>
      <c r="R39" s="655">
        <f>Q39*C39/1000</f>
        <v>0</v>
      </c>
      <c r="S39" s="575" t="s">
        <v>595</v>
      </c>
      <c r="U39" s="487"/>
      <c r="V39" s="218"/>
      <c r="W39" s="218"/>
      <c r="X39" s="218"/>
      <c r="Y39" s="218"/>
      <c r="Z39" s="218"/>
    </row>
    <row r="40" spans="2:34" ht="13.5" hidden="1" thickBot="1">
      <c r="B40" s="791" t="s">
        <v>903</v>
      </c>
      <c r="C40" s="946"/>
      <c r="D40" s="656"/>
      <c r="E40" s="644"/>
      <c r="F40" s="644"/>
      <c r="G40" s="644"/>
      <c r="H40" s="644"/>
      <c r="I40" s="644"/>
      <c r="O40" s="502" t="s">
        <v>217</v>
      </c>
      <c r="P40" s="657">
        <f>C40</f>
        <v>0</v>
      </c>
      <c r="Q40" s="657">
        <f>VLOOKUP(State_Selected,States_Data,4,FALSE)</f>
        <v>623.7751878374099</v>
      </c>
      <c r="R40" s="658">
        <f>Q40*C40/1000</f>
        <v>0</v>
      </c>
      <c r="U40" s="487"/>
      <c r="V40" s="218"/>
      <c r="W40" s="218"/>
      <c r="X40" s="218"/>
      <c r="Y40" s="218"/>
      <c r="Z40" s="218"/>
      <c r="AB40" s="659"/>
      <c r="AC40" s="659"/>
      <c r="AD40" s="659"/>
      <c r="AE40" s="659"/>
      <c r="AF40" s="659"/>
      <c r="AG40" s="659"/>
      <c r="AH40" s="659"/>
    </row>
    <row r="41" spans="15:34" ht="12.75" hidden="1">
      <c r="O41" s="487"/>
      <c r="Q41" s="660" t="s">
        <v>585</v>
      </c>
      <c r="R41" s="661">
        <f>SUM(R36:R40)</f>
        <v>0</v>
      </c>
      <c r="U41" s="487"/>
      <c r="V41" s="218"/>
      <c r="W41" s="218"/>
      <c r="X41" s="218"/>
      <c r="Y41" s="218"/>
      <c r="Z41" s="218"/>
      <c r="AB41" s="659"/>
      <c r="AC41" s="659"/>
      <c r="AD41" s="659"/>
      <c r="AE41" s="659"/>
      <c r="AF41" s="659"/>
      <c r="AG41" s="659"/>
      <c r="AH41" s="659"/>
    </row>
    <row r="42" spans="2:34" ht="12.75" hidden="1">
      <c r="B42" s="508" t="s">
        <v>635</v>
      </c>
      <c r="C42" s="218"/>
      <c r="D42" s="218"/>
      <c r="E42" s="218"/>
      <c r="G42" s="218"/>
      <c r="R42" s="487"/>
      <c r="V42" s="218"/>
      <c r="W42" s="218"/>
      <c r="X42" s="218"/>
      <c r="Y42" s="218"/>
      <c r="Z42" s="218"/>
      <c r="AB42" s="659"/>
      <c r="AC42" s="659"/>
      <c r="AD42" s="659"/>
      <c r="AE42" s="659"/>
      <c r="AF42" s="659"/>
      <c r="AG42" s="659"/>
      <c r="AH42" s="659"/>
    </row>
    <row r="43" spans="2:34" ht="12.75" hidden="1">
      <c r="B43" s="141" t="s">
        <v>642</v>
      </c>
      <c r="C43" s="218"/>
      <c r="D43" s="218"/>
      <c r="E43" s="218"/>
      <c r="G43" s="218"/>
      <c r="R43" s="662"/>
      <c r="S43" s="487"/>
      <c r="T43" s="660"/>
      <c r="U43" s="661"/>
      <c r="V43" s="218"/>
      <c r="W43" s="218"/>
      <c r="X43" s="218"/>
      <c r="Y43" s="218"/>
      <c r="Z43" s="218"/>
      <c r="AA43" s="663"/>
      <c r="AB43" s="659"/>
      <c r="AC43" s="659"/>
      <c r="AD43" s="659"/>
      <c r="AE43" s="659"/>
      <c r="AF43" s="659"/>
      <c r="AG43" s="659"/>
      <c r="AH43" s="659"/>
    </row>
    <row r="44" spans="2:34" ht="13.5" hidden="1" thickBot="1">
      <c r="B44" s="141"/>
      <c r="C44" s="218"/>
      <c r="D44" s="218"/>
      <c r="E44" s="218"/>
      <c r="G44" s="218"/>
      <c r="P44" s="575" t="s">
        <v>220</v>
      </c>
      <c r="R44" s="662"/>
      <c r="S44" s="487"/>
      <c r="T44" s="660"/>
      <c r="U44" s="661"/>
      <c r="V44" s="218"/>
      <c r="W44" s="218"/>
      <c r="X44" s="218"/>
      <c r="Y44" s="218"/>
      <c r="Z44" s="218"/>
      <c r="AA44" s="663"/>
      <c r="AB44" s="659"/>
      <c r="AC44" s="659"/>
      <c r="AD44" s="659"/>
      <c r="AE44" s="659"/>
      <c r="AF44" s="659"/>
      <c r="AG44" s="659"/>
      <c r="AH44" s="659"/>
    </row>
    <row r="45" spans="2:34" ht="25.5" hidden="1">
      <c r="B45" s="219" t="s">
        <v>491</v>
      </c>
      <c r="C45" s="221" t="s">
        <v>566</v>
      </c>
      <c r="D45" s="218"/>
      <c r="E45" s="218"/>
      <c r="G45" s="218"/>
      <c r="O45" s="254" t="s">
        <v>491</v>
      </c>
      <c r="P45" s="254" t="s">
        <v>584</v>
      </c>
      <c r="Q45" s="256" t="s">
        <v>566</v>
      </c>
      <c r="R45" s="487"/>
      <c r="S45" s="1031" t="s">
        <v>463</v>
      </c>
      <c r="T45" s="1033"/>
      <c r="U45" s="487"/>
      <c r="V45" s="218"/>
      <c r="W45" s="218"/>
      <c r="X45" s="218"/>
      <c r="Y45" s="218"/>
      <c r="Z45" s="218"/>
      <c r="AB45" s="659"/>
      <c r="AC45" s="659"/>
      <c r="AD45" s="659"/>
      <c r="AE45" s="659"/>
      <c r="AF45" s="659"/>
      <c r="AG45" s="659"/>
      <c r="AH45" s="659"/>
    </row>
    <row r="46" spans="2:34" s="218" customFormat="1" ht="22.5" customHeight="1" hidden="1">
      <c r="B46" s="225" t="s">
        <v>567</v>
      </c>
      <c r="C46" s="226">
        <f>SUM(C47:C51)</f>
        <v>1</v>
      </c>
      <c r="O46" s="225" t="s">
        <v>567</v>
      </c>
      <c r="P46" s="261">
        <f>SUMPRODUCT(P47:P51,Q47:Q51)</f>
        <v>8810</v>
      </c>
      <c r="Q46" s="262"/>
      <c r="S46" s="648" t="s">
        <v>72</v>
      </c>
      <c r="T46" s="650" t="s">
        <v>462</v>
      </c>
      <c r="AB46" s="170"/>
      <c r="AC46" s="170"/>
      <c r="AD46" s="344"/>
      <c r="AE46" s="344"/>
      <c r="AF46" s="344"/>
      <c r="AG46" s="344"/>
      <c r="AH46" s="170"/>
    </row>
    <row r="47" spans="2:34" s="218" customFormat="1" ht="12.75" hidden="1">
      <c r="B47" s="228" t="s">
        <v>497</v>
      </c>
      <c r="C47" s="363">
        <f>1-SUM(C48:C51)</f>
        <v>1</v>
      </c>
      <c r="O47" s="228" t="s">
        <v>497</v>
      </c>
      <c r="P47" s="362">
        <f>VLOOKUP("Gasoline (all)",Fuel_Data,2,FALSE)</f>
        <v>8810</v>
      </c>
      <c r="Q47" s="363">
        <f>IF(ISERROR(C47),0,C47)</f>
        <v>1</v>
      </c>
      <c r="S47" s="499" t="s">
        <v>97</v>
      </c>
      <c r="T47" s="664">
        <f>IF(T53="Yes",VLOOKUP("Anti-Idling",Mit_Factors,2,FALSE),0)</f>
        <v>0</v>
      </c>
      <c r="AB47" s="170"/>
      <c r="AC47" s="170"/>
      <c r="AD47" s="170"/>
      <c r="AE47" s="170"/>
      <c r="AF47" s="170"/>
      <c r="AG47" s="170"/>
      <c r="AH47" s="170"/>
    </row>
    <row r="48" spans="2:34" s="218" customFormat="1" ht="13.5" hidden="1" thickBot="1">
      <c r="B48" s="223" t="s">
        <v>636</v>
      </c>
      <c r="C48" s="665"/>
      <c r="O48" s="223" t="s">
        <v>515</v>
      </c>
      <c r="P48" s="362">
        <f>P47*(1-VLOOKUP("E10 corn",Mit_Factors,2,FALSE))</f>
        <v>8633.8</v>
      </c>
      <c r="Q48" s="363">
        <f aca="true" t="shared" si="0" ref="Q48:Q53">IF(ISERROR(C48),0,C48)</f>
        <v>0</v>
      </c>
      <c r="S48" s="502" t="s">
        <v>213</v>
      </c>
      <c r="T48" s="666">
        <f>IF(T54="Yes",VLOOKUP("Prev. Maint.",Mit_Factors,2,FALSE),0)</f>
        <v>0</v>
      </c>
      <c r="AB48" s="170"/>
      <c r="AC48" s="170"/>
      <c r="AD48" s="170"/>
      <c r="AE48" s="170"/>
      <c r="AF48" s="170"/>
      <c r="AG48" s="170"/>
      <c r="AH48" s="170"/>
    </row>
    <row r="49" spans="2:34" s="218" customFormat="1" ht="12.75" hidden="1">
      <c r="B49" s="223" t="s">
        <v>637</v>
      </c>
      <c r="C49" s="665"/>
      <c r="E49" s="309" t="s">
        <v>790</v>
      </c>
      <c r="F49" s="367"/>
      <c r="G49" s="367"/>
      <c r="H49" s="367"/>
      <c r="I49" s="367"/>
      <c r="O49" s="223" t="s">
        <v>516</v>
      </c>
      <c r="P49" s="362">
        <f>$P$47*(1-VLOOKUP("E10 cellulosic",Mit_Factors,2,FALSE))</f>
        <v>8281.4</v>
      </c>
      <c r="Q49" s="363">
        <f t="shared" si="0"/>
        <v>0</v>
      </c>
      <c r="AB49" s="170"/>
      <c r="AC49" s="170"/>
      <c r="AD49" s="170"/>
      <c r="AE49" s="170"/>
      <c r="AF49" s="170"/>
      <c r="AG49" s="170"/>
      <c r="AH49" s="170"/>
    </row>
    <row r="50" spans="2:34" s="218" customFormat="1" ht="13.5" customHeight="1" hidden="1">
      <c r="B50" s="223" t="s">
        <v>638</v>
      </c>
      <c r="C50" s="665"/>
      <c r="E50" s="309" t="s">
        <v>643</v>
      </c>
      <c r="F50" s="367"/>
      <c r="G50" s="367"/>
      <c r="H50" s="367"/>
      <c r="I50" s="367"/>
      <c r="O50" s="223" t="s">
        <v>517</v>
      </c>
      <c r="P50" s="362">
        <f>$P$47*(1-VLOOKUP("E85 Corn",Mit_Factors,2,FALSE))</f>
        <v>6078.9</v>
      </c>
      <c r="Q50" s="363">
        <f t="shared" si="0"/>
        <v>0</v>
      </c>
      <c r="AB50" s="170"/>
      <c r="AC50" s="170"/>
      <c r="AD50" s="170"/>
      <c r="AE50" s="170"/>
      <c r="AF50" s="170"/>
      <c r="AG50" s="170"/>
      <c r="AH50" s="170"/>
    </row>
    <row r="51" spans="2:34" s="218" customFormat="1" ht="13.5" hidden="1" thickBot="1">
      <c r="B51" s="223" t="s">
        <v>639</v>
      </c>
      <c r="C51" s="665"/>
      <c r="O51" s="223" t="s">
        <v>518</v>
      </c>
      <c r="P51" s="362">
        <f>$P$47*(1-VLOOKUP("E85 Cellulosic",Mit_Factors,2,FALSE))</f>
        <v>2202.5</v>
      </c>
      <c r="Q51" s="363">
        <f t="shared" si="0"/>
        <v>0</v>
      </c>
      <c r="S51" s="141" t="s">
        <v>572</v>
      </c>
      <c r="AB51" s="170"/>
      <c r="AC51" s="251"/>
      <c r="AD51" s="251"/>
      <c r="AE51" s="251"/>
      <c r="AF51" s="251"/>
      <c r="AG51" s="251"/>
      <c r="AH51" s="170"/>
    </row>
    <row r="52" spans="2:34" s="218" customFormat="1" ht="22.5" customHeight="1" hidden="1">
      <c r="B52" s="225" t="s">
        <v>568</v>
      </c>
      <c r="C52" s="226">
        <f>SUM(C53:C56)</f>
        <v>1</v>
      </c>
      <c r="O52" s="225" t="s">
        <v>568</v>
      </c>
      <c r="P52" s="264">
        <f>SUMPRODUCT(P53:P56,Q53:Q56)</f>
        <v>10150</v>
      </c>
      <c r="Q52" s="265"/>
      <c r="S52" s="424" t="s">
        <v>87</v>
      </c>
      <c r="T52" s="671" t="s">
        <v>326</v>
      </c>
      <c r="AB52" s="170"/>
      <c r="AC52" s="250"/>
      <c r="AD52" s="250"/>
      <c r="AE52" s="250"/>
      <c r="AF52" s="250"/>
      <c r="AG52" s="250"/>
      <c r="AH52" s="170"/>
    </row>
    <row r="53" spans="2:34" s="218" customFormat="1" ht="15" customHeight="1" hidden="1">
      <c r="B53" s="228" t="s">
        <v>501</v>
      </c>
      <c r="C53" s="363">
        <f>1-SUM(C54:C56)</f>
        <v>1</v>
      </c>
      <c r="O53" s="228" t="s">
        <v>501</v>
      </c>
      <c r="P53" s="500">
        <f>VLOOKUP("Diesel",Fuel_Data,2,FALSE)</f>
        <v>10150</v>
      </c>
      <c r="Q53" s="667">
        <f t="shared" si="0"/>
        <v>1</v>
      </c>
      <c r="S53" s="425" t="s">
        <v>97</v>
      </c>
      <c r="T53" s="763"/>
      <c r="AB53" s="170"/>
      <c r="AC53" s="252"/>
      <c r="AD53" s="253"/>
      <c r="AE53" s="253"/>
      <c r="AF53" s="253"/>
      <c r="AG53" s="253"/>
      <c r="AH53" s="170"/>
    </row>
    <row r="54" spans="2:34" s="218" customFormat="1" ht="13.5" hidden="1" thickBot="1">
      <c r="B54" s="223" t="s">
        <v>812</v>
      </c>
      <c r="C54" s="668"/>
      <c r="O54" s="223" t="s">
        <v>811</v>
      </c>
      <c r="P54" s="500">
        <f>$P$53*(1-VLOOKUP("B5",Mit_Factors,2,FALSE))</f>
        <v>9769.375</v>
      </c>
      <c r="Q54" s="667">
        <f>IF(ISERROR(C54),0,C54)</f>
        <v>0</v>
      </c>
      <c r="S54" s="426" t="s">
        <v>571</v>
      </c>
      <c r="T54" s="764"/>
      <c r="AB54" s="170"/>
      <c r="AC54" s="170"/>
      <c r="AD54" s="344"/>
      <c r="AE54" s="344"/>
      <c r="AF54" s="344"/>
      <c r="AG54" s="344"/>
      <c r="AH54" s="170"/>
    </row>
    <row r="55" spans="2:34" s="218" customFormat="1" ht="12.75" hidden="1">
      <c r="B55" s="223" t="s">
        <v>640</v>
      </c>
      <c r="C55" s="668"/>
      <c r="O55" s="223" t="s">
        <v>89</v>
      </c>
      <c r="P55" s="362">
        <f>$P$53*(1-VLOOKUP("B20",Mit_Factors,2,FALSE))</f>
        <v>8627.5</v>
      </c>
      <c r="Q55" s="667">
        <f>IF(ISERROR(C55),0,C55)</f>
        <v>0</v>
      </c>
      <c r="AB55" s="170"/>
      <c r="AC55" s="170"/>
      <c r="AD55" s="344"/>
      <c r="AE55" s="344"/>
      <c r="AF55" s="344"/>
      <c r="AG55" s="344"/>
      <c r="AH55" s="170"/>
    </row>
    <row r="56" spans="2:34" s="218" customFormat="1" ht="13.5" hidden="1" thickBot="1">
      <c r="B56" s="224" t="s">
        <v>641</v>
      </c>
      <c r="C56" s="669"/>
      <c r="O56" s="224" t="s">
        <v>85</v>
      </c>
      <c r="P56" s="503">
        <f>$P$53*(1-VLOOKUP("B100",Mit_Factors,2,FALSE))</f>
        <v>2131.4999999999995</v>
      </c>
      <c r="Q56" s="670">
        <f>IF(ISERROR(C56),0,C56)</f>
        <v>0</v>
      </c>
      <c r="AB56" s="170"/>
      <c r="AC56" s="170"/>
      <c r="AD56" s="344"/>
      <c r="AE56" s="344"/>
      <c r="AF56" s="344"/>
      <c r="AG56" s="344"/>
      <c r="AH56" s="170"/>
    </row>
    <row r="57" spans="15:34" s="218" customFormat="1" ht="12.75" hidden="1">
      <c r="O57" s="218" t="s">
        <v>586</v>
      </c>
      <c r="AB57" s="170"/>
      <c r="AC57" s="170"/>
      <c r="AD57" s="344"/>
      <c r="AE57" s="344"/>
      <c r="AF57" s="344"/>
      <c r="AG57" s="344"/>
      <c r="AH57" s="170"/>
    </row>
    <row r="58" spans="28:34" s="218" customFormat="1" ht="12.75" hidden="1">
      <c r="AB58" s="170"/>
      <c r="AC58" s="170"/>
      <c r="AD58" s="344"/>
      <c r="AE58" s="344"/>
      <c r="AF58" s="344"/>
      <c r="AG58" s="344"/>
      <c r="AH58" s="170"/>
    </row>
    <row r="59" spans="15:34" s="218" customFormat="1" ht="13.5" hidden="1" thickBot="1">
      <c r="O59" s="1024" t="s">
        <v>588</v>
      </c>
      <c r="P59" s="1025"/>
      <c r="Q59" s="1025"/>
      <c r="R59" s="1026"/>
      <c r="AB59" s="170"/>
      <c r="AC59" s="170"/>
      <c r="AD59" s="344"/>
      <c r="AE59" s="344"/>
      <c r="AF59" s="344"/>
      <c r="AG59" s="344"/>
      <c r="AH59" s="170"/>
    </row>
    <row r="60" spans="15:34" s="218" customFormat="1" ht="12.75" customHeight="1" hidden="1" thickBot="1">
      <c r="O60" s="648" t="s">
        <v>72</v>
      </c>
      <c r="P60" s="649" t="s">
        <v>587</v>
      </c>
      <c r="Q60" s="649" t="s">
        <v>589</v>
      </c>
      <c r="R60" s="650" t="s">
        <v>583</v>
      </c>
      <c r="T60" s="1034" t="s">
        <v>599</v>
      </c>
      <c r="U60" s="1035"/>
      <c r="AB60" s="170"/>
      <c r="AC60" s="170"/>
      <c r="AD60" s="344"/>
      <c r="AE60" s="344"/>
      <c r="AF60" s="344"/>
      <c r="AG60" s="344"/>
      <c r="AH60" s="170"/>
    </row>
    <row r="61" spans="15:34" s="218" customFormat="1" ht="12.75" customHeight="1" hidden="1">
      <c r="O61" s="499" t="s">
        <v>219</v>
      </c>
      <c r="P61" s="654">
        <f>P36</f>
        <v>0</v>
      </c>
      <c r="Q61" s="654">
        <f>P46</f>
        <v>8810</v>
      </c>
      <c r="R61" s="655">
        <f>P61*Q61*(1-$T$47)*(1-$T$48)/1000</f>
        <v>0</v>
      </c>
      <c r="T61" s="425" t="s">
        <v>95</v>
      </c>
      <c r="U61" s="673">
        <f>R41</f>
        <v>0</v>
      </c>
      <c r="AB61" s="170"/>
      <c r="AC61" s="170"/>
      <c r="AD61" s="344"/>
      <c r="AE61" s="344"/>
      <c r="AF61" s="344"/>
      <c r="AG61" s="344"/>
      <c r="AH61" s="170"/>
    </row>
    <row r="62" spans="15:34" s="218" customFormat="1" ht="12.75" customHeight="1" hidden="1" thickBot="1">
      <c r="O62" s="425" t="s">
        <v>218</v>
      </c>
      <c r="P62" s="652">
        <f>P37</f>
        <v>0</v>
      </c>
      <c r="Q62" s="652">
        <f>P52</f>
        <v>10150</v>
      </c>
      <c r="R62" s="653">
        <f>P62*Q62*(1-$T$47)*(1-$T$48)/1000</f>
        <v>0</v>
      </c>
      <c r="T62" s="426" t="s">
        <v>96</v>
      </c>
      <c r="U62" s="674">
        <f>R66</f>
        <v>0</v>
      </c>
      <c r="AB62" s="170"/>
      <c r="AC62" s="170"/>
      <c r="AD62" s="344"/>
      <c r="AE62" s="344"/>
      <c r="AF62" s="344"/>
      <c r="AG62" s="344"/>
      <c r="AH62" s="170"/>
    </row>
    <row r="63" spans="15:34" s="218" customFormat="1" ht="12.75" hidden="1">
      <c r="O63" s="499" t="s">
        <v>69</v>
      </c>
      <c r="P63" s="654">
        <f>P38</f>
        <v>0</v>
      </c>
      <c r="Q63" s="654">
        <f>VLOOKUP(O63,Fuel_Data,2,FALSE)</f>
        <v>5740</v>
      </c>
      <c r="R63" s="655">
        <f>P63*Q63*(1-$T$47)*(1-$T$48)/1000</f>
        <v>0</v>
      </c>
      <c r="AB63" s="170"/>
      <c r="AC63" s="170"/>
      <c r="AD63" s="344"/>
      <c r="AE63" s="344"/>
      <c r="AF63" s="344"/>
      <c r="AG63" s="344"/>
      <c r="AH63" s="170"/>
    </row>
    <row r="64" spans="15:34" s="218" customFormat="1" ht="12.75" customHeight="1" hidden="1">
      <c r="O64" s="499" t="s">
        <v>70</v>
      </c>
      <c r="P64" s="654">
        <f>P39</f>
        <v>0</v>
      </c>
      <c r="Q64" s="654">
        <f>VLOOKUP(O64,Fuel_Data,2,FALSE)</f>
        <v>54500</v>
      </c>
      <c r="R64" s="655">
        <f>P64*Q64*(1-$T$47)*(1-$T$48)/1000</f>
        <v>0</v>
      </c>
      <c r="AB64" s="170"/>
      <c r="AC64" s="170"/>
      <c r="AD64" s="344"/>
      <c r="AE64" s="344"/>
      <c r="AF64" s="344"/>
      <c r="AG64" s="344"/>
      <c r="AH64" s="170"/>
    </row>
    <row r="65" spans="15:34" s="218" customFormat="1" ht="12.75" customHeight="1" hidden="1" thickBot="1">
      <c r="O65" s="502" t="s">
        <v>217</v>
      </c>
      <c r="P65" s="657">
        <f>P40</f>
        <v>0</v>
      </c>
      <c r="Q65" s="657">
        <f>VLOOKUP(State_Selected,States_Data,4,FALSE)</f>
        <v>623.7751878374099</v>
      </c>
      <c r="R65" s="658">
        <f>P65*Q65*(1-$T$47)*(1-$T$48)/1000</f>
        <v>0</v>
      </c>
      <c r="AB65" s="170"/>
      <c r="AC65" s="170"/>
      <c r="AD65" s="344"/>
      <c r="AE65" s="344"/>
      <c r="AF65" s="344"/>
      <c r="AG65" s="344"/>
      <c r="AH65" s="170"/>
    </row>
    <row r="66" spans="15:34" s="218" customFormat="1" ht="12.75" customHeight="1" hidden="1">
      <c r="O66" s="487"/>
      <c r="Q66" s="660" t="s">
        <v>596</v>
      </c>
      <c r="R66" s="661">
        <f>SUM(R61:R65)</f>
        <v>0</v>
      </c>
      <c r="AB66" s="170"/>
      <c r="AC66" s="170"/>
      <c r="AD66" s="344"/>
      <c r="AE66" s="344"/>
      <c r="AF66" s="344"/>
      <c r="AG66" s="344"/>
      <c r="AH66" s="170"/>
    </row>
    <row r="67" spans="6:34" s="218" customFormat="1" ht="12.75" customHeight="1" hidden="1">
      <c r="F67" s="575"/>
      <c r="G67" s="575"/>
      <c r="AB67" s="170"/>
      <c r="AC67" s="170"/>
      <c r="AD67" s="344"/>
      <c r="AE67" s="344"/>
      <c r="AF67" s="344"/>
      <c r="AG67" s="344"/>
      <c r="AH67" s="170"/>
    </row>
    <row r="68" spans="1:12" s="574" customFormat="1" ht="30" customHeight="1" hidden="1">
      <c r="A68" s="334" t="s">
        <v>908</v>
      </c>
      <c r="B68" s="334"/>
      <c r="C68" s="573"/>
      <c r="D68" s="573"/>
      <c r="E68" s="573"/>
      <c r="F68" s="573"/>
      <c r="G68" s="573"/>
      <c r="H68" s="573"/>
      <c r="I68" s="573"/>
      <c r="J68" s="573"/>
      <c r="K68" s="774"/>
      <c r="L68" s="774"/>
    </row>
    <row r="69" spans="2:12" s="487" customFormat="1" ht="18" hidden="1">
      <c r="B69" s="336"/>
      <c r="C69" s="486"/>
      <c r="D69" s="486"/>
      <c r="E69" s="486"/>
      <c r="F69" s="486"/>
      <c r="G69" s="486"/>
      <c r="H69" s="486"/>
      <c r="I69" s="486"/>
      <c r="J69" s="486"/>
      <c r="K69" s="718"/>
      <c r="L69" s="718"/>
    </row>
    <row r="70" spans="2:12" s="487" customFormat="1" ht="12.75" hidden="1">
      <c r="B70" s="508" t="s">
        <v>644</v>
      </c>
      <c r="C70" s="486"/>
      <c r="D70" s="486"/>
      <c r="E70" s="486"/>
      <c r="F70" s="486"/>
      <c r="G70" s="508" t="s">
        <v>772</v>
      </c>
      <c r="H70" s="486"/>
      <c r="I70" s="486"/>
      <c r="J70" s="486"/>
      <c r="K70" s="718"/>
      <c r="L70" s="718"/>
    </row>
    <row r="71" spans="2:12" s="487" customFormat="1" ht="12.75" hidden="1">
      <c r="B71" s="141" t="s">
        <v>769</v>
      </c>
      <c r="C71" s="486"/>
      <c r="D71" s="486"/>
      <c r="E71" s="486"/>
      <c r="F71" s="486"/>
      <c r="G71" s="478" t="s">
        <v>773</v>
      </c>
      <c r="H71" s="486"/>
      <c r="I71" s="486"/>
      <c r="J71" s="486"/>
      <c r="K71" s="718"/>
      <c r="L71" s="718"/>
    </row>
    <row r="72" spans="2:23" ht="13.5" customHeight="1" hidden="1" thickBot="1">
      <c r="B72" s="141" t="s">
        <v>770</v>
      </c>
      <c r="G72" s="773"/>
      <c r="T72" s="575" t="s">
        <v>590</v>
      </c>
      <c r="W72" s="575" t="s">
        <v>591</v>
      </c>
    </row>
    <row r="73" spans="20:53" ht="13.5" customHeight="1" hidden="1" thickBot="1">
      <c r="T73" s="1027" t="s">
        <v>230</v>
      </c>
      <c r="U73" s="1028"/>
      <c r="V73" s="487"/>
      <c r="W73" s="1031" t="s">
        <v>233</v>
      </c>
      <c r="X73" s="1032"/>
      <c r="Y73" s="1032"/>
      <c r="Z73" s="1032"/>
      <c r="AA73" s="1033"/>
      <c r="AB73" s="487"/>
      <c r="AC73" s="1031" t="s">
        <v>68</v>
      </c>
      <c r="AD73" s="1032"/>
      <c r="AE73" s="1032"/>
      <c r="AF73" s="1032"/>
      <c r="AG73" s="1032"/>
      <c r="AH73" s="1032"/>
      <c r="AI73" s="1032"/>
      <c r="AJ73" s="1032"/>
      <c r="AK73" s="1032"/>
      <c r="AL73" s="1033"/>
      <c r="AM73" s="487"/>
      <c r="AN73" s="1031" t="s">
        <v>245</v>
      </c>
      <c r="AO73" s="1033" t="s">
        <v>224</v>
      </c>
      <c r="AP73" s="487"/>
      <c r="AQ73" s="1040" t="s">
        <v>210</v>
      </c>
      <c r="AR73" s="1041"/>
      <c r="AS73" s="1041"/>
      <c r="AT73" s="1041"/>
      <c r="AU73" s="1041"/>
      <c r="AV73" s="1041"/>
      <c r="AW73" s="1041"/>
      <c r="AX73" s="1041"/>
      <c r="AY73" s="1041"/>
      <c r="AZ73" s="1041"/>
      <c r="BA73" s="1042"/>
    </row>
    <row r="74" spans="2:57" ht="13.5" customHeight="1" hidden="1" thickBot="1">
      <c r="B74" s="777"/>
      <c r="C74" s="778"/>
      <c r="D74" s="1036" t="s">
        <v>771</v>
      </c>
      <c r="E74" s="765"/>
      <c r="G74" s="987" t="s">
        <v>325</v>
      </c>
      <c r="H74" s="1023"/>
      <c r="I74" s="988"/>
      <c r="T74" s="1029"/>
      <c r="U74" s="1030"/>
      <c r="V74" s="487"/>
      <c r="W74" s="676"/>
      <c r="X74" s="677"/>
      <c r="Y74" s="677"/>
      <c r="Z74" s="677"/>
      <c r="AA74" s="678"/>
      <c r="AB74" s="487"/>
      <c r="AC74" s="1024"/>
      <c r="AD74" s="1025"/>
      <c r="AE74" s="1025"/>
      <c r="AF74" s="1025"/>
      <c r="AG74" s="1025"/>
      <c r="AH74" s="1025"/>
      <c r="AI74" s="1025"/>
      <c r="AJ74" s="1025"/>
      <c r="AK74" s="1025"/>
      <c r="AL74" s="1026"/>
      <c r="AM74" s="487"/>
      <c r="AN74" s="1024" t="s">
        <v>61</v>
      </c>
      <c r="AO74" s="1026" t="s">
        <v>225</v>
      </c>
      <c r="AP74" s="487"/>
      <c r="AQ74" s="1043"/>
      <c r="AR74" s="1044"/>
      <c r="AS74" s="1044">
        <f>COLUMN(AS75)</f>
        <v>45</v>
      </c>
      <c r="AT74" s="1044"/>
      <c r="AU74" s="1044"/>
      <c r="AV74" s="1044"/>
      <c r="AW74" s="1044"/>
      <c r="AX74" s="1044"/>
      <c r="AY74" s="1044"/>
      <c r="AZ74" s="1044"/>
      <c r="BA74" s="1045"/>
      <c r="BC74" s="679"/>
      <c r="BD74" s="679"/>
      <c r="BE74" s="679"/>
    </row>
    <row r="75" spans="2:57" ht="13.5" customHeight="1" hidden="1">
      <c r="B75" s="680" t="s">
        <v>17</v>
      </c>
      <c r="C75" s="681" t="s">
        <v>570</v>
      </c>
      <c r="D75" s="1037"/>
      <c r="E75" s="766" t="s">
        <v>597</v>
      </c>
      <c r="G75" s="769" t="s">
        <v>94</v>
      </c>
      <c r="H75" s="682" t="s">
        <v>97</v>
      </c>
      <c r="I75" s="647" t="s">
        <v>213</v>
      </c>
      <c r="T75" s="683" t="s">
        <v>481</v>
      </c>
      <c r="U75" s="684" t="s">
        <v>482</v>
      </c>
      <c r="V75" s="487"/>
      <c r="W75" s="685" t="s">
        <v>94</v>
      </c>
      <c r="X75" s="686" t="s">
        <v>97</v>
      </c>
      <c r="Y75" s="686" t="s">
        <v>213</v>
      </c>
      <c r="Z75" s="686" t="s">
        <v>234</v>
      </c>
      <c r="AA75" s="687" t="s">
        <v>484</v>
      </c>
      <c r="AB75" s="487"/>
      <c r="AC75" s="688" t="s">
        <v>17</v>
      </c>
      <c r="AD75" s="1046" t="s">
        <v>241</v>
      </c>
      <c r="AE75" s="1046"/>
      <c r="AF75" s="1046"/>
      <c r="AG75" s="1046"/>
      <c r="AH75" s="1046"/>
      <c r="AI75" s="1046"/>
      <c r="AJ75" s="1046"/>
      <c r="AK75" s="1046"/>
      <c r="AL75" s="689" t="s">
        <v>215</v>
      </c>
      <c r="AM75" s="487"/>
      <c r="AN75" s="688" t="s">
        <v>74</v>
      </c>
      <c r="AO75" s="689" t="s">
        <v>225</v>
      </c>
      <c r="AP75" s="487"/>
      <c r="AQ75" s="690" t="s">
        <v>72</v>
      </c>
      <c r="AR75" s="691" t="s">
        <v>73</v>
      </c>
      <c r="AS75" s="1047" t="s">
        <v>242</v>
      </c>
      <c r="AT75" s="1048"/>
      <c r="AU75" s="1048"/>
      <c r="AV75" s="1048"/>
      <c r="AW75" s="1048"/>
      <c r="AX75" s="692" t="s">
        <v>243</v>
      </c>
      <c r="AY75" s="1048" t="s">
        <v>228</v>
      </c>
      <c r="AZ75" s="1048"/>
      <c r="BA75" s="693" t="s">
        <v>244</v>
      </c>
      <c r="BC75" s="679"/>
      <c r="BD75" s="679"/>
      <c r="BE75" s="679"/>
    </row>
    <row r="76" spans="2:57" ht="13.5" customHeight="1" hidden="1">
      <c r="B76" s="694" t="s">
        <v>19</v>
      </c>
      <c r="C76" s="759" t="str">
        <f aca="true" t="shared" si="1" ref="C76:C111">VLOOKUP(B76,Popular_Engines,2,FALSE)</f>
        <v>Diesel</v>
      </c>
      <c r="D76" s="947"/>
      <c r="E76" s="767" t="str">
        <f>IF(C76="","",VLOOKUP(C76,$AN$76:$AO$83,2,FALSE))</f>
        <v>Gallon</v>
      </c>
      <c r="G76" s="770"/>
      <c r="H76" s="695"/>
      <c r="I76" s="672"/>
      <c r="T76" s="696">
        <f aca="true" t="shared" si="2" ref="T76:T111">IF(C76="",0,VLOOKUP(C76,Fuel_Data,2,FALSE)/1000)</f>
        <v>10.15</v>
      </c>
      <c r="U76" s="697">
        <f aca="true" t="shared" si="3" ref="U76:U111">T76*D76</f>
        <v>0</v>
      </c>
      <c r="V76" s="487"/>
      <c r="W76" s="698">
        <f aca="true" t="shared" si="4" ref="W76:W111">IF(G76="",0,VLOOKUP(G76,Mit_Factors,2,FALSE))</f>
        <v>0</v>
      </c>
      <c r="X76" s="699">
        <f aca="true" t="shared" si="5" ref="X76:X111">IF(H76="Yes",VLOOKUP(X$75,Mit_Factors,2,FALSE),0)</f>
        <v>0</v>
      </c>
      <c r="Y76" s="699">
        <f aca="true" t="shared" si="6" ref="Y76:Y111">IF(I76="Yes",VLOOKUP(Y$75,Mit_Factors,2,FALSE),0)</f>
        <v>0</v>
      </c>
      <c r="Z76" s="699">
        <f>1-(1-W76)*(1-X76)*(1-Y76)</f>
        <v>0</v>
      </c>
      <c r="AA76" s="697">
        <f aca="true" t="shared" si="7" ref="AA76:AA111">U76*(1-Z76)</f>
        <v>0</v>
      </c>
      <c r="AB76" s="487"/>
      <c r="AC76" s="698" t="s">
        <v>19</v>
      </c>
      <c r="AD76" s="699" t="s">
        <v>61</v>
      </c>
      <c r="AE76" s="699" t="s">
        <v>75</v>
      </c>
      <c r="AF76" s="699" t="s">
        <v>69</v>
      </c>
      <c r="AH76" s="699"/>
      <c r="AI76" s="699" t="s">
        <v>214</v>
      </c>
      <c r="AJ76" s="699"/>
      <c r="AK76" s="699"/>
      <c r="AL76" s="700" t="str">
        <f aca="true" t="shared" si="8" ref="AL76:AL111">ADDRESS(ROW($A76:$IV76),21)&amp;":"&amp;ADDRESS(ROW($A76:$IV76),29)</f>
        <v>$U$76:$AC$76</v>
      </c>
      <c r="AM76" s="785" t="s">
        <v>781</v>
      </c>
      <c r="AN76" s="701" t="s">
        <v>61</v>
      </c>
      <c r="AO76" s="702" t="s">
        <v>225</v>
      </c>
      <c r="AP76" s="487"/>
      <c r="AQ76" s="703" t="s">
        <v>61</v>
      </c>
      <c r="AR76" s="704" t="s">
        <v>80</v>
      </c>
      <c r="AS76" s="705" t="s">
        <v>55</v>
      </c>
      <c r="AT76" s="792" t="s">
        <v>811</v>
      </c>
      <c r="AU76" s="704" t="s">
        <v>89</v>
      </c>
      <c r="AV76" s="704" t="s">
        <v>85</v>
      </c>
      <c r="AW76" s="704"/>
      <c r="AX76" s="706" t="str">
        <f>ADDRESS(ROW(AS76),COLUMN(AS76))&amp;":"&amp;ADDRESS(ROW(AW76),COLUMN(AW76))</f>
        <v>$AS$76:$AW$76</v>
      </c>
      <c r="AY76" s="584" t="s">
        <v>98</v>
      </c>
      <c r="AZ76" s="584" t="s">
        <v>99</v>
      </c>
      <c r="BA76" s="707" t="str">
        <f>ADDRESS(ROW(AY76),COLUMN(AY76))&amp;":"&amp;ADDRESS(ROW(AZ76),COLUMN(AZ76))</f>
        <v>$AY$76:$AZ$76</v>
      </c>
      <c r="BC76" s="679"/>
      <c r="BD76" s="679"/>
      <c r="BE76" s="679"/>
    </row>
    <row r="77" spans="2:57" ht="13.5" customHeight="1" hidden="1">
      <c r="B77" s="694" t="s">
        <v>20</v>
      </c>
      <c r="C77" s="759" t="str">
        <f t="shared" si="1"/>
        <v>Gas 4-Stroke</v>
      </c>
      <c r="D77" s="947"/>
      <c r="E77" s="767" t="str">
        <f aca="true" t="shared" si="9" ref="E77:E111">IF(C77="","",VLOOKUP(C77,$AN$76:$AO$83,2,FALSE))</f>
        <v>Gallon</v>
      </c>
      <c r="G77" s="771"/>
      <c r="H77" s="695"/>
      <c r="I77" s="708"/>
      <c r="T77" s="696">
        <f t="shared" si="2"/>
        <v>8.81</v>
      </c>
      <c r="U77" s="697">
        <f t="shared" si="3"/>
        <v>0</v>
      </c>
      <c r="V77" s="487"/>
      <c r="W77" s="698">
        <f t="shared" si="4"/>
        <v>0</v>
      </c>
      <c r="X77" s="699">
        <f t="shared" si="5"/>
        <v>0</v>
      </c>
      <c r="Y77" s="699">
        <f t="shared" si="6"/>
        <v>0</v>
      </c>
      <c r="Z77" s="699">
        <f aca="true" t="shared" si="10" ref="Z77:Z111">1-(1-W77)*(1-X77)*(1-Y77)</f>
        <v>0</v>
      </c>
      <c r="AA77" s="697">
        <f t="shared" si="7"/>
        <v>0</v>
      </c>
      <c r="AB77" s="487"/>
      <c r="AC77" s="698" t="s">
        <v>20</v>
      </c>
      <c r="AD77" s="699" t="s">
        <v>61</v>
      </c>
      <c r="AE77" s="699" t="s">
        <v>74</v>
      </c>
      <c r="AF77" s="699" t="s">
        <v>75</v>
      </c>
      <c r="AG77" s="699" t="s">
        <v>69</v>
      </c>
      <c r="AH77" s="699" t="s">
        <v>70</v>
      </c>
      <c r="AI77" s="699" t="s">
        <v>819</v>
      </c>
      <c r="AK77" s="699"/>
      <c r="AL77" s="700" t="str">
        <f t="shared" si="8"/>
        <v>$U$77:$AC$77</v>
      </c>
      <c r="AM77" s="785" t="s">
        <v>781</v>
      </c>
      <c r="AN77" s="701" t="s">
        <v>74</v>
      </c>
      <c r="AO77" s="702" t="s">
        <v>225</v>
      </c>
      <c r="AP77" s="487"/>
      <c r="AQ77" s="703" t="s">
        <v>76</v>
      </c>
      <c r="AR77" s="704" t="s">
        <v>79</v>
      </c>
      <c r="AS77" s="705" t="s">
        <v>55</v>
      </c>
      <c r="AT77" s="704" t="s">
        <v>90</v>
      </c>
      <c r="AU77" s="704" t="s">
        <v>91</v>
      </c>
      <c r="AV77" s="704" t="s">
        <v>92</v>
      </c>
      <c r="AW77" s="704" t="s">
        <v>93</v>
      </c>
      <c r="AX77" s="706" t="str">
        <f aca="true" t="shared" si="11" ref="AX77:AX83">ADDRESS(ROW(AS77),COLUMN(AS77))&amp;":"&amp;ADDRESS(ROW(AW77),COLUMN(AW77))</f>
        <v>$AS$77:$AW$77</v>
      </c>
      <c r="AY77" s="584" t="s">
        <v>98</v>
      </c>
      <c r="AZ77" s="584" t="s">
        <v>99</v>
      </c>
      <c r="BA77" s="707" t="str">
        <f aca="true" t="shared" si="12" ref="BA77:BA83">ADDRESS(ROW(AY77),COLUMN(AY77))&amp;":"&amp;ADDRESS(ROW(AZ77),COLUMN(AZ77))</f>
        <v>$AY$77:$AZ$77</v>
      </c>
      <c r="BC77" s="679"/>
      <c r="BD77" s="679"/>
      <c r="BE77" s="679"/>
    </row>
    <row r="78" spans="2:57" ht="13.5" customHeight="1" hidden="1">
      <c r="B78" s="694" t="s">
        <v>21</v>
      </c>
      <c r="C78" s="759" t="str">
        <f t="shared" si="1"/>
        <v>Gas 4-Stroke</v>
      </c>
      <c r="D78" s="947"/>
      <c r="E78" s="767" t="str">
        <f t="shared" si="9"/>
        <v>Gallon</v>
      </c>
      <c r="G78" s="771"/>
      <c r="H78" s="695"/>
      <c r="I78" s="708"/>
      <c r="T78" s="696">
        <f t="shared" si="2"/>
        <v>8.81</v>
      </c>
      <c r="U78" s="697">
        <f t="shared" si="3"/>
        <v>0</v>
      </c>
      <c r="V78" s="487"/>
      <c r="W78" s="698">
        <f t="shared" si="4"/>
        <v>0</v>
      </c>
      <c r="X78" s="699">
        <f t="shared" si="5"/>
        <v>0</v>
      </c>
      <c r="Y78" s="699">
        <f t="shared" si="6"/>
        <v>0</v>
      </c>
      <c r="Z78" s="699">
        <f t="shared" si="10"/>
        <v>0</v>
      </c>
      <c r="AA78" s="697">
        <f t="shared" si="7"/>
        <v>0</v>
      </c>
      <c r="AB78" s="487"/>
      <c r="AC78" s="698" t="s">
        <v>21</v>
      </c>
      <c r="AD78" s="699" t="s">
        <v>61</v>
      </c>
      <c r="AE78" s="699" t="s">
        <v>75</v>
      </c>
      <c r="AF78" s="699" t="s">
        <v>69</v>
      </c>
      <c r="AG78" s="699" t="s">
        <v>83</v>
      </c>
      <c r="AI78" s="699" t="s">
        <v>214</v>
      </c>
      <c r="AJ78" s="699"/>
      <c r="AK78" s="699"/>
      <c r="AL78" s="700" t="str">
        <f t="shared" si="8"/>
        <v>$U$78:$AC$78</v>
      </c>
      <c r="AM78" s="785" t="s">
        <v>781</v>
      </c>
      <c r="AN78" s="701" t="s">
        <v>75</v>
      </c>
      <c r="AO78" s="702" t="s">
        <v>225</v>
      </c>
      <c r="AP78" s="487"/>
      <c r="AQ78" s="703" t="s">
        <v>74</v>
      </c>
      <c r="AR78" s="704" t="s">
        <v>77</v>
      </c>
      <c r="AS78" s="705" t="s">
        <v>55</v>
      </c>
      <c r="AT78" s="704" t="s">
        <v>90</v>
      </c>
      <c r="AU78" s="704" t="s">
        <v>91</v>
      </c>
      <c r="AV78" s="704" t="s">
        <v>92</v>
      </c>
      <c r="AW78" s="704" t="s">
        <v>93</v>
      </c>
      <c r="AX78" s="706" t="str">
        <f t="shared" si="11"/>
        <v>$AS$78:$AW$78</v>
      </c>
      <c r="AY78" s="584" t="s">
        <v>98</v>
      </c>
      <c r="AZ78" s="584" t="s">
        <v>99</v>
      </c>
      <c r="BA78" s="707" t="str">
        <f t="shared" si="12"/>
        <v>$AY$78:$AZ$78</v>
      </c>
      <c r="BC78" s="679"/>
      <c r="BD78" s="679"/>
      <c r="BE78" s="679"/>
    </row>
    <row r="79" spans="2:57" ht="13.5" customHeight="1" hidden="1">
      <c r="B79" s="694" t="s">
        <v>22</v>
      </c>
      <c r="C79" s="759" t="str">
        <f t="shared" si="1"/>
        <v>Gas 4-Stroke</v>
      </c>
      <c r="D79" s="947"/>
      <c r="E79" s="767" t="str">
        <f t="shared" si="9"/>
        <v>Gallon</v>
      </c>
      <c r="G79" s="771"/>
      <c r="H79" s="695"/>
      <c r="I79" s="708"/>
      <c r="T79" s="696">
        <f t="shared" si="2"/>
        <v>8.81</v>
      </c>
      <c r="U79" s="697">
        <f t="shared" si="3"/>
        <v>0</v>
      </c>
      <c r="V79" s="487"/>
      <c r="W79" s="698">
        <f t="shared" si="4"/>
        <v>0</v>
      </c>
      <c r="X79" s="699">
        <f t="shared" si="5"/>
        <v>0</v>
      </c>
      <c r="Y79" s="699">
        <f t="shared" si="6"/>
        <v>0</v>
      </c>
      <c r="Z79" s="699">
        <f t="shared" si="10"/>
        <v>0</v>
      </c>
      <c r="AA79" s="697">
        <f t="shared" si="7"/>
        <v>0</v>
      </c>
      <c r="AB79" s="487"/>
      <c r="AC79" s="698" t="s">
        <v>22</v>
      </c>
      <c r="AD79" s="699" t="s">
        <v>61</v>
      </c>
      <c r="AE79" s="699" t="s">
        <v>75</v>
      </c>
      <c r="AF79" s="699" t="s">
        <v>819</v>
      </c>
      <c r="AH79" s="699" t="s">
        <v>214</v>
      </c>
      <c r="AI79" s="699" t="s">
        <v>214</v>
      </c>
      <c r="AJ79" s="699"/>
      <c r="AK79" s="699"/>
      <c r="AL79" s="700" t="str">
        <f t="shared" si="8"/>
        <v>$U$79:$AC$79</v>
      </c>
      <c r="AM79" s="785" t="s">
        <v>781</v>
      </c>
      <c r="AN79" s="701" t="s">
        <v>76</v>
      </c>
      <c r="AO79" s="702" t="s">
        <v>225</v>
      </c>
      <c r="AP79" s="487"/>
      <c r="AQ79" s="703" t="s">
        <v>75</v>
      </c>
      <c r="AR79" s="704" t="s">
        <v>78</v>
      </c>
      <c r="AS79" s="705" t="s">
        <v>55</v>
      </c>
      <c r="AT79" s="704" t="s">
        <v>90</v>
      </c>
      <c r="AU79" s="704" t="s">
        <v>91</v>
      </c>
      <c r="AV79" s="704" t="s">
        <v>92</v>
      </c>
      <c r="AW79" s="704" t="s">
        <v>93</v>
      </c>
      <c r="AX79" s="706" t="str">
        <f t="shared" si="11"/>
        <v>$AS$79:$AW$79</v>
      </c>
      <c r="AY79" s="584" t="s">
        <v>98</v>
      </c>
      <c r="AZ79" s="584" t="s">
        <v>99</v>
      </c>
      <c r="BA79" s="707" t="str">
        <f t="shared" si="12"/>
        <v>$AY$79:$AZ$79</v>
      </c>
      <c r="BC79" s="679"/>
      <c r="BD79" s="679"/>
      <c r="BE79" s="679"/>
    </row>
    <row r="80" spans="1:57" ht="13.5" customHeight="1" hidden="1">
      <c r="A80" s="487"/>
      <c r="B80" s="694" t="s">
        <v>23</v>
      </c>
      <c r="C80" s="759" t="str">
        <f t="shared" si="1"/>
        <v>Gas 2-Stroke</v>
      </c>
      <c r="D80" s="947"/>
      <c r="E80" s="767" t="str">
        <f t="shared" si="9"/>
        <v>Gallon</v>
      </c>
      <c r="G80" s="771"/>
      <c r="H80" s="695"/>
      <c r="I80" s="708"/>
      <c r="M80" s="487"/>
      <c r="O80" s="660"/>
      <c r="P80" s="661"/>
      <c r="T80" s="696">
        <f t="shared" si="2"/>
        <v>8.81</v>
      </c>
      <c r="U80" s="697">
        <f t="shared" si="3"/>
        <v>0</v>
      </c>
      <c r="V80" s="487"/>
      <c r="W80" s="698">
        <f t="shared" si="4"/>
        <v>0</v>
      </c>
      <c r="X80" s="699">
        <f t="shared" si="5"/>
        <v>0</v>
      </c>
      <c r="Y80" s="699">
        <f t="shared" si="6"/>
        <v>0</v>
      </c>
      <c r="Z80" s="699">
        <f t="shared" si="10"/>
        <v>0</v>
      </c>
      <c r="AA80" s="697">
        <f t="shared" si="7"/>
        <v>0</v>
      </c>
      <c r="AB80" s="487"/>
      <c r="AC80" s="698" t="s">
        <v>23</v>
      </c>
      <c r="AD80" s="699" t="s">
        <v>61</v>
      </c>
      <c r="AE80" s="699" t="s">
        <v>74</v>
      </c>
      <c r="AF80" s="699" t="s">
        <v>75</v>
      </c>
      <c r="AG80" s="699" t="s">
        <v>69</v>
      </c>
      <c r="AH80" s="699" t="s">
        <v>819</v>
      </c>
      <c r="AJ80" s="699"/>
      <c r="AK80" s="699"/>
      <c r="AL80" s="700" t="str">
        <f t="shared" si="8"/>
        <v>$U$80:$AC$80</v>
      </c>
      <c r="AM80" s="785" t="s">
        <v>781</v>
      </c>
      <c r="AN80" s="701" t="s">
        <v>69</v>
      </c>
      <c r="AO80" s="702" t="s">
        <v>225</v>
      </c>
      <c r="AP80" s="487"/>
      <c r="AQ80" s="703" t="s">
        <v>69</v>
      </c>
      <c r="AR80" s="704" t="s">
        <v>81</v>
      </c>
      <c r="AS80" s="705" t="s">
        <v>55</v>
      </c>
      <c r="AT80" s="704"/>
      <c r="AU80" s="704"/>
      <c r="AV80" s="704"/>
      <c r="AW80" s="704"/>
      <c r="AX80" s="706" t="str">
        <f t="shared" si="11"/>
        <v>$AS$80:$AW$80</v>
      </c>
      <c r="AY80" s="584" t="s">
        <v>98</v>
      </c>
      <c r="AZ80" s="584" t="s">
        <v>99</v>
      </c>
      <c r="BA80" s="707" t="str">
        <f t="shared" si="12"/>
        <v>$AY$80:$AZ$80</v>
      </c>
      <c r="BC80" s="679"/>
      <c r="BD80" s="679"/>
      <c r="BE80" s="679"/>
    </row>
    <row r="81" spans="2:57" ht="13.5" customHeight="1" hidden="1">
      <c r="B81" s="694" t="s">
        <v>24</v>
      </c>
      <c r="C81" s="759" t="str">
        <f t="shared" si="1"/>
        <v>Diesel</v>
      </c>
      <c r="D81" s="947"/>
      <c r="E81" s="767" t="str">
        <f t="shared" si="9"/>
        <v>Gallon</v>
      </c>
      <c r="G81" s="771"/>
      <c r="H81" s="695"/>
      <c r="I81" s="708"/>
      <c r="T81" s="696">
        <f t="shared" si="2"/>
        <v>10.15</v>
      </c>
      <c r="U81" s="697">
        <f t="shared" si="3"/>
        <v>0</v>
      </c>
      <c r="V81" s="487"/>
      <c r="W81" s="698">
        <f t="shared" si="4"/>
        <v>0</v>
      </c>
      <c r="X81" s="699">
        <f t="shared" si="5"/>
        <v>0</v>
      </c>
      <c r="Y81" s="699">
        <f t="shared" si="6"/>
        <v>0</v>
      </c>
      <c r="Z81" s="699">
        <f t="shared" si="10"/>
        <v>0</v>
      </c>
      <c r="AA81" s="697">
        <f t="shared" si="7"/>
        <v>0</v>
      </c>
      <c r="AB81" s="487"/>
      <c r="AC81" s="698" t="s">
        <v>24</v>
      </c>
      <c r="AD81" s="699" t="s">
        <v>61</v>
      </c>
      <c r="AE81" s="699" t="s">
        <v>75</v>
      </c>
      <c r="AF81" s="699" t="s">
        <v>69</v>
      </c>
      <c r="AG81" s="699" t="s">
        <v>83</v>
      </c>
      <c r="AI81" s="699" t="s">
        <v>214</v>
      </c>
      <c r="AJ81" s="699"/>
      <c r="AK81" s="699"/>
      <c r="AL81" s="700" t="str">
        <f t="shared" si="8"/>
        <v>$U$81:$AC$81</v>
      </c>
      <c r="AM81" s="785" t="s">
        <v>781</v>
      </c>
      <c r="AN81" s="701" t="s">
        <v>70</v>
      </c>
      <c r="AO81" s="702" t="s">
        <v>480</v>
      </c>
      <c r="AP81" s="487"/>
      <c r="AQ81" s="703" t="s">
        <v>70</v>
      </c>
      <c r="AR81" s="704" t="s">
        <v>82</v>
      </c>
      <c r="AS81" s="705" t="s">
        <v>55</v>
      </c>
      <c r="AT81" s="704"/>
      <c r="AU81" s="704"/>
      <c r="AV81" s="704"/>
      <c r="AW81" s="704"/>
      <c r="AX81" s="706" t="str">
        <f t="shared" si="11"/>
        <v>$AS$81:$AW$81</v>
      </c>
      <c r="AY81" s="584" t="s">
        <v>98</v>
      </c>
      <c r="AZ81" s="584" t="s">
        <v>99</v>
      </c>
      <c r="BA81" s="707" t="str">
        <f t="shared" si="12"/>
        <v>$AY$81:$AZ$81</v>
      </c>
      <c r="BC81" s="679"/>
      <c r="BD81" s="679"/>
      <c r="BE81" s="679"/>
    </row>
    <row r="82" spans="2:57" ht="13.5" customHeight="1" hidden="1">
      <c r="B82" s="694" t="s">
        <v>25</v>
      </c>
      <c r="C82" s="759" t="str">
        <f t="shared" si="1"/>
        <v>Diesel</v>
      </c>
      <c r="D82" s="947"/>
      <c r="E82" s="767" t="str">
        <f t="shared" si="9"/>
        <v>Gallon</v>
      </c>
      <c r="G82" s="771"/>
      <c r="H82" s="695"/>
      <c r="I82" s="708"/>
      <c r="T82" s="696">
        <f t="shared" si="2"/>
        <v>10.15</v>
      </c>
      <c r="U82" s="697">
        <f t="shared" si="3"/>
        <v>0</v>
      </c>
      <c r="V82" s="487"/>
      <c r="W82" s="698">
        <f t="shared" si="4"/>
        <v>0</v>
      </c>
      <c r="X82" s="699">
        <f t="shared" si="5"/>
        <v>0</v>
      </c>
      <c r="Y82" s="699">
        <f t="shared" si="6"/>
        <v>0</v>
      </c>
      <c r="Z82" s="699">
        <f t="shared" si="10"/>
        <v>0</v>
      </c>
      <c r="AA82" s="697">
        <f t="shared" si="7"/>
        <v>0</v>
      </c>
      <c r="AB82" s="487"/>
      <c r="AC82" s="698" t="s">
        <v>25</v>
      </c>
      <c r="AD82" s="699" t="s">
        <v>61</v>
      </c>
      <c r="AE82" s="699" t="s">
        <v>83</v>
      </c>
      <c r="AF82" s="699" t="s">
        <v>214</v>
      </c>
      <c r="AG82" s="699" t="s">
        <v>214</v>
      </c>
      <c r="AH82" s="699" t="s">
        <v>214</v>
      </c>
      <c r="AI82" s="699" t="s">
        <v>214</v>
      </c>
      <c r="AJ82" s="699"/>
      <c r="AK82" s="699"/>
      <c r="AL82" s="700" t="str">
        <f t="shared" si="8"/>
        <v>$U$82:$AC$82</v>
      </c>
      <c r="AM82" s="487"/>
      <c r="AN82" s="813" t="s">
        <v>819</v>
      </c>
      <c r="AO82" s="709" t="s">
        <v>226</v>
      </c>
      <c r="AP82" s="487"/>
      <c r="AQ82" s="814" t="s">
        <v>819</v>
      </c>
      <c r="AR82" s="704" t="s">
        <v>209</v>
      </c>
      <c r="AS82" s="705" t="s">
        <v>55</v>
      </c>
      <c r="AT82" s="704"/>
      <c r="AU82" s="704"/>
      <c r="AV82" s="704"/>
      <c r="AW82" s="704"/>
      <c r="AX82" s="706" t="str">
        <f t="shared" si="11"/>
        <v>$AS$82:$AW$82</v>
      </c>
      <c r="AY82" s="584" t="s">
        <v>227</v>
      </c>
      <c r="AZ82" s="584"/>
      <c r="BA82" s="707" t="str">
        <f t="shared" si="12"/>
        <v>$AY$82:$AZ$82</v>
      </c>
      <c r="BC82" s="679"/>
      <c r="BD82" s="679"/>
      <c r="BE82" s="679"/>
    </row>
    <row r="83" spans="2:57" s="487" customFormat="1" ht="13.5" hidden="1" thickBot="1">
      <c r="B83" s="694" t="s">
        <v>26</v>
      </c>
      <c r="C83" s="759" t="str">
        <f t="shared" si="1"/>
        <v>Gas 4-Stroke</v>
      </c>
      <c r="D83" s="947"/>
      <c r="E83" s="767" t="str">
        <f t="shared" si="9"/>
        <v>Gallon</v>
      </c>
      <c r="G83" s="771"/>
      <c r="H83" s="695"/>
      <c r="I83" s="708"/>
      <c r="J83" s="575"/>
      <c r="K83" s="575"/>
      <c r="L83" s="575"/>
      <c r="T83" s="696">
        <f t="shared" si="2"/>
        <v>8.81</v>
      </c>
      <c r="U83" s="697">
        <f t="shared" si="3"/>
        <v>0</v>
      </c>
      <c r="W83" s="698">
        <f t="shared" si="4"/>
        <v>0</v>
      </c>
      <c r="X83" s="699">
        <f t="shared" si="5"/>
        <v>0</v>
      </c>
      <c r="Y83" s="699">
        <f t="shared" si="6"/>
        <v>0</v>
      </c>
      <c r="Z83" s="699">
        <f t="shared" si="10"/>
        <v>0</v>
      </c>
      <c r="AA83" s="697">
        <f t="shared" si="7"/>
        <v>0</v>
      </c>
      <c r="AC83" s="698" t="s">
        <v>26</v>
      </c>
      <c r="AD83" s="699" t="s">
        <v>61</v>
      </c>
      <c r="AE83" s="699" t="s">
        <v>74</v>
      </c>
      <c r="AF83" s="699" t="s">
        <v>75</v>
      </c>
      <c r="AG83" s="699" t="s">
        <v>69</v>
      </c>
      <c r="AH83" s="699" t="s">
        <v>83</v>
      </c>
      <c r="AJ83" s="699"/>
      <c r="AK83" s="699"/>
      <c r="AL83" s="700" t="str">
        <f t="shared" si="8"/>
        <v>$U$83:$AC$83</v>
      </c>
      <c r="AM83" s="785" t="s">
        <v>781</v>
      </c>
      <c r="AN83" s="300" t="s">
        <v>83</v>
      </c>
      <c r="AO83" s="710" t="s">
        <v>225</v>
      </c>
      <c r="AQ83" s="711" t="s">
        <v>83</v>
      </c>
      <c r="AR83" s="712" t="s">
        <v>212</v>
      </c>
      <c r="AS83" s="713" t="s">
        <v>55</v>
      </c>
      <c r="AT83" s="712" t="s">
        <v>811</v>
      </c>
      <c r="AU83" s="712" t="s">
        <v>89</v>
      </c>
      <c r="AV83" s="712" t="s">
        <v>85</v>
      </c>
      <c r="AW83" s="712"/>
      <c r="AX83" s="714" t="str">
        <f t="shared" si="11"/>
        <v>$AS$83:$AW$83</v>
      </c>
      <c r="AY83" s="715" t="s">
        <v>227</v>
      </c>
      <c r="AZ83" s="715"/>
      <c r="BA83" s="716" t="str">
        <f t="shared" si="12"/>
        <v>$AY$83:$AZ$83</v>
      </c>
      <c r="BB83" s="575"/>
      <c r="BC83" s="717"/>
      <c r="BD83" s="717"/>
      <c r="BE83" s="717"/>
    </row>
    <row r="84" spans="2:57" s="487" customFormat="1" ht="12.75" hidden="1">
      <c r="B84" s="694" t="s">
        <v>27</v>
      </c>
      <c r="C84" s="759" t="str">
        <f t="shared" si="1"/>
        <v>Gas 4-Stroke</v>
      </c>
      <c r="D84" s="947"/>
      <c r="E84" s="767" t="str">
        <f t="shared" si="9"/>
        <v>Gallon</v>
      </c>
      <c r="G84" s="771"/>
      <c r="H84" s="695"/>
      <c r="I84" s="708"/>
      <c r="J84" s="575"/>
      <c r="K84" s="575"/>
      <c r="L84" s="575"/>
      <c r="T84" s="696">
        <f t="shared" si="2"/>
        <v>8.81</v>
      </c>
      <c r="U84" s="697">
        <f t="shared" si="3"/>
        <v>0</v>
      </c>
      <c r="W84" s="698">
        <f t="shared" si="4"/>
        <v>0</v>
      </c>
      <c r="X84" s="699">
        <f t="shared" si="5"/>
        <v>0</v>
      </c>
      <c r="Y84" s="699">
        <f t="shared" si="6"/>
        <v>0</v>
      </c>
      <c r="Z84" s="699">
        <f t="shared" si="10"/>
        <v>0</v>
      </c>
      <c r="AA84" s="697">
        <f t="shared" si="7"/>
        <v>0</v>
      </c>
      <c r="AC84" s="698" t="s">
        <v>27</v>
      </c>
      <c r="AD84" s="699" t="s">
        <v>61</v>
      </c>
      <c r="AE84" s="699" t="s">
        <v>75</v>
      </c>
      <c r="AF84" s="699"/>
      <c r="AG84" s="699"/>
      <c r="AH84" s="699" t="s">
        <v>214</v>
      </c>
      <c r="AI84" s="699" t="s">
        <v>214</v>
      </c>
      <c r="AJ84" s="699"/>
      <c r="AK84" s="699"/>
      <c r="AL84" s="700" t="str">
        <f t="shared" si="8"/>
        <v>$U$84:$AC$84</v>
      </c>
      <c r="AM84" s="785" t="s">
        <v>781</v>
      </c>
      <c r="BB84" s="575"/>
      <c r="BC84" s="717"/>
      <c r="BD84" s="717"/>
      <c r="BE84" s="717"/>
    </row>
    <row r="85" spans="2:57" s="487" customFormat="1" ht="12.75" hidden="1">
      <c r="B85" s="694" t="s">
        <v>28</v>
      </c>
      <c r="C85" s="759" t="str">
        <f t="shared" si="1"/>
        <v>Diesel</v>
      </c>
      <c r="D85" s="947"/>
      <c r="E85" s="767" t="str">
        <f t="shared" si="9"/>
        <v>Gallon</v>
      </c>
      <c r="G85" s="771"/>
      <c r="H85" s="695"/>
      <c r="I85" s="708"/>
      <c r="J85" s="575"/>
      <c r="K85" s="575"/>
      <c r="L85" s="575"/>
      <c r="T85" s="696">
        <f t="shared" si="2"/>
        <v>10.15</v>
      </c>
      <c r="U85" s="697">
        <f t="shared" si="3"/>
        <v>0</v>
      </c>
      <c r="W85" s="698">
        <f t="shared" si="4"/>
        <v>0</v>
      </c>
      <c r="X85" s="699">
        <f t="shared" si="5"/>
        <v>0</v>
      </c>
      <c r="Y85" s="699">
        <f t="shared" si="6"/>
        <v>0</v>
      </c>
      <c r="Z85" s="699">
        <f t="shared" si="10"/>
        <v>0</v>
      </c>
      <c r="AA85" s="697">
        <f t="shared" si="7"/>
        <v>0</v>
      </c>
      <c r="AC85" s="698" t="s">
        <v>28</v>
      </c>
      <c r="AD85" s="699" t="s">
        <v>61</v>
      </c>
      <c r="AE85" s="699" t="s">
        <v>83</v>
      </c>
      <c r="AF85" s="699" t="s">
        <v>214</v>
      </c>
      <c r="AG85" s="699" t="s">
        <v>214</v>
      </c>
      <c r="AH85" s="699" t="s">
        <v>214</v>
      </c>
      <c r="AI85" s="699" t="s">
        <v>214</v>
      </c>
      <c r="AJ85" s="699"/>
      <c r="AK85" s="699"/>
      <c r="AL85" s="700" t="str">
        <f t="shared" si="8"/>
        <v>$U$85:$AC$85</v>
      </c>
      <c r="BB85" s="575"/>
      <c r="BC85" s="717"/>
      <c r="BD85" s="717"/>
      <c r="BE85" s="717"/>
    </row>
    <row r="86" spans="2:57" ht="13.5" customHeight="1" hidden="1">
      <c r="B86" s="694" t="s">
        <v>29</v>
      </c>
      <c r="C86" s="759" t="str">
        <f t="shared" si="1"/>
        <v>LPG</v>
      </c>
      <c r="D86" s="947"/>
      <c r="E86" s="767" t="str">
        <f t="shared" si="9"/>
        <v>Gallon</v>
      </c>
      <c r="G86" s="771"/>
      <c r="H86" s="695"/>
      <c r="I86" s="708"/>
      <c r="T86" s="696">
        <f t="shared" si="2"/>
        <v>5.74</v>
      </c>
      <c r="U86" s="697">
        <f t="shared" si="3"/>
        <v>0</v>
      </c>
      <c r="V86" s="487"/>
      <c r="W86" s="698">
        <f t="shared" si="4"/>
        <v>0</v>
      </c>
      <c r="X86" s="699">
        <f t="shared" si="5"/>
        <v>0</v>
      </c>
      <c r="Y86" s="699">
        <f t="shared" si="6"/>
        <v>0</v>
      </c>
      <c r="Z86" s="699">
        <f t="shared" si="10"/>
        <v>0</v>
      </c>
      <c r="AA86" s="697">
        <f t="shared" si="7"/>
        <v>0</v>
      </c>
      <c r="AB86" s="487"/>
      <c r="AC86" s="698" t="s">
        <v>29</v>
      </c>
      <c r="AD86" s="699" t="s">
        <v>61</v>
      </c>
      <c r="AE86" s="699" t="s">
        <v>75</v>
      </c>
      <c r="AF86" s="699" t="s">
        <v>69</v>
      </c>
      <c r="AG86" s="699" t="s">
        <v>70</v>
      </c>
      <c r="AI86" s="699"/>
      <c r="AJ86" s="699"/>
      <c r="AK86" s="699"/>
      <c r="AL86" s="700" t="str">
        <f t="shared" si="8"/>
        <v>$U$86:$AC$86</v>
      </c>
      <c r="AM86" s="785" t="s">
        <v>781</v>
      </c>
      <c r="AN86" s="487"/>
      <c r="AO86" s="487"/>
      <c r="AP86" s="487"/>
      <c r="AQ86" s="487"/>
      <c r="AR86" s="487"/>
      <c r="AS86" s="487"/>
      <c r="AT86" s="487"/>
      <c r="AU86" s="487"/>
      <c r="AV86" s="487"/>
      <c r="AW86" s="487"/>
      <c r="AX86" s="487"/>
      <c r="AY86" s="487"/>
      <c r="AZ86" s="487"/>
      <c r="BA86" s="487"/>
      <c r="BC86" s="679"/>
      <c r="BD86" s="679"/>
      <c r="BE86" s="679"/>
    </row>
    <row r="87" spans="2:57" ht="13.5" hidden="1" thickBot="1">
      <c r="B87" s="694" t="s">
        <v>11</v>
      </c>
      <c r="C87" s="759" t="str">
        <f t="shared" si="1"/>
        <v>Gas 4-Stroke</v>
      </c>
      <c r="D87" s="947"/>
      <c r="E87" s="767" t="str">
        <f t="shared" si="9"/>
        <v>Gallon</v>
      </c>
      <c r="G87" s="771"/>
      <c r="H87" s="695"/>
      <c r="I87" s="708"/>
      <c r="T87" s="696">
        <f t="shared" si="2"/>
        <v>8.81</v>
      </c>
      <c r="U87" s="697">
        <f t="shared" si="3"/>
        <v>0</v>
      </c>
      <c r="V87" s="487"/>
      <c r="W87" s="698">
        <f t="shared" si="4"/>
        <v>0</v>
      </c>
      <c r="X87" s="699">
        <f t="shared" si="5"/>
        <v>0</v>
      </c>
      <c r="Y87" s="699">
        <f t="shared" si="6"/>
        <v>0</v>
      </c>
      <c r="Z87" s="699">
        <f t="shared" si="10"/>
        <v>0</v>
      </c>
      <c r="AA87" s="697">
        <f t="shared" si="7"/>
        <v>0</v>
      </c>
      <c r="AB87" s="487"/>
      <c r="AC87" s="698" t="s">
        <v>11</v>
      </c>
      <c r="AD87" s="699" t="s">
        <v>61</v>
      </c>
      <c r="AE87" s="699" t="s">
        <v>74</v>
      </c>
      <c r="AF87" s="699" t="s">
        <v>75</v>
      </c>
      <c r="AG87" s="699" t="s">
        <v>69</v>
      </c>
      <c r="AH87" s="699" t="s">
        <v>70</v>
      </c>
      <c r="AJ87" s="699"/>
      <c r="AK87" s="699"/>
      <c r="AL87" s="700" t="str">
        <f t="shared" si="8"/>
        <v>$U$87:$AC$87</v>
      </c>
      <c r="AM87" s="785" t="s">
        <v>781</v>
      </c>
      <c r="AN87" s="487"/>
      <c r="AO87" s="487"/>
      <c r="AP87" s="487"/>
      <c r="AQ87" s="487"/>
      <c r="AR87" s="487"/>
      <c r="AS87" s="487"/>
      <c r="AT87" s="487"/>
      <c r="AU87" s="487"/>
      <c r="AV87" s="487"/>
      <c r="AW87" s="487"/>
      <c r="AX87" s="487"/>
      <c r="AY87" s="487"/>
      <c r="AZ87" s="487"/>
      <c r="BA87" s="487"/>
      <c r="BC87" s="679"/>
      <c r="BD87" s="679"/>
      <c r="BE87" s="679"/>
    </row>
    <row r="88" spans="2:57" ht="13.5" hidden="1" thickBot="1">
      <c r="B88" s="694" t="s">
        <v>12</v>
      </c>
      <c r="C88" s="759" t="str">
        <f t="shared" si="1"/>
        <v>Diesel</v>
      </c>
      <c r="D88" s="947"/>
      <c r="E88" s="767" t="str">
        <f t="shared" si="9"/>
        <v>Gallon</v>
      </c>
      <c r="G88" s="771"/>
      <c r="H88" s="695"/>
      <c r="I88" s="708"/>
      <c r="T88" s="696">
        <f t="shared" si="2"/>
        <v>10.15</v>
      </c>
      <c r="U88" s="697">
        <f t="shared" si="3"/>
        <v>0</v>
      </c>
      <c r="V88" s="487"/>
      <c r="W88" s="698">
        <f t="shared" si="4"/>
        <v>0</v>
      </c>
      <c r="X88" s="699">
        <f t="shared" si="5"/>
        <v>0</v>
      </c>
      <c r="Y88" s="699">
        <f t="shared" si="6"/>
        <v>0</v>
      </c>
      <c r="Z88" s="699">
        <f t="shared" si="10"/>
        <v>0</v>
      </c>
      <c r="AA88" s="697">
        <f t="shared" si="7"/>
        <v>0</v>
      </c>
      <c r="AB88" s="487"/>
      <c r="AC88" s="698" t="s">
        <v>12</v>
      </c>
      <c r="AD88" s="699" t="s">
        <v>61</v>
      </c>
      <c r="AE88" s="699" t="s">
        <v>83</v>
      </c>
      <c r="AF88" s="699" t="s">
        <v>214</v>
      </c>
      <c r="AG88" s="699" t="s">
        <v>214</v>
      </c>
      <c r="AH88" s="699" t="s">
        <v>214</v>
      </c>
      <c r="AI88" s="699" t="s">
        <v>214</v>
      </c>
      <c r="AJ88" s="699"/>
      <c r="AK88" s="699"/>
      <c r="AL88" s="700" t="str">
        <f t="shared" si="8"/>
        <v>$U$88:$AC$88</v>
      </c>
      <c r="AM88" s="487"/>
      <c r="AN88" s="1034" t="s">
        <v>600</v>
      </c>
      <c r="AO88" s="1035"/>
      <c r="AP88" s="487"/>
      <c r="AQ88" s="487"/>
      <c r="AR88" s="487"/>
      <c r="AS88" s="487"/>
      <c r="AT88" s="487"/>
      <c r="AU88" s="487"/>
      <c r="AV88" s="487"/>
      <c r="AW88" s="487"/>
      <c r="AX88" s="487"/>
      <c r="AY88" s="487"/>
      <c r="AZ88" s="487"/>
      <c r="BA88" s="487"/>
      <c r="BC88" s="679"/>
      <c r="BD88" s="679"/>
      <c r="BE88" s="679"/>
    </row>
    <row r="89" spans="2:57" ht="15" customHeight="1" hidden="1">
      <c r="B89" s="694" t="s">
        <v>30</v>
      </c>
      <c r="C89" s="759" t="str">
        <f t="shared" si="1"/>
        <v>Diesel</v>
      </c>
      <c r="D89" s="947"/>
      <c r="E89" s="767" t="str">
        <f t="shared" si="9"/>
        <v>Gallon</v>
      </c>
      <c r="G89" s="771"/>
      <c r="H89" s="695"/>
      <c r="I89" s="708"/>
      <c r="T89" s="696">
        <f t="shared" si="2"/>
        <v>10.15</v>
      </c>
      <c r="U89" s="697">
        <f t="shared" si="3"/>
        <v>0</v>
      </c>
      <c r="V89" s="487"/>
      <c r="W89" s="698">
        <f t="shared" si="4"/>
        <v>0</v>
      </c>
      <c r="X89" s="699">
        <f t="shared" si="5"/>
        <v>0</v>
      </c>
      <c r="Y89" s="699">
        <f t="shared" si="6"/>
        <v>0</v>
      </c>
      <c r="Z89" s="699">
        <f t="shared" si="10"/>
        <v>0</v>
      </c>
      <c r="AA89" s="697">
        <f t="shared" si="7"/>
        <v>0</v>
      </c>
      <c r="AB89" s="487"/>
      <c r="AC89" s="698" t="s">
        <v>30</v>
      </c>
      <c r="AD89" s="699" t="s">
        <v>61</v>
      </c>
      <c r="AE89" s="699" t="s">
        <v>83</v>
      </c>
      <c r="AF89" s="699" t="s">
        <v>214</v>
      </c>
      <c r="AG89" s="699" t="s">
        <v>214</v>
      </c>
      <c r="AH89" s="699" t="s">
        <v>214</v>
      </c>
      <c r="AI89" s="699" t="s">
        <v>214</v>
      </c>
      <c r="AJ89" s="699"/>
      <c r="AK89" s="699"/>
      <c r="AL89" s="700" t="str">
        <f t="shared" si="8"/>
        <v>$U$89:$AC$89</v>
      </c>
      <c r="AM89" s="487"/>
      <c r="AN89" s="425" t="s">
        <v>95</v>
      </c>
      <c r="AO89" s="732">
        <f>U112</f>
        <v>0</v>
      </c>
      <c r="AP89" s="487"/>
      <c r="AQ89" s="487"/>
      <c r="AR89" s="487"/>
      <c r="AS89" s="487"/>
      <c r="AT89" s="487"/>
      <c r="AU89" s="487"/>
      <c r="AV89" s="487"/>
      <c r="AW89" s="487"/>
      <c r="AX89" s="487"/>
      <c r="AY89" s="487"/>
      <c r="AZ89" s="487"/>
      <c r="BA89" s="487"/>
      <c r="BC89" s="679"/>
      <c r="BD89" s="679"/>
      <c r="BE89" s="679"/>
    </row>
    <row r="90" spans="2:57" ht="15" customHeight="1" hidden="1" thickBot="1">
      <c r="B90" s="694" t="s">
        <v>31</v>
      </c>
      <c r="C90" s="759" t="str">
        <f t="shared" si="1"/>
        <v>Diesel</v>
      </c>
      <c r="D90" s="947"/>
      <c r="E90" s="767" t="str">
        <f t="shared" si="9"/>
        <v>Gallon</v>
      </c>
      <c r="G90" s="771"/>
      <c r="H90" s="695"/>
      <c r="I90" s="708"/>
      <c r="T90" s="696">
        <f t="shared" si="2"/>
        <v>10.15</v>
      </c>
      <c r="U90" s="697">
        <f t="shared" si="3"/>
        <v>0</v>
      </c>
      <c r="V90" s="487"/>
      <c r="W90" s="698">
        <f t="shared" si="4"/>
        <v>0</v>
      </c>
      <c r="X90" s="699">
        <f t="shared" si="5"/>
        <v>0</v>
      </c>
      <c r="Y90" s="699">
        <f t="shared" si="6"/>
        <v>0</v>
      </c>
      <c r="Z90" s="699">
        <f t="shared" si="10"/>
        <v>0</v>
      </c>
      <c r="AA90" s="697">
        <f t="shared" si="7"/>
        <v>0</v>
      </c>
      <c r="AB90" s="487"/>
      <c r="AC90" s="698" t="s">
        <v>31</v>
      </c>
      <c r="AD90" s="699" t="s">
        <v>61</v>
      </c>
      <c r="AE90" s="699" t="s">
        <v>83</v>
      </c>
      <c r="AF90" s="699" t="s">
        <v>214</v>
      </c>
      <c r="AG90" s="699" t="s">
        <v>214</v>
      </c>
      <c r="AH90" s="699" t="s">
        <v>214</v>
      </c>
      <c r="AI90" s="699" t="s">
        <v>214</v>
      </c>
      <c r="AJ90" s="699"/>
      <c r="AK90" s="699"/>
      <c r="AL90" s="700" t="str">
        <f t="shared" si="8"/>
        <v>$U$90:$AC$90</v>
      </c>
      <c r="AM90" s="487"/>
      <c r="AN90" s="426" t="s">
        <v>96</v>
      </c>
      <c r="AO90" s="733">
        <f>AA112</f>
        <v>0</v>
      </c>
      <c r="AP90" s="487"/>
      <c r="AQ90" s="487"/>
      <c r="AR90" s="487"/>
      <c r="AS90" s="487"/>
      <c r="AT90" s="487"/>
      <c r="AU90" s="487"/>
      <c r="AV90" s="487"/>
      <c r="AW90" s="487"/>
      <c r="AX90" s="487"/>
      <c r="AY90" s="487"/>
      <c r="AZ90" s="487"/>
      <c r="BA90" s="487"/>
      <c r="BC90" s="679"/>
      <c r="BD90" s="679"/>
      <c r="BE90" s="679"/>
    </row>
    <row r="91" spans="2:57" ht="12.75" hidden="1">
      <c r="B91" s="694" t="s">
        <v>32</v>
      </c>
      <c r="C91" s="759" t="str">
        <f t="shared" si="1"/>
        <v>Diesel</v>
      </c>
      <c r="D91" s="947"/>
      <c r="E91" s="767" t="str">
        <f t="shared" si="9"/>
        <v>Gallon</v>
      </c>
      <c r="G91" s="771"/>
      <c r="H91" s="695"/>
      <c r="I91" s="708"/>
      <c r="T91" s="696">
        <f t="shared" si="2"/>
        <v>10.15</v>
      </c>
      <c r="U91" s="697">
        <f t="shared" si="3"/>
        <v>0</v>
      </c>
      <c r="V91" s="487"/>
      <c r="W91" s="698">
        <f t="shared" si="4"/>
        <v>0</v>
      </c>
      <c r="X91" s="699">
        <f t="shared" si="5"/>
        <v>0</v>
      </c>
      <c r="Y91" s="699">
        <f t="shared" si="6"/>
        <v>0</v>
      </c>
      <c r="Z91" s="699">
        <f t="shared" si="10"/>
        <v>0</v>
      </c>
      <c r="AA91" s="697">
        <f t="shared" si="7"/>
        <v>0</v>
      </c>
      <c r="AB91" s="487"/>
      <c r="AC91" s="698" t="s">
        <v>32</v>
      </c>
      <c r="AD91" s="699" t="s">
        <v>61</v>
      </c>
      <c r="AE91" s="699" t="s">
        <v>75</v>
      </c>
      <c r="AF91" s="699" t="s">
        <v>69</v>
      </c>
      <c r="AG91" s="699" t="s">
        <v>70</v>
      </c>
      <c r="AH91" s="699" t="s">
        <v>83</v>
      </c>
      <c r="AJ91" s="699"/>
      <c r="AK91" s="699"/>
      <c r="AL91" s="700" t="str">
        <f t="shared" si="8"/>
        <v>$U$91:$AC$91</v>
      </c>
      <c r="AM91" s="785" t="s">
        <v>781</v>
      </c>
      <c r="AN91" s="487"/>
      <c r="AO91" s="487"/>
      <c r="AP91" s="487"/>
      <c r="AQ91" s="487"/>
      <c r="AR91" s="487"/>
      <c r="AS91" s="487"/>
      <c r="AT91" s="487"/>
      <c r="AU91" s="487"/>
      <c r="AV91" s="487"/>
      <c r="AW91" s="487"/>
      <c r="AX91" s="487"/>
      <c r="AY91" s="487"/>
      <c r="AZ91" s="487"/>
      <c r="BA91" s="487"/>
      <c r="BC91" s="679"/>
      <c r="BD91" s="679"/>
      <c r="BE91" s="679"/>
    </row>
    <row r="92" spans="2:57" ht="12.75" hidden="1">
      <c r="B92" s="694" t="s">
        <v>53</v>
      </c>
      <c r="C92" s="759" t="str">
        <f t="shared" si="1"/>
        <v>Gas 4-Stroke</v>
      </c>
      <c r="D92" s="947"/>
      <c r="E92" s="767" t="str">
        <f t="shared" si="9"/>
        <v>Gallon</v>
      </c>
      <c r="G92" s="771"/>
      <c r="H92" s="695"/>
      <c r="I92" s="708"/>
      <c r="T92" s="696">
        <f t="shared" si="2"/>
        <v>8.81</v>
      </c>
      <c r="U92" s="697">
        <f t="shared" si="3"/>
        <v>0</v>
      </c>
      <c r="V92" s="487"/>
      <c r="W92" s="698">
        <f t="shared" si="4"/>
        <v>0</v>
      </c>
      <c r="X92" s="699">
        <f t="shared" si="5"/>
        <v>0</v>
      </c>
      <c r="Y92" s="699">
        <f t="shared" si="6"/>
        <v>0</v>
      </c>
      <c r="Z92" s="699">
        <f t="shared" si="10"/>
        <v>0</v>
      </c>
      <c r="AA92" s="697">
        <f t="shared" si="7"/>
        <v>0</v>
      </c>
      <c r="AB92" s="487"/>
      <c r="AC92" s="698" t="s">
        <v>53</v>
      </c>
      <c r="AD92" s="699" t="s">
        <v>61</v>
      </c>
      <c r="AE92" s="699" t="s">
        <v>74</v>
      </c>
      <c r="AF92" s="699" t="s">
        <v>75</v>
      </c>
      <c r="AG92" s="699" t="s">
        <v>69</v>
      </c>
      <c r="AH92" s="699" t="s">
        <v>70</v>
      </c>
      <c r="AJ92" s="699"/>
      <c r="AK92" s="699"/>
      <c r="AL92" s="700" t="str">
        <f t="shared" si="8"/>
        <v>$U$92:$AC$92</v>
      </c>
      <c r="AM92" s="785" t="s">
        <v>781</v>
      </c>
      <c r="AN92" s="487"/>
      <c r="AO92" s="487"/>
      <c r="AP92" s="487"/>
      <c r="AQ92" s="487"/>
      <c r="AR92" s="487"/>
      <c r="AS92" s="487"/>
      <c r="AT92" s="487"/>
      <c r="AU92" s="487"/>
      <c r="AV92" s="487"/>
      <c r="AW92" s="487"/>
      <c r="AX92" s="487"/>
      <c r="AY92" s="487"/>
      <c r="AZ92" s="487"/>
      <c r="BA92" s="487"/>
      <c r="BC92" s="679"/>
      <c r="BD92" s="679"/>
      <c r="BE92" s="679"/>
    </row>
    <row r="93" spans="2:57" ht="12.75" hidden="1">
      <c r="B93" s="694" t="s">
        <v>33</v>
      </c>
      <c r="C93" s="759" t="str">
        <f t="shared" si="1"/>
        <v>Diesel</v>
      </c>
      <c r="D93" s="947"/>
      <c r="E93" s="767" t="str">
        <f t="shared" si="9"/>
        <v>Gallon</v>
      </c>
      <c r="G93" s="771"/>
      <c r="H93" s="695"/>
      <c r="I93" s="708"/>
      <c r="T93" s="696">
        <f t="shared" si="2"/>
        <v>10.15</v>
      </c>
      <c r="U93" s="697">
        <f t="shared" si="3"/>
        <v>0</v>
      </c>
      <c r="V93" s="487"/>
      <c r="W93" s="698">
        <f t="shared" si="4"/>
        <v>0</v>
      </c>
      <c r="X93" s="699">
        <f t="shared" si="5"/>
        <v>0</v>
      </c>
      <c r="Y93" s="699">
        <f t="shared" si="6"/>
        <v>0</v>
      </c>
      <c r="Z93" s="699">
        <f t="shared" si="10"/>
        <v>0</v>
      </c>
      <c r="AA93" s="697">
        <f t="shared" si="7"/>
        <v>0</v>
      </c>
      <c r="AB93" s="487"/>
      <c r="AC93" s="698" t="s">
        <v>33</v>
      </c>
      <c r="AD93" s="699" t="s">
        <v>61</v>
      </c>
      <c r="AE93" s="699" t="s">
        <v>75</v>
      </c>
      <c r="AF93" s="699" t="s">
        <v>69</v>
      </c>
      <c r="AG93" s="699" t="s">
        <v>83</v>
      </c>
      <c r="AI93" s="699"/>
      <c r="AJ93" s="699"/>
      <c r="AK93" s="699"/>
      <c r="AL93" s="700" t="str">
        <f t="shared" si="8"/>
        <v>$U$93:$AC$93</v>
      </c>
      <c r="AM93" s="785" t="s">
        <v>781</v>
      </c>
      <c r="AN93" s="487"/>
      <c r="AO93" s="487"/>
      <c r="AP93" s="487"/>
      <c r="AQ93" s="487"/>
      <c r="AR93" s="487"/>
      <c r="AS93" s="487"/>
      <c r="AT93" s="487"/>
      <c r="AU93" s="487"/>
      <c r="AV93" s="487"/>
      <c r="AW93" s="487"/>
      <c r="AX93" s="487"/>
      <c r="AY93" s="487"/>
      <c r="AZ93" s="487"/>
      <c r="BA93" s="487"/>
      <c r="BC93" s="679"/>
      <c r="BD93" s="679"/>
      <c r="BE93" s="679"/>
    </row>
    <row r="94" spans="2:57" ht="12.75" hidden="1">
      <c r="B94" s="694" t="s">
        <v>34</v>
      </c>
      <c r="C94" s="759" t="str">
        <f t="shared" si="1"/>
        <v>Diesel</v>
      </c>
      <c r="D94" s="947"/>
      <c r="E94" s="767" t="str">
        <f t="shared" si="9"/>
        <v>Gallon</v>
      </c>
      <c r="G94" s="771"/>
      <c r="H94" s="695"/>
      <c r="I94" s="708"/>
      <c r="T94" s="696">
        <f t="shared" si="2"/>
        <v>10.15</v>
      </c>
      <c r="U94" s="697">
        <f t="shared" si="3"/>
        <v>0</v>
      </c>
      <c r="V94" s="487"/>
      <c r="W94" s="698">
        <f t="shared" si="4"/>
        <v>0</v>
      </c>
      <c r="X94" s="699">
        <f t="shared" si="5"/>
        <v>0</v>
      </c>
      <c r="Y94" s="699">
        <f t="shared" si="6"/>
        <v>0</v>
      </c>
      <c r="Z94" s="699">
        <f t="shared" si="10"/>
        <v>0</v>
      </c>
      <c r="AA94" s="697">
        <f t="shared" si="7"/>
        <v>0</v>
      </c>
      <c r="AB94" s="487"/>
      <c r="AC94" s="698" t="s">
        <v>34</v>
      </c>
      <c r="AD94" s="699" t="s">
        <v>61</v>
      </c>
      <c r="AE94" s="699" t="s">
        <v>75</v>
      </c>
      <c r="AF94" s="699" t="s">
        <v>69</v>
      </c>
      <c r="AG94" s="699" t="s">
        <v>83</v>
      </c>
      <c r="AI94" s="699"/>
      <c r="AJ94" s="699"/>
      <c r="AK94" s="699"/>
      <c r="AL94" s="700" t="str">
        <f t="shared" si="8"/>
        <v>$U$94:$AC$94</v>
      </c>
      <c r="AM94" s="785" t="s">
        <v>781</v>
      </c>
      <c r="AN94" s="487"/>
      <c r="AO94" s="487"/>
      <c r="AP94" s="487"/>
      <c r="AQ94" s="487"/>
      <c r="AR94" s="487"/>
      <c r="AS94" s="487"/>
      <c r="AT94" s="487"/>
      <c r="AU94" s="487"/>
      <c r="AV94" s="487"/>
      <c r="AW94" s="487"/>
      <c r="AX94" s="487"/>
      <c r="AY94" s="487"/>
      <c r="AZ94" s="487"/>
      <c r="BA94" s="487"/>
      <c r="BC94" s="679"/>
      <c r="BD94" s="679"/>
      <c r="BE94" s="679"/>
    </row>
    <row r="95" spans="1:57" s="719" customFormat="1" ht="12.75" hidden="1">
      <c r="A95" s="718"/>
      <c r="B95" s="694" t="s">
        <v>35</v>
      </c>
      <c r="C95" s="759" t="str">
        <f t="shared" si="1"/>
        <v>Gas 4-Stroke</v>
      </c>
      <c r="D95" s="947"/>
      <c r="E95" s="767" t="str">
        <f t="shared" si="9"/>
        <v>Gallon</v>
      </c>
      <c r="F95" s="718"/>
      <c r="G95" s="771"/>
      <c r="H95" s="695"/>
      <c r="I95" s="708"/>
      <c r="J95" s="575"/>
      <c r="K95" s="575"/>
      <c r="L95" s="575"/>
      <c r="M95" s="718"/>
      <c r="N95" s="718"/>
      <c r="O95" s="718"/>
      <c r="P95" s="718"/>
      <c r="T95" s="696">
        <f t="shared" si="2"/>
        <v>8.81</v>
      </c>
      <c r="U95" s="697">
        <f t="shared" si="3"/>
        <v>0</v>
      </c>
      <c r="V95" s="487"/>
      <c r="W95" s="698">
        <f t="shared" si="4"/>
        <v>0</v>
      </c>
      <c r="X95" s="699">
        <f t="shared" si="5"/>
        <v>0</v>
      </c>
      <c r="Y95" s="699">
        <f t="shared" si="6"/>
        <v>0</v>
      </c>
      <c r="Z95" s="699">
        <f t="shared" si="10"/>
        <v>0</v>
      </c>
      <c r="AA95" s="697">
        <f t="shared" si="7"/>
        <v>0</v>
      </c>
      <c r="AB95" s="487"/>
      <c r="AC95" s="698" t="s">
        <v>35</v>
      </c>
      <c r="AD95" s="699" t="s">
        <v>61</v>
      </c>
      <c r="AE95" s="699" t="s">
        <v>74</v>
      </c>
      <c r="AF95" s="699" t="s">
        <v>75</v>
      </c>
      <c r="AG95" s="699" t="s">
        <v>69</v>
      </c>
      <c r="AH95" s="699"/>
      <c r="AI95" s="699" t="s">
        <v>214</v>
      </c>
      <c r="AJ95" s="699"/>
      <c r="AK95" s="699"/>
      <c r="AL95" s="700" t="str">
        <f t="shared" si="8"/>
        <v>$U$95:$AC$95</v>
      </c>
      <c r="AM95" s="785" t="s">
        <v>781</v>
      </c>
      <c r="AN95" s="487"/>
      <c r="AO95" s="487"/>
      <c r="AP95" s="487"/>
      <c r="AQ95" s="487"/>
      <c r="AR95" s="487"/>
      <c r="AS95" s="487"/>
      <c r="AT95" s="487"/>
      <c r="AU95" s="487"/>
      <c r="AV95" s="487"/>
      <c r="AW95" s="487"/>
      <c r="AX95" s="487"/>
      <c r="AY95" s="487"/>
      <c r="AZ95" s="487"/>
      <c r="BA95" s="487"/>
      <c r="BB95" s="575"/>
      <c r="BC95" s="720"/>
      <c r="BD95" s="720"/>
      <c r="BE95" s="720"/>
    </row>
    <row r="96" spans="2:57" ht="12.75" hidden="1">
      <c r="B96" s="694" t="s">
        <v>36</v>
      </c>
      <c r="C96" s="759" t="str">
        <f t="shared" si="1"/>
        <v>Gas 4-Stroke</v>
      </c>
      <c r="D96" s="947"/>
      <c r="E96" s="767" t="str">
        <f t="shared" si="9"/>
        <v>Gallon</v>
      </c>
      <c r="G96" s="771"/>
      <c r="H96" s="695"/>
      <c r="I96" s="708"/>
      <c r="T96" s="696">
        <f t="shared" si="2"/>
        <v>8.81</v>
      </c>
      <c r="U96" s="697">
        <f t="shared" si="3"/>
        <v>0</v>
      </c>
      <c r="V96" s="487"/>
      <c r="W96" s="698">
        <f t="shared" si="4"/>
        <v>0</v>
      </c>
      <c r="X96" s="699">
        <f t="shared" si="5"/>
        <v>0</v>
      </c>
      <c r="Y96" s="699">
        <f t="shared" si="6"/>
        <v>0</v>
      </c>
      <c r="Z96" s="699">
        <f t="shared" si="10"/>
        <v>0</v>
      </c>
      <c r="AA96" s="697">
        <f t="shared" si="7"/>
        <v>0</v>
      </c>
      <c r="AB96" s="487"/>
      <c r="AC96" s="698" t="s">
        <v>36</v>
      </c>
      <c r="AD96" s="699" t="s">
        <v>61</v>
      </c>
      <c r="AE96" s="699" t="s">
        <v>74</v>
      </c>
      <c r="AF96" s="699" t="s">
        <v>75</v>
      </c>
      <c r="AG96" s="699"/>
      <c r="AH96" s="699" t="s">
        <v>214</v>
      </c>
      <c r="AI96" s="699" t="s">
        <v>214</v>
      </c>
      <c r="AJ96" s="699"/>
      <c r="AK96" s="699"/>
      <c r="AL96" s="700" t="str">
        <f t="shared" si="8"/>
        <v>$U$96:$AC$96</v>
      </c>
      <c r="AM96" s="785" t="s">
        <v>781</v>
      </c>
      <c r="AN96" s="487"/>
      <c r="AO96" s="487"/>
      <c r="AP96" s="487"/>
      <c r="AQ96" s="487"/>
      <c r="AR96" s="487"/>
      <c r="AS96" s="487"/>
      <c r="AT96" s="487"/>
      <c r="AU96" s="487"/>
      <c r="AV96" s="487"/>
      <c r="AW96" s="487"/>
      <c r="AX96" s="487"/>
      <c r="AY96" s="487"/>
      <c r="AZ96" s="487"/>
      <c r="BA96" s="487"/>
      <c r="BC96" s="679"/>
      <c r="BD96" s="679"/>
      <c r="BE96" s="679"/>
    </row>
    <row r="97" spans="2:57" ht="15.75" customHeight="1" hidden="1">
      <c r="B97" s="694" t="s">
        <v>37</v>
      </c>
      <c r="C97" s="759" t="str">
        <f t="shared" si="1"/>
        <v>Gas 4-Stroke</v>
      </c>
      <c r="D97" s="947"/>
      <c r="E97" s="767" t="str">
        <f t="shared" si="9"/>
        <v>Gallon</v>
      </c>
      <c r="G97" s="771"/>
      <c r="H97" s="695"/>
      <c r="I97" s="708"/>
      <c r="T97" s="696">
        <f t="shared" si="2"/>
        <v>8.81</v>
      </c>
      <c r="U97" s="697">
        <f t="shared" si="3"/>
        <v>0</v>
      </c>
      <c r="V97" s="487"/>
      <c r="W97" s="698">
        <f t="shared" si="4"/>
        <v>0</v>
      </c>
      <c r="X97" s="699">
        <f t="shared" si="5"/>
        <v>0</v>
      </c>
      <c r="Y97" s="699">
        <f t="shared" si="6"/>
        <v>0</v>
      </c>
      <c r="Z97" s="699">
        <f t="shared" si="10"/>
        <v>0</v>
      </c>
      <c r="AA97" s="697">
        <f t="shared" si="7"/>
        <v>0</v>
      </c>
      <c r="AB97" s="487"/>
      <c r="AC97" s="698" t="s">
        <v>37</v>
      </c>
      <c r="AD97" s="699" t="s">
        <v>61</v>
      </c>
      <c r="AE97" s="699" t="s">
        <v>75</v>
      </c>
      <c r="AF97" s="699" t="s">
        <v>69</v>
      </c>
      <c r="AG97" s="699" t="s">
        <v>819</v>
      </c>
      <c r="AJ97" s="699"/>
      <c r="AK97" s="699"/>
      <c r="AL97" s="700" t="str">
        <f t="shared" si="8"/>
        <v>$U$97:$AC$97</v>
      </c>
      <c r="AM97" s="785" t="s">
        <v>781</v>
      </c>
      <c r="AN97" s="487"/>
      <c r="AO97" s="487"/>
      <c r="AP97" s="487"/>
      <c r="AQ97" s="487"/>
      <c r="AR97" s="487"/>
      <c r="AS97" s="487"/>
      <c r="AT97" s="487"/>
      <c r="AU97" s="487"/>
      <c r="AV97" s="487"/>
      <c r="AW97" s="487"/>
      <c r="AX97" s="487"/>
      <c r="AY97" s="487"/>
      <c r="AZ97" s="487"/>
      <c r="BA97" s="487"/>
      <c r="BC97" s="679"/>
      <c r="BD97" s="679"/>
      <c r="BE97" s="679"/>
    </row>
    <row r="98" spans="2:57" ht="15" customHeight="1" hidden="1">
      <c r="B98" s="694" t="s">
        <v>38</v>
      </c>
      <c r="C98" s="759" t="str">
        <f t="shared" si="1"/>
        <v>Gas 4-Stroke</v>
      </c>
      <c r="D98" s="947"/>
      <c r="E98" s="767" t="str">
        <f t="shared" si="9"/>
        <v>Gallon</v>
      </c>
      <c r="G98" s="771"/>
      <c r="H98" s="695"/>
      <c r="I98" s="708"/>
      <c r="T98" s="696">
        <f t="shared" si="2"/>
        <v>8.81</v>
      </c>
      <c r="U98" s="697">
        <f t="shared" si="3"/>
        <v>0</v>
      </c>
      <c r="V98" s="487"/>
      <c r="W98" s="698">
        <f t="shared" si="4"/>
        <v>0</v>
      </c>
      <c r="X98" s="699">
        <f t="shared" si="5"/>
        <v>0</v>
      </c>
      <c r="Y98" s="699">
        <f t="shared" si="6"/>
        <v>0</v>
      </c>
      <c r="Z98" s="699">
        <f t="shared" si="10"/>
        <v>0</v>
      </c>
      <c r="AA98" s="697">
        <f t="shared" si="7"/>
        <v>0</v>
      </c>
      <c r="AB98" s="487"/>
      <c r="AC98" s="698" t="s">
        <v>38</v>
      </c>
      <c r="AD98" s="699" t="s">
        <v>61</v>
      </c>
      <c r="AE98" s="699" t="s">
        <v>74</v>
      </c>
      <c r="AF98" s="699" t="s">
        <v>75</v>
      </c>
      <c r="AG98" s="699" t="s">
        <v>69</v>
      </c>
      <c r="AH98" s="699" t="s">
        <v>70</v>
      </c>
      <c r="AI98" s="699" t="s">
        <v>819</v>
      </c>
      <c r="AK98" s="699"/>
      <c r="AL98" s="700" t="str">
        <f t="shared" si="8"/>
        <v>$U$98:$AC$98</v>
      </c>
      <c r="AM98" s="785" t="s">
        <v>781</v>
      </c>
      <c r="AN98" s="487"/>
      <c r="AO98" s="487"/>
      <c r="AP98" s="487"/>
      <c r="AQ98" s="487"/>
      <c r="AR98" s="487"/>
      <c r="AS98" s="487"/>
      <c r="AT98" s="487"/>
      <c r="AU98" s="487"/>
      <c r="AV98" s="487"/>
      <c r="AW98" s="487"/>
      <c r="AX98" s="487"/>
      <c r="AY98" s="487"/>
      <c r="AZ98" s="487"/>
      <c r="BA98" s="487"/>
      <c r="BC98" s="679"/>
      <c r="BD98" s="679"/>
      <c r="BE98" s="679"/>
    </row>
    <row r="99" spans="2:57" ht="12.75" hidden="1">
      <c r="B99" s="694" t="s">
        <v>13</v>
      </c>
      <c r="C99" s="759" t="str">
        <f t="shared" si="1"/>
        <v>Diesel</v>
      </c>
      <c r="D99" s="947"/>
      <c r="E99" s="767" t="str">
        <f t="shared" si="9"/>
        <v>Gallon</v>
      </c>
      <c r="G99" s="771"/>
      <c r="H99" s="695"/>
      <c r="I99" s="708"/>
      <c r="T99" s="696">
        <f t="shared" si="2"/>
        <v>10.15</v>
      </c>
      <c r="U99" s="697">
        <f t="shared" si="3"/>
        <v>0</v>
      </c>
      <c r="V99" s="487"/>
      <c r="W99" s="698">
        <f t="shared" si="4"/>
        <v>0</v>
      </c>
      <c r="X99" s="699">
        <f t="shared" si="5"/>
        <v>0</v>
      </c>
      <c r="Y99" s="699">
        <f t="shared" si="6"/>
        <v>0</v>
      </c>
      <c r="Z99" s="699">
        <f t="shared" si="10"/>
        <v>0</v>
      </c>
      <c r="AA99" s="697">
        <f t="shared" si="7"/>
        <v>0</v>
      </c>
      <c r="AB99" s="487"/>
      <c r="AC99" s="698" t="s">
        <v>13</v>
      </c>
      <c r="AD99" s="699" t="s">
        <v>61</v>
      </c>
      <c r="AE99" s="699" t="s">
        <v>75</v>
      </c>
      <c r="AF99" s="699" t="s">
        <v>69</v>
      </c>
      <c r="AH99" s="699"/>
      <c r="AI99" s="699" t="s">
        <v>214</v>
      </c>
      <c r="AJ99" s="699"/>
      <c r="AK99" s="699"/>
      <c r="AL99" s="700" t="str">
        <f t="shared" si="8"/>
        <v>$U$99:$AC$99</v>
      </c>
      <c r="AM99" s="785" t="s">
        <v>781</v>
      </c>
      <c r="AN99" s="487"/>
      <c r="AO99" s="487"/>
      <c r="AP99" s="487"/>
      <c r="AQ99" s="487"/>
      <c r="AR99" s="487"/>
      <c r="AS99" s="487"/>
      <c r="AT99" s="487"/>
      <c r="AU99" s="487"/>
      <c r="AV99" s="487"/>
      <c r="AW99" s="487"/>
      <c r="AX99" s="487"/>
      <c r="AY99" s="487"/>
      <c r="AZ99" s="487"/>
      <c r="BA99" s="487"/>
      <c r="BC99" s="679"/>
      <c r="BD99" s="679"/>
      <c r="BE99" s="679"/>
    </row>
    <row r="100" spans="2:57" ht="12.75" hidden="1">
      <c r="B100" s="694" t="s">
        <v>39</v>
      </c>
      <c r="C100" s="759" t="str">
        <f t="shared" si="1"/>
        <v>Diesel</v>
      </c>
      <c r="D100" s="947"/>
      <c r="E100" s="767" t="str">
        <f t="shared" si="9"/>
        <v>Gallon</v>
      </c>
      <c r="G100" s="771"/>
      <c r="H100" s="695"/>
      <c r="I100" s="708"/>
      <c r="T100" s="696">
        <f t="shared" si="2"/>
        <v>10.15</v>
      </c>
      <c r="U100" s="697">
        <f t="shared" si="3"/>
        <v>0</v>
      </c>
      <c r="V100" s="487"/>
      <c r="W100" s="698">
        <f t="shared" si="4"/>
        <v>0</v>
      </c>
      <c r="X100" s="699">
        <f t="shared" si="5"/>
        <v>0</v>
      </c>
      <c r="Y100" s="699">
        <f t="shared" si="6"/>
        <v>0</v>
      </c>
      <c r="Z100" s="699">
        <f t="shared" si="10"/>
        <v>0</v>
      </c>
      <c r="AA100" s="697">
        <f t="shared" si="7"/>
        <v>0</v>
      </c>
      <c r="AB100" s="487"/>
      <c r="AC100" s="698" t="s">
        <v>39</v>
      </c>
      <c r="AD100" s="699" t="s">
        <v>61</v>
      </c>
      <c r="AE100" s="699" t="s">
        <v>75</v>
      </c>
      <c r="AF100" s="699" t="s">
        <v>69</v>
      </c>
      <c r="AH100" s="699"/>
      <c r="AI100" s="699" t="s">
        <v>214</v>
      </c>
      <c r="AJ100" s="699"/>
      <c r="AK100" s="699"/>
      <c r="AL100" s="700" t="str">
        <f t="shared" si="8"/>
        <v>$U$100:$AC$100</v>
      </c>
      <c r="AM100" s="785" t="s">
        <v>781</v>
      </c>
      <c r="AN100" s="487"/>
      <c r="AO100" s="487"/>
      <c r="AP100" s="487"/>
      <c r="AQ100" s="487"/>
      <c r="AR100" s="487"/>
      <c r="AS100" s="487"/>
      <c r="AT100" s="487"/>
      <c r="AU100" s="487"/>
      <c r="AV100" s="487"/>
      <c r="AW100" s="487"/>
      <c r="AX100" s="487"/>
      <c r="AY100" s="487"/>
      <c r="AZ100" s="487"/>
      <c r="BA100" s="487"/>
      <c r="BC100" s="679"/>
      <c r="BD100" s="679"/>
      <c r="BE100" s="679"/>
    </row>
    <row r="101" spans="2:57" ht="12.75" hidden="1">
      <c r="B101" s="694" t="s">
        <v>40</v>
      </c>
      <c r="C101" s="759" t="str">
        <f t="shared" si="1"/>
        <v>Diesel</v>
      </c>
      <c r="D101" s="947"/>
      <c r="E101" s="767" t="str">
        <f t="shared" si="9"/>
        <v>Gallon</v>
      </c>
      <c r="G101" s="771"/>
      <c r="H101" s="695"/>
      <c r="I101" s="708"/>
      <c r="T101" s="696">
        <f t="shared" si="2"/>
        <v>10.15</v>
      </c>
      <c r="U101" s="697">
        <f t="shared" si="3"/>
        <v>0</v>
      </c>
      <c r="V101" s="487"/>
      <c r="W101" s="698">
        <f t="shared" si="4"/>
        <v>0</v>
      </c>
      <c r="X101" s="699">
        <f t="shared" si="5"/>
        <v>0</v>
      </c>
      <c r="Y101" s="699">
        <f t="shared" si="6"/>
        <v>0</v>
      </c>
      <c r="Z101" s="699">
        <f t="shared" si="10"/>
        <v>0</v>
      </c>
      <c r="AA101" s="697">
        <f t="shared" si="7"/>
        <v>0</v>
      </c>
      <c r="AB101" s="487"/>
      <c r="AC101" s="698" t="s">
        <v>40</v>
      </c>
      <c r="AD101" s="699" t="s">
        <v>61</v>
      </c>
      <c r="AE101" s="699" t="s">
        <v>214</v>
      </c>
      <c r="AF101" s="699" t="s">
        <v>214</v>
      </c>
      <c r="AG101" s="699" t="s">
        <v>214</v>
      </c>
      <c r="AH101" s="699" t="s">
        <v>214</v>
      </c>
      <c r="AI101" s="699" t="s">
        <v>214</v>
      </c>
      <c r="AJ101" s="699"/>
      <c r="AK101" s="699"/>
      <c r="AL101" s="700" t="str">
        <f t="shared" si="8"/>
        <v>$U$101:$AC$101</v>
      </c>
      <c r="AM101" s="487"/>
      <c r="AN101" s="487"/>
      <c r="AO101" s="487"/>
      <c r="AP101" s="487"/>
      <c r="AQ101" s="487"/>
      <c r="AR101" s="487"/>
      <c r="AS101" s="487"/>
      <c r="AT101" s="487"/>
      <c r="AU101" s="487"/>
      <c r="AV101" s="487"/>
      <c r="AW101" s="487"/>
      <c r="AX101" s="487"/>
      <c r="AY101" s="487"/>
      <c r="AZ101" s="487"/>
      <c r="BA101" s="487"/>
      <c r="BC101" s="679"/>
      <c r="BD101" s="679"/>
      <c r="BE101" s="679"/>
    </row>
    <row r="102" spans="2:57" ht="12.75" hidden="1">
      <c r="B102" s="694" t="s">
        <v>14</v>
      </c>
      <c r="C102" s="759" t="str">
        <f t="shared" si="1"/>
        <v>Diesel</v>
      </c>
      <c r="D102" s="947"/>
      <c r="E102" s="767" t="str">
        <f t="shared" si="9"/>
        <v>Gallon</v>
      </c>
      <c r="G102" s="771"/>
      <c r="H102" s="695"/>
      <c r="I102" s="708"/>
      <c r="T102" s="696">
        <f t="shared" si="2"/>
        <v>10.15</v>
      </c>
      <c r="U102" s="697">
        <f t="shared" si="3"/>
        <v>0</v>
      </c>
      <c r="V102" s="487"/>
      <c r="W102" s="698">
        <f t="shared" si="4"/>
        <v>0</v>
      </c>
      <c r="X102" s="699">
        <f t="shared" si="5"/>
        <v>0</v>
      </c>
      <c r="Y102" s="699">
        <f t="shared" si="6"/>
        <v>0</v>
      </c>
      <c r="Z102" s="699">
        <f t="shared" si="10"/>
        <v>0</v>
      </c>
      <c r="AA102" s="697">
        <f t="shared" si="7"/>
        <v>0</v>
      </c>
      <c r="AB102" s="487"/>
      <c r="AC102" s="698" t="s">
        <v>14</v>
      </c>
      <c r="AD102" s="699" t="s">
        <v>61</v>
      </c>
      <c r="AE102" s="699" t="s">
        <v>75</v>
      </c>
      <c r="AF102" s="699" t="s">
        <v>69</v>
      </c>
      <c r="AG102" s="699" t="s">
        <v>83</v>
      </c>
      <c r="AI102" s="699" t="s">
        <v>214</v>
      </c>
      <c r="AJ102" s="699"/>
      <c r="AK102" s="699"/>
      <c r="AL102" s="700" t="str">
        <f t="shared" si="8"/>
        <v>$U$102:$AC$102</v>
      </c>
      <c r="AM102" s="785" t="s">
        <v>781</v>
      </c>
      <c r="AN102" s="487"/>
      <c r="AO102" s="487"/>
      <c r="AP102" s="487"/>
      <c r="AQ102" s="487"/>
      <c r="AR102" s="487"/>
      <c r="AS102" s="487"/>
      <c r="AT102" s="487"/>
      <c r="AU102" s="487"/>
      <c r="AV102" s="487"/>
      <c r="AW102" s="487"/>
      <c r="AX102" s="487"/>
      <c r="AY102" s="487"/>
      <c r="AZ102" s="487"/>
      <c r="BA102" s="487"/>
      <c r="BC102" s="679"/>
      <c r="BD102" s="679"/>
      <c r="BE102" s="679"/>
    </row>
    <row r="103" spans="2:57" ht="12.75" hidden="1">
      <c r="B103" s="694" t="s">
        <v>15</v>
      </c>
      <c r="C103" s="759" t="str">
        <f t="shared" si="1"/>
        <v>Diesel</v>
      </c>
      <c r="D103" s="947"/>
      <c r="E103" s="767" t="str">
        <f t="shared" si="9"/>
        <v>Gallon</v>
      </c>
      <c r="G103" s="771"/>
      <c r="H103" s="695"/>
      <c r="I103" s="708"/>
      <c r="T103" s="696">
        <f t="shared" si="2"/>
        <v>10.15</v>
      </c>
      <c r="U103" s="697">
        <f t="shared" si="3"/>
        <v>0</v>
      </c>
      <c r="V103" s="487"/>
      <c r="W103" s="698">
        <f t="shared" si="4"/>
        <v>0</v>
      </c>
      <c r="X103" s="699">
        <f t="shared" si="5"/>
        <v>0</v>
      </c>
      <c r="Y103" s="699">
        <f t="shared" si="6"/>
        <v>0</v>
      </c>
      <c r="Z103" s="699">
        <f t="shared" si="10"/>
        <v>0</v>
      </c>
      <c r="AA103" s="697">
        <f t="shared" si="7"/>
        <v>0</v>
      </c>
      <c r="AB103" s="487"/>
      <c r="AC103" s="698" t="s">
        <v>15</v>
      </c>
      <c r="AD103" s="699" t="s">
        <v>61</v>
      </c>
      <c r="AE103" s="699" t="s">
        <v>83</v>
      </c>
      <c r="AF103" s="699" t="s">
        <v>214</v>
      </c>
      <c r="AG103" s="699" t="s">
        <v>214</v>
      </c>
      <c r="AH103" s="699"/>
      <c r="AI103" s="699" t="s">
        <v>214</v>
      </c>
      <c r="AJ103" s="699"/>
      <c r="AK103" s="699"/>
      <c r="AL103" s="700" t="str">
        <f t="shared" si="8"/>
        <v>$U$103:$AC$103</v>
      </c>
      <c r="AM103" s="487"/>
      <c r="AN103" s="487"/>
      <c r="AO103" s="487"/>
      <c r="AP103" s="487"/>
      <c r="AQ103" s="487"/>
      <c r="AR103" s="487"/>
      <c r="AS103" s="487"/>
      <c r="AT103" s="487"/>
      <c r="AU103" s="487"/>
      <c r="AV103" s="487"/>
      <c r="AW103" s="487"/>
      <c r="AX103" s="487"/>
      <c r="AY103" s="487"/>
      <c r="AZ103" s="487"/>
      <c r="BA103" s="487"/>
      <c r="BC103" s="679"/>
      <c r="BD103" s="679"/>
      <c r="BE103" s="679"/>
    </row>
    <row r="104" spans="2:57" ht="12.75" hidden="1">
      <c r="B104" s="694" t="s">
        <v>41</v>
      </c>
      <c r="C104" s="759" t="str">
        <f t="shared" si="1"/>
        <v>Diesel</v>
      </c>
      <c r="D104" s="947"/>
      <c r="E104" s="767" t="str">
        <f t="shared" si="9"/>
        <v>Gallon</v>
      </c>
      <c r="G104" s="771"/>
      <c r="H104" s="695"/>
      <c r="I104" s="708"/>
      <c r="T104" s="696">
        <f t="shared" si="2"/>
        <v>10.15</v>
      </c>
      <c r="U104" s="697">
        <f t="shared" si="3"/>
        <v>0</v>
      </c>
      <c r="V104" s="487"/>
      <c r="W104" s="698">
        <f t="shared" si="4"/>
        <v>0</v>
      </c>
      <c r="X104" s="699">
        <f t="shared" si="5"/>
        <v>0</v>
      </c>
      <c r="Y104" s="699">
        <f t="shared" si="6"/>
        <v>0</v>
      </c>
      <c r="Z104" s="699">
        <f t="shared" si="10"/>
        <v>0</v>
      </c>
      <c r="AA104" s="697">
        <f t="shared" si="7"/>
        <v>0</v>
      </c>
      <c r="AB104" s="487"/>
      <c r="AC104" s="698" t="s">
        <v>41</v>
      </c>
      <c r="AD104" s="699" t="s">
        <v>61</v>
      </c>
      <c r="AE104" s="699" t="s">
        <v>74</v>
      </c>
      <c r="AF104" s="699" t="s">
        <v>75</v>
      </c>
      <c r="AG104" s="699" t="s">
        <v>819</v>
      </c>
      <c r="AI104" s="699" t="s">
        <v>214</v>
      </c>
      <c r="AJ104" s="699"/>
      <c r="AK104" s="699"/>
      <c r="AL104" s="700" t="str">
        <f t="shared" si="8"/>
        <v>$U$104:$AC$104</v>
      </c>
      <c r="AM104" s="785" t="s">
        <v>781</v>
      </c>
      <c r="AN104" s="487"/>
      <c r="AO104" s="487"/>
      <c r="AP104" s="487"/>
      <c r="AQ104" s="487"/>
      <c r="AR104" s="487"/>
      <c r="AS104" s="487"/>
      <c r="AT104" s="487"/>
      <c r="AU104" s="487"/>
      <c r="AV104" s="487"/>
      <c r="AW104" s="487"/>
      <c r="AX104" s="487"/>
      <c r="AY104" s="487"/>
      <c r="AZ104" s="487"/>
      <c r="BA104" s="487"/>
      <c r="BC104" s="679"/>
      <c r="BD104" s="679"/>
      <c r="BE104" s="679"/>
    </row>
    <row r="105" spans="2:57" ht="12.75" hidden="1">
      <c r="B105" s="694" t="s">
        <v>42</v>
      </c>
      <c r="C105" s="759" t="str">
        <f t="shared" si="1"/>
        <v>Diesel</v>
      </c>
      <c r="D105" s="947"/>
      <c r="E105" s="767" t="str">
        <f t="shared" si="9"/>
        <v>Gallon</v>
      </c>
      <c r="G105" s="771"/>
      <c r="H105" s="695"/>
      <c r="I105" s="708"/>
      <c r="T105" s="696">
        <f t="shared" si="2"/>
        <v>10.15</v>
      </c>
      <c r="U105" s="697">
        <f t="shared" si="3"/>
        <v>0</v>
      </c>
      <c r="V105" s="487"/>
      <c r="W105" s="698">
        <f t="shared" si="4"/>
        <v>0</v>
      </c>
      <c r="X105" s="699">
        <f t="shared" si="5"/>
        <v>0</v>
      </c>
      <c r="Y105" s="699">
        <f t="shared" si="6"/>
        <v>0</v>
      </c>
      <c r="Z105" s="699">
        <f t="shared" si="10"/>
        <v>0</v>
      </c>
      <c r="AA105" s="697">
        <f t="shared" si="7"/>
        <v>0</v>
      </c>
      <c r="AB105" s="487"/>
      <c r="AC105" s="698" t="s">
        <v>42</v>
      </c>
      <c r="AD105" s="699" t="s">
        <v>61</v>
      </c>
      <c r="AE105" s="699" t="s">
        <v>75</v>
      </c>
      <c r="AF105" s="699" t="s">
        <v>69</v>
      </c>
      <c r="AH105" s="699"/>
      <c r="AI105" s="699" t="s">
        <v>214</v>
      </c>
      <c r="AJ105" s="699"/>
      <c r="AK105" s="699"/>
      <c r="AL105" s="700" t="str">
        <f t="shared" si="8"/>
        <v>$U$105:$AC$105</v>
      </c>
      <c r="AM105" s="785" t="s">
        <v>781</v>
      </c>
      <c r="AN105" s="487"/>
      <c r="AO105" s="487"/>
      <c r="AP105" s="487"/>
      <c r="AQ105" s="487"/>
      <c r="AR105" s="487"/>
      <c r="AS105" s="487"/>
      <c r="AT105" s="487"/>
      <c r="AU105" s="487"/>
      <c r="AV105" s="487"/>
      <c r="AW105" s="487"/>
      <c r="AX105" s="487"/>
      <c r="AY105" s="487"/>
      <c r="AZ105" s="487"/>
      <c r="BA105" s="487"/>
      <c r="BC105" s="679"/>
      <c r="BD105" s="679"/>
      <c r="BE105" s="679"/>
    </row>
    <row r="106" spans="2:57" ht="12.75" hidden="1">
      <c r="B106" s="694" t="s">
        <v>43</v>
      </c>
      <c r="C106" s="759" t="str">
        <f t="shared" si="1"/>
        <v>Gas 4-Stroke</v>
      </c>
      <c r="D106" s="947"/>
      <c r="E106" s="767" t="str">
        <f t="shared" si="9"/>
        <v>Gallon</v>
      </c>
      <c r="G106" s="771"/>
      <c r="H106" s="695"/>
      <c r="I106" s="708"/>
      <c r="T106" s="696">
        <f t="shared" si="2"/>
        <v>8.81</v>
      </c>
      <c r="U106" s="697">
        <f t="shared" si="3"/>
        <v>0</v>
      </c>
      <c r="V106" s="487"/>
      <c r="W106" s="698">
        <f t="shared" si="4"/>
        <v>0</v>
      </c>
      <c r="X106" s="699">
        <f t="shared" si="5"/>
        <v>0</v>
      </c>
      <c r="Y106" s="699">
        <f t="shared" si="6"/>
        <v>0</v>
      </c>
      <c r="Z106" s="699">
        <f t="shared" si="10"/>
        <v>0</v>
      </c>
      <c r="AA106" s="697">
        <f t="shared" si="7"/>
        <v>0</v>
      </c>
      <c r="AB106" s="487"/>
      <c r="AC106" s="698" t="s">
        <v>43</v>
      </c>
      <c r="AD106" s="699" t="s">
        <v>61</v>
      </c>
      <c r="AE106" s="699" t="s">
        <v>75</v>
      </c>
      <c r="AF106" s="699" t="s">
        <v>69</v>
      </c>
      <c r="AH106" s="699"/>
      <c r="AI106" s="699" t="s">
        <v>214</v>
      </c>
      <c r="AJ106" s="699"/>
      <c r="AK106" s="699"/>
      <c r="AL106" s="700" t="str">
        <f t="shared" si="8"/>
        <v>$U$106:$AC$106</v>
      </c>
      <c r="AM106" s="785" t="s">
        <v>781</v>
      </c>
      <c r="AN106" s="487"/>
      <c r="AO106" s="487"/>
      <c r="AP106" s="487"/>
      <c r="AQ106" s="487"/>
      <c r="AR106" s="487"/>
      <c r="AS106" s="487"/>
      <c r="AT106" s="487"/>
      <c r="AU106" s="487"/>
      <c r="AV106" s="487"/>
      <c r="AW106" s="487"/>
      <c r="AX106" s="487"/>
      <c r="AY106" s="487"/>
      <c r="AZ106" s="487"/>
      <c r="BA106" s="487"/>
      <c r="BC106" s="679"/>
      <c r="BD106" s="679"/>
      <c r="BE106" s="679"/>
    </row>
    <row r="107" spans="2:57" ht="12.75" hidden="1">
      <c r="B107" s="694" t="s">
        <v>44</v>
      </c>
      <c r="C107" s="759" t="str">
        <f t="shared" si="1"/>
        <v>Diesel</v>
      </c>
      <c r="D107" s="947"/>
      <c r="E107" s="767" t="str">
        <f t="shared" si="9"/>
        <v>Gallon</v>
      </c>
      <c r="G107" s="771"/>
      <c r="H107" s="695"/>
      <c r="I107" s="708"/>
      <c r="T107" s="696">
        <f t="shared" si="2"/>
        <v>10.15</v>
      </c>
      <c r="U107" s="697">
        <f t="shared" si="3"/>
        <v>0</v>
      </c>
      <c r="V107" s="487"/>
      <c r="W107" s="698">
        <f t="shared" si="4"/>
        <v>0</v>
      </c>
      <c r="X107" s="699">
        <f t="shared" si="5"/>
        <v>0</v>
      </c>
      <c r="Y107" s="699">
        <f t="shared" si="6"/>
        <v>0</v>
      </c>
      <c r="Z107" s="699">
        <f t="shared" si="10"/>
        <v>0</v>
      </c>
      <c r="AA107" s="697">
        <f t="shared" si="7"/>
        <v>0</v>
      </c>
      <c r="AB107" s="487"/>
      <c r="AC107" s="698" t="s">
        <v>44</v>
      </c>
      <c r="AD107" s="699" t="s">
        <v>61</v>
      </c>
      <c r="AE107" s="699" t="s">
        <v>74</v>
      </c>
      <c r="AF107" s="699" t="s">
        <v>75</v>
      </c>
      <c r="AG107" s="699" t="s">
        <v>69</v>
      </c>
      <c r="AH107" s="699" t="s">
        <v>70</v>
      </c>
      <c r="AJ107" s="699"/>
      <c r="AK107" s="699"/>
      <c r="AL107" s="700" t="str">
        <f t="shared" si="8"/>
        <v>$U$107:$AC$107</v>
      </c>
      <c r="AM107" s="785" t="s">
        <v>781</v>
      </c>
      <c r="AN107" s="487"/>
      <c r="AO107" s="487"/>
      <c r="AP107" s="487"/>
      <c r="AQ107" s="487"/>
      <c r="AR107" s="487"/>
      <c r="AS107" s="487"/>
      <c r="AT107" s="487"/>
      <c r="AU107" s="487"/>
      <c r="AV107" s="487"/>
      <c r="AW107" s="487"/>
      <c r="AX107" s="487"/>
      <c r="AY107" s="487"/>
      <c r="AZ107" s="487"/>
      <c r="BA107" s="487"/>
      <c r="BC107" s="679"/>
      <c r="BD107" s="679"/>
      <c r="BE107" s="679"/>
    </row>
    <row r="108" spans="2:57" ht="12.75" hidden="1">
      <c r="B108" s="694" t="s">
        <v>16</v>
      </c>
      <c r="C108" s="759" t="str">
        <f t="shared" si="1"/>
        <v>Diesel</v>
      </c>
      <c r="D108" s="947"/>
      <c r="E108" s="767" t="str">
        <f t="shared" si="9"/>
        <v>Gallon</v>
      </c>
      <c r="G108" s="771"/>
      <c r="H108" s="695"/>
      <c r="I108" s="708"/>
      <c r="T108" s="696">
        <f t="shared" si="2"/>
        <v>10.15</v>
      </c>
      <c r="U108" s="697">
        <f t="shared" si="3"/>
        <v>0</v>
      </c>
      <c r="V108" s="487"/>
      <c r="W108" s="698">
        <f t="shared" si="4"/>
        <v>0</v>
      </c>
      <c r="X108" s="699">
        <f t="shared" si="5"/>
        <v>0</v>
      </c>
      <c r="Y108" s="699">
        <f t="shared" si="6"/>
        <v>0</v>
      </c>
      <c r="Z108" s="699">
        <f t="shared" si="10"/>
        <v>0</v>
      </c>
      <c r="AA108" s="697">
        <f t="shared" si="7"/>
        <v>0</v>
      </c>
      <c r="AB108" s="487"/>
      <c r="AC108" s="698" t="s">
        <v>16</v>
      </c>
      <c r="AD108" s="699" t="s">
        <v>61</v>
      </c>
      <c r="AE108" s="699" t="s">
        <v>75</v>
      </c>
      <c r="AF108" s="699" t="s">
        <v>69</v>
      </c>
      <c r="AG108" s="699"/>
      <c r="AI108" s="699" t="s">
        <v>214</v>
      </c>
      <c r="AJ108" s="699"/>
      <c r="AK108" s="699"/>
      <c r="AL108" s="700" t="str">
        <f t="shared" si="8"/>
        <v>$U$108:$AC$108</v>
      </c>
      <c r="AM108" s="785" t="s">
        <v>781</v>
      </c>
      <c r="AN108" s="487"/>
      <c r="AO108" s="487"/>
      <c r="AP108" s="487"/>
      <c r="AQ108" s="487"/>
      <c r="AR108" s="487"/>
      <c r="AS108" s="487"/>
      <c r="AT108" s="487"/>
      <c r="AU108" s="487"/>
      <c r="AV108" s="487"/>
      <c r="AW108" s="487"/>
      <c r="AX108" s="487"/>
      <c r="AY108" s="487"/>
      <c r="AZ108" s="487"/>
      <c r="BA108" s="487"/>
      <c r="BC108" s="679"/>
      <c r="BD108" s="679"/>
      <c r="BE108" s="679"/>
    </row>
    <row r="109" spans="2:57" ht="12.75" hidden="1">
      <c r="B109" s="694" t="s">
        <v>45</v>
      </c>
      <c r="C109" s="759" t="str">
        <f t="shared" si="1"/>
        <v>Diesel</v>
      </c>
      <c r="D109" s="947"/>
      <c r="E109" s="767" t="str">
        <f t="shared" si="9"/>
        <v>Gallon</v>
      </c>
      <c r="G109" s="771"/>
      <c r="H109" s="695"/>
      <c r="I109" s="708"/>
      <c r="T109" s="696">
        <f t="shared" si="2"/>
        <v>10.15</v>
      </c>
      <c r="U109" s="697">
        <f t="shared" si="3"/>
        <v>0</v>
      </c>
      <c r="V109" s="487"/>
      <c r="W109" s="698">
        <f t="shared" si="4"/>
        <v>0</v>
      </c>
      <c r="X109" s="699">
        <f t="shared" si="5"/>
        <v>0</v>
      </c>
      <c r="Y109" s="699">
        <f t="shared" si="6"/>
        <v>0</v>
      </c>
      <c r="Z109" s="699">
        <f t="shared" si="10"/>
        <v>0</v>
      </c>
      <c r="AA109" s="697">
        <f t="shared" si="7"/>
        <v>0</v>
      </c>
      <c r="AB109" s="487"/>
      <c r="AC109" s="698" t="s">
        <v>45</v>
      </c>
      <c r="AD109" s="699" t="s">
        <v>61</v>
      </c>
      <c r="AE109" s="699" t="s">
        <v>75</v>
      </c>
      <c r="AF109" s="699" t="s">
        <v>69</v>
      </c>
      <c r="AG109" s="699"/>
      <c r="AI109" s="699" t="s">
        <v>214</v>
      </c>
      <c r="AJ109" s="699"/>
      <c r="AK109" s="699"/>
      <c r="AL109" s="700" t="str">
        <f t="shared" si="8"/>
        <v>$U$109:$AC$109</v>
      </c>
      <c r="AM109" s="785" t="s">
        <v>781</v>
      </c>
      <c r="AN109" s="487"/>
      <c r="AO109" s="487"/>
      <c r="AP109" s="487"/>
      <c r="AQ109" s="487"/>
      <c r="AR109" s="487"/>
      <c r="AS109" s="487"/>
      <c r="AT109" s="487"/>
      <c r="AU109" s="487"/>
      <c r="AV109" s="487"/>
      <c r="AW109" s="487"/>
      <c r="AX109" s="487"/>
      <c r="AY109" s="487"/>
      <c r="AZ109" s="487"/>
      <c r="BA109" s="487"/>
      <c r="BC109" s="679"/>
      <c r="BD109" s="679"/>
      <c r="BE109" s="679"/>
    </row>
    <row r="110" spans="2:57" ht="12.75" hidden="1">
      <c r="B110" s="694" t="s">
        <v>47</v>
      </c>
      <c r="C110" s="759" t="str">
        <f t="shared" si="1"/>
        <v>Diesel</v>
      </c>
      <c r="D110" s="947"/>
      <c r="E110" s="767" t="str">
        <f t="shared" si="9"/>
        <v>Gallon</v>
      </c>
      <c r="G110" s="771"/>
      <c r="H110" s="695"/>
      <c r="I110" s="708"/>
      <c r="T110" s="696">
        <f t="shared" si="2"/>
        <v>10.15</v>
      </c>
      <c r="U110" s="697">
        <f t="shared" si="3"/>
        <v>0</v>
      </c>
      <c r="V110" s="487"/>
      <c r="W110" s="698">
        <f t="shared" si="4"/>
        <v>0</v>
      </c>
      <c r="X110" s="699">
        <f t="shared" si="5"/>
        <v>0</v>
      </c>
      <c r="Y110" s="699">
        <f t="shared" si="6"/>
        <v>0</v>
      </c>
      <c r="Z110" s="699">
        <f t="shared" si="10"/>
        <v>0</v>
      </c>
      <c r="AA110" s="697">
        <f t="shared" si="7"/>
        <v>0</v>
      </c>
      <c r="AB110" s="487"/>
      <c r="AC110" s="698" t="s">
        <v>47</v>
      </c>
      <c r="AD110" s="699" t="s">
        <v>61</v>
      </c>
      <c r="AE110" s="699" t="s">
        <v>83</v>
      </c>
      <c r="AF110" s="699" t="s">
        <v>214</v>
      </c>
      <c r="AG110" s="699" t="s">
        <v>214</v>
      </c>
      <c r="AI110" s="699" t="s">
        <v>214</v>
      </c>
      <c r="AJ110" s="699"/>
      <c r="AK110" s="699"/>
      <c r="AL110" s="700" t="str">
        <f t="shared" si="8"/>
        <v>$U$110:$AC$110</v>
      </c>
      <c r="AM110" s="487"/>
      <c r="AN110" s="487"/>
      <c r="AO110" s="487"/>
      <c r="AP110" s="487"/>
      <c r="AQ110" s="487"/>
      <c r="AR110" s="487"/>
      <c r="AS110" s="487"/>
      <c r="AT110" s="487"/>
      <c r="AU110" s="487"/>
      <c r="AV110" s="487"/>
      <c r="AW110" s="487"/>
      <c r="AX110" s="487"/>
      <c r="AY110" s="487"/>
      <c r="AZ110" s="487"/>
      <c r="BA110" s="487"/>
      <c r="BC110" s="679"/>
      <c r="BD110" s="679"/>
      <c r="BE110" s="679"/>
    </row>
    <row r="111" spans="2:57" ht="13.5" hidden="1" thickBot="1">
      <c r="B111" s="721" t="s">
        <v>46</v>
      </c>
      <c r="C111" s="760" t="str">
        <f t="shared" si="1"/>
        <v>Diesel</v>
      </c>
      <c r="D111" s="948"/>
      <c r="E111" s="768" t="str">
        <f t="shared" si="9"/>
        <v>Gallon</v>
      </c>
      <c r="G111" s="772"/>
      <c r="H111" s="722"/>
      <c r="I111" s="723"/>
      <c r="T111" s="724">
        <f t="shared" si="2"/>
        <v>10.15</v>
      </c>
      <c r="U111" s="725">
        <f t="shared" si="3"/>
        <v>0</v>
      </c>
      <c r="V111" s="487"/>
      <c r="W111" s="726">
        <f t="shared" si="4"/>
        <v>0</v>
      </c>
      <c r="X111" s="727">
        <f t="shared" si="5"/>
        <v>0</v>
      </c>
      <c r="Y111" s="727">
        <f t="shared" si="6"/>
        <v>0</v>
      </c>
      <c r="Z111" s="727">
        <f t="shared" si="10"/>
        <v>0</v>
      </c>
      <c r="AA111" s="725">
        <f t="shared" si="7"/>
        <v>0</v>
      </c>
      <c r="AB111" s="487"/>
      <c r="AC111" s="728" t="s">
        <v>46</v>
      </c>
      <c r="AD111" s="729" t="s">
        <v>61</v>
      </c>
      <c r="AE111" s="729" t="s">
        <v>75</v>
      </c>
      <c r="AF111" s="729" t="s">
        <v>69</v>
      </c>
      <c r="AG111" s="729" t="s">
        <v>819</v>
      </c>
      <c r="AH111" s="729"/>
      <c r="AI111" s="729" t="s">
        <v>214</v>
      </c>
      <c r="AJ111" s="729"/>
      <c r="AK111" s="729"/>
      <c r="AL111" s="730" t="str">
        <f t="shared" si="8"/>
        <v>$U$111:$AC$111</v>
      </c>
      <c r="AM111" s="785" t="s">
        <v>781</v>
      </c>
      <c r="AN111" s="487"/>
      <c r="AO111" s="487"/>
      <c r="AP111" s="487"/>
      <c r="AQ111" s="487"/>
      <c r="AR111" s="487"/>
      <c r="AS111" s="487"/>
      <c r="AT111" s="487"/>
      <c r="AU111" s="487"/>
      <c r="AV111" s="487"/>
      <c r="AW111" s="487"/>
      <c r="AX111" s="487"/>
      <c r="AY111" s="487"/>
      <c r="AZ111" s="487"/>
      <c r="BA111" s="487"/>
      <c r="BC111" s="679"/>
      <c r="BD111" s="679"/>
      <c r="BE111" s="679"/>
    </row>
    <row r="112" spans="2:57" s="487" customFormat="1" ht="12.75" hidden="1">
      <c r="B112" s="489"/>
      <c r="C112" s="489"/>
      <c r="D112" s="489"/>
      <c r="F112" s="489"/>
      <c r="G112" s="489"/>
      <c r="H112" s="489"/>
      <c r="T112" s="731" t="s">
        <v>231</v>
      </c>
      <c r="U112" s="663">
        <f>SUM(U76:U111)</f>
        <v>0</v>
      </c>
      <c r="Z112" s="731" t="s">
        <v>236</v>
      </c>
      <c r="AA112" s="663">
        <f>SUM(AA76:AA111)</f>
        <v>0</v>
      </c>
      <c r="BC112" s="717"/>
      <c r="BD112" s="717"/>
      <c r="BE112" s="717"/>
    </row>
    <row r="113" spans="2:57" s="487" customFormat="1" ht="12.75" hidden="1">
      <c r="B113" s="309" t="s">
        <v>818</v>
      </c>
      <c r="C113" s="367"/>
      <c r="D113" s="367"/>
      <c r="E113" s="367"/>
      <c r="F113" s="489"/>
      <c r="G113" s="309" t="s">
        <v>790</v>
      </c>
      <c r="H113" s="367"/>
      <c r="I113" s="367"/>
      <c r="J113" s="367"/>
      <c r="BC113" s="717"/>
      <c r="BD113" s="717"/>
      <c r="BE113" s="717"/>
    </row>
    <row r="114" spans="2:54" ht="12.75" hidden="1">
      <c r="B114" s="309" t="s">
        <v>817</v>
      </c>
      <c r="C114" s="367"/>
      <c r="D114" s="367"/>
      <c r="E114" s="367"/>
      <c r="G114" s="309" t="s">
        <v>643</v>
      </c>
      <c r="H114" s="367"/>
      <c r="I114" s="367"/>
      <c r="J114" s="367"/>
      <c r="S114" s="487"/>
      <c r="AR114" s="505"/>
      <c r="AS114" s="505"/>
      <c r="AT114" s="487"/>
      <c r="AU114" s="487"/>
      <c r="AV114" s="487"/>
      <c r="AW114" s="487"/>
      <c r="AX114" s="487"/>
      <c r="AY114" s="487"/>
      <c r="AZ114" s="487"/>
      <c r="BA114" s="487"/>
      <c r="BB114" s="487"/>
    </row>
    <row r="115" spans="19:54" ht="12.75" hidden="1">
      <c r="S115" s="487"/>
      <c r="AR115" s="505"/>
      <c r="AS115" s="505"/>
      <c r="AT115" s="487"/>
      <c r="AU115" s="487"/>
      <c r="AV115" s="487"/>
      <c r="AW115" s="487"/>
      <c r="AX115" s="487"/>
      <c r="AY115" s="487"/>
      <c r="AZ115" s="487"/>
      <c r="BA115" s="487"/>
      <c r="BB115" s="487"/>
    </row>
    <row r="116" spans="2:53" ht="12.75" hidden="1">
      <c r="B116" s="309" t="s">
        <v>795</v>
      </c>
      <c r="C116" s="367"/>
      <c r="D116" s="367"/>
      <c r="E116" s="367"/>
      <c r="F116" s="789"/>
      <c r="S116" s="505"/>
      <c r="AR116" s="505"/>
      <c r="AS116" s="487"/>
      <c r="AT116" s="487"/>
      <c r="AU116" s="487"/>
      <c r="AV116" s="487"/>
      <c r="AW116" s="487"/>
      <c r="AX116" s="487"/>
      <c r="AY116" s="487"/>
      <c r="AZ116" s="487"/>
      <c r="BA116" s="487"/>
    </row>
    <row r="117" spans="2:53" ht="12.75" hidden="1">
      <c r="B117" s="309" t="s">
        <v>796</v>
      </c>
      <c r="C117" s="367"/>
      <c r="D117" s="367"/>
      <c r="E117" s="367"/>
      <c r="F117" s="789"/>
      <c r="AR117" s="487"/>
      <c r="AS117" s="487"/>
      <c r="AT117" s="487"/>
      <c r="AU117" s="487"/>
      <c r="AV117" s="487"/>
      <c r="AW117" s="487"/>
      <c r="AX117" s="487"/>
      <c r="AY117" s="487"/>
      <c r="AZ117" s="487"/>
      <c r="BA117" s="487"/>
    </row>
    <row r="118" spans="44:53" ht="12.75" hidden="1">
      <c r="AR118" s="487"/>
      <c r="AS118" s="487"/>
      <c r="AT118" s="487"/>
      <c r="AU118" s="487"/>
      <c r="AV118" s="487"/>
      <c r="AW118" s="487"/>
      <c r="AX118" s="487"/>
      <c r="AY118" s="487"/>
      <c r="AZ118" s="487"/>
      <c r="BA118" s="487"/>
    </row>
    <row r="119" spans="1:12" s="574" customFormat="1" ht="30" customHeight="1" hidden="1">
      <c r="A119" s="334" t="s">
        <v>910</v>
      </c>
      <c r="B119" s="334"/>
      <c r="C119" s="573"/>
      <c r="D119" s="573"/>
      <c r="E119" s="573"/>
      <c r="F119" s="573"/>
      <c r="G119" s="573"/>
      <c r="H119" s="573"/>
      <c r="I119" s="573"/>
      <c r="J119" s="573"/>
      <c r="K119" s="573"/>
      <c r="L119" s="774"/>
    </row>
    <row r="120" spans="44:53" ht="12.75" hidden="1">
      <c r="AR120" s="487"/>
      <c r="AS120" s="487"/>
      <c r="AT120" s="487"/>
      <c r="AU120" s="487"/>
      <c r="AV120" s="487"/>
      <c r="AW120" s="487"/>
      <c r="AX120" s="487"/>
      <c r="AY120" s="487"/>
      <c r="AZ120" s="487"/>
      <c r="BA120" s="487"/>
    </row>
    <row r="121" spans="2:53" ht="12.75" hidden="1">
      <c r="B121" s="602" t="s">
        <v>2</v>
      </c>
      <c r="J121" s="508" t="s">
        <v>776</v>
      </c>
      <c r="AR121" s="487"/>
      <c r="AS121" s="487"/>
      <c r="AT121" s="487"/>
      <c r="AU121" s="487"/>
      <c r="AV121" s="487"/>
      <c r="AW121" s="487"/>
      <c r="AX121" s="487"/>
      <c r="AY121" s="487"/>
      <c r="AZ121" s="487"/>
      <c r="BA121" s="487"/>
    </row>
    <row r="122" spans="2:53" ht="12.75" hidden="1">
      <c r="B122" s="576" t="s">
        <v>3</v>
      </c>
      <c r="J122" s="602" t="s">
        <v>777</v>
      </c>
      <c r="AR122" s="487"/>
      <c r="AS122" s="487"/>
      <c r="AT122" s="487"/>
      <c r="AU122" s="487"/>
      <c r="AV122" s="487"/>
      <c r="AW122" s="487"/>
      <c r="AX122" s="487"/>
      <c r="AY122" s="487"/>
      <c r="AZ122" s="487"/>
      <c r="BA122" s="487"/>
    </row>
    <row r="123" spans="2:53" ht="12.75" hidden="1">
      <c r="B123" s="576" t="s">
        <v>4</v>
      </c>
      <c r="J123" s="478" t="s">
        <v>0</v>
      </c>
      <c r="AR123" s="487"/>
      <c r="AS123" s="487"/>
      <c r="AT123" s="487"/>
      <c r="AU123" s="487"/>
      <c r="AV123" s="487"/>
      <c r="AW123" s="487"/>
      <c r="AX123" s="487"/>
      <c r="AY123" s="487"/>
      <c r="AZ123" s="487"/>
      <c r="BA123" s="487"/>
    </row>
    <row r="124" spans="2:53" ht="12.75" hidden="1">
      <c r="B124" s="576" t="s">
        <v>911</v>
      </c>
      <c r="J124" s="576" t="s">
        <v>1</v>
      </c>
      <c r="AR124" s="487"/>
      <c r="AS124" s="487"/>
      <c r="AT124" s="487"/>
      <c r="AU124" s="487"/>
      <c r="AV124" s="487"/>
      <c r="AW124" s="487"/>
      <c r="AX124" s="487"/>
      <c r="AY124" s="487"/>
      <c r="AZ124" s="487"/>
      <c r="BA124" s="487"/>
    </row>
    <row r="125" spans="2:53" ht="12.75" hidden="1">
      <c r="B125" s="576" t="s">
        <v>5</v>
      </c>
      <c r="J125" s="576"/>
      <c r="AR125" s="487"/>
      <c r="AS125" s="487"/>
      <c r="AT125" s="487"/>
      <c r="AU125" s="487"/>
      <c r="AV125" s="487"/>
      <c r="AW125" s="487"/>
      <c r="AX125" s="487"/>
      <c r="AY125" s="487"/>
      <c r="AZ125" s="487"/>
      <c r="BA125" s="487"/>
    </row>
    <row r="126" spans="2:53" ht="12.75" hidden="1">
      <c r="B126" s="576"/>
      <c r="J126" s="576"/>
      <c r="AR126" s="487"/>
      <c r="AS126" s="487"/>
      <c r="AT126" s="487"/>
      <c r="AU126" s="487"/>
      <c r="AV126" s="487"/>
      <c r="AW126" s="487"/>
      <c r="AX126" s="487"/>
      <c r="AY126" s="487"/>
      <c r="AZ126" s="487"/>
      <c r="BA126" s="487"/>
    </row>
    <row r="127" spans="2:53" ht="12.75" hidden="1">
      <c r="B127" s="576" t="s">
        <v>6</v>
      </c>
      <c r="J127" s="576"/>
      <c r="AR127" s="487"/>
      <c r="AS127" s="487"/>
      <c r="AT127" s="487"/>
      <c r="AU127" s="487"/>
      <c r="AV127" s="487"/>
      <c r="AW127" s="487"/>
      <c r="AX127" s="487"/>
      <c r="AY127" s="487"/>
      <c r="AZ127" s="487"/>
      <c r="BA127" s="487"/>
    </row>
    <row r="128" spans="2:53" ht="12.75" hidden="1">
      <c r="B128" s="576" t="s">
        <v>7</v>
      </c>
      <c r="J128" s="576"/>
      <c r="AR128" s="487"/>
      <c r="AS128" s="487"/>
      <c r="AT128" s="487"/>
      <c r="AU128" s="487"/>
      <c r="AV128" s="487"/>
      <c r="AW128" s="487"/>
      <c r="AX128" s="487"/>
      <c r="AY128" s="487"/>
      <c r="AZ128" s="487"/>
      <c r="BA128" s="487"/>
    </row>
    <row r="129" spans="2:53" ht="12.75" hidden="1">
      <c r="B129" s="576" t="s">
        <v>8</v>
      </c>
      <c r="J129" s="576"/>
      <c r="AR129" s="487"/>
      <c r="AS129" s="487"/>
      <c r="AT129" s="487"/>
      <c r="AU129" s="487"/>
      <c r="AV129" s="487"/>
      <c r="AW129" s="487"/>
      <c r="AX129" s="487"/>
      <c r="AY129" s="487"/>
      <c r="AZ129" s="487"/>
      <c r="BA129" s="487"/>
    </row>
    <row r="130" spans="2:53" ht="12.75" hidden="1">
      <c r="B130" s="734"/>
      <c r="AR130" s="487"/>
      <c r="AS130" s="487"/>
      <c r="AT130" s="487"/>
      <c r="AU130" s="487"/>
      <c r="AV130" s="487"/>
      <c r="AW130" s="487"/>
      <c r="AX130" s="487"/>
      <c r="AY130" s="487"/>
      <c r="AZ130" s="487"/>
      <c r="BA130" s="487"/>
    </row>
    <row r="131" spans="44:53" ht="13.5" hidden="1" thickBot="1">
      <c r="AR131" s="487"/>
      <c r="AS131" s="487"/>
      <c r="AT131" s="487"/>
      <c r="AU131" s="487"/>
      <c r="AV131" s="487"/>
      <c r="AW131" s="487"/>
      <c r="AX131" s="487"/>
      <c r="AY131" s="487"/>
      <c r="AZ131" s="487"/>
      <c r="BA131" s="487"/>
    </row>
    <row r="132" spans="20:53" ht="15.75" customHeight="1" hidden="1" thickBot="1">
      <c r="T132" s="1027" t="s">
        <v>230</v>
      </c>
      <c r="U132" s="1038"/>
      <c r="V132" s="1028"/>
      <c r="W132" s="487"/>
      <c r="X132" s="606" t="s">
        <v>593</v>
      </c>
      <c r="Y132" s="735"/>
      <c r="Z132" s="735"/>
      <c r="AA132" s="735"/>
      <c r="AB132" s="736"/>
      <c r="AR132" s="487"/>
      <c r="AS132" s="487"/>
      <c r="AT132" s="487"/>
      <c r="AU132" s="487"/>
      <c r="AV132" s="487"/>
      <c r="AW132" s="487"/>
      <c r="AX132" s="487"/>
      <c r="AY132" s="487"/>
      <c r="AZ132" s="487"/>
      <c r="BA132" s="487"/>
    </row>
    <row r="133" spans="2:53" ht="15" customHeight="1" hidden="1" thickBot="1">
      <c r="B133" s="776"/>
      <c r="C133" s="675"/>
      <c r="D133" s="675"/>
      <c r="E133" s="675"/>
      <c r="F133" s="675"/>
      <c r="G133" s="675"/>
      <c r="H133" s="765"/>
      <c r="J133" s="987" t="s">
        <v>325</v>
      </c>
      <c r="K133" s="1023"/>
      <c r="L133" s="988"/>
      <c r="T133" s="1029"/>
      <c r="U133" s="1039"/>
      <c r="V133" s="1030"/>
      <c r="W133" s="487"/>
      <c r="X133" s="737"/>
      <c r="Y133" s="738"/>
      <c r="Z133" s="738"/>
      <c r="AA133" s="738"/>
      <c r="AB133" s="739"/>
      <c r="AR133" s="487"/>
      <c r="AS133" s="487"/>
      <c r="AT133" s="487"/>
      <c r="AU133" s="487"/>
      <c r="AV133" s="487"/>
      <c r="AW133" s="487"/>
      <c r="AX133" s="487"/>
      <c r="AY133" s="487"/>
      <c r="AZ133" s="487"/>
      <c r="BA133" s="487"/>
    </row>
    <row r="134" spans="2:53" ht="38.25" hidden="1">
      <c r="B134" s="740" t="s">
        <v>17</v>
      </c>
      <c r="C134" s="741" t="s">
        <v>570</v>
      </c>
      <c r="D134" s="775" t="s">
        <v>778</v>
      </c>
      <c r="E134" s="775" t="s">
        <v>774</v>
      </c>
      <c r="F134" s="741" t="s">
        <v>59</v>
      </c>
      <c r="G134" s="741" t="s">
        <v>48</v>
      </c>
      <c r="H134" s="742" t="s">
        <v>485</v>
      </c>
      <c r="J134" s="740" t="s">
        <v>775</v>
      </c>
      <c r="K134" s="741" t="s">
        <v>97</v>
      </c>
      <c r="L134" s="742" t="s">
        <v>213</v>
      </c>
      <c r="T134" s="683" t="s">
        <v>239</v>
      </c>
      <c r="U134" s="743" t="s">
        <v>240</v>
      </c>
      <c r="V134" s="684" t="s">
        <v>56</v>
      </c>
      <c r="W134" s="487"/>
      <c r="X134" s="683" t="s">
        <v>94</v>
      </c>
      <c r="Y134" s="743" t="s">
        <v>97</v>
      </c>
      <c r="Z134" s="686" t="s">
        <v>213</v>
      </c>
      <c r="AA134" s="743" t="s">
        <v>232</v>
      </c>
      <c r="AB134" s="684" t="s">
        <v>235</v>
      </c>
      <c r="AR134" s="487"/>
      <c r="AS134" s="487"/>
      <c r="AT134" s="487"/>
      <c r="AU134" s="487"/>
      <c r="AV134" s="487"/>
      <c r="AW134" s="487"/>
      <c r="AX134" s="487"/>
      <c r="AY134" s="487"/>
      <c r="AZ134" s="487"/>
      <c r="BA134" s="487"/>
    </row>
    <row r="135" spans="2:53" ht="12.75" hidden="1">
      <c r="B135" s="425" t="s">
        <v>19</v>
      </c>
      <c r="C135" s="759" t="str">
        <f aca="true" t="shared" si="13" ref="C135:C170">VLOOKUP(B135,Popular_Engines,2,FALSE)</f>
        <v>Diesel</v>
      </c>
      <c r="D135" s="949"/>
      <c r="E135" s="949"/>
      <c r="F135" s="950"/>
      <c r="G135" s="947"/>
      <c r="H135" s="767"/>
      <c r="J135" s="770"/>
      <c r="K135" s="695"/>
      <c r="L135" s="672"/>
      <c r="T135" s="696" t="str">
        <f aca="true" t="shared" si="14" ref="T135:T170">IF(C135="","",VLOOKUP(C135,Fuel_Mits,2,FALSE))</f>
        <v>Diesel_Data</v>
      </c>
      <c r="U135" s="744">
        <f aca="true" ca="1" t="shared" si="15" ref="U135:U170">IF(C135="",0,VLOOKUP(B135,INDIRECT(T135),6,FALSE))</f>
        <v>693.6755966051762</v>
      </c>
      <c r="V135" s="697">
        <f aca="true" t="shared" si="16" ref="V135:V170">IF(ISERROR(D135*E135*F135*G135*U135/1000),0,D135*E135*F135*G135*U135/1000)</f>
        <v>0</v>
      </c>
      <c r="W135" s="487"/>
      <c r="X135" s="698">
        <f aca="true" t="shared" si="17" ref="X135:X170">IF(J135="",0,VLOOKUP(J135,Mit_Factors,2,FALSE))</f>
        <v>0</v>
      </c>
      <c r="Y135" s="699">
        <f aca="true" t="shared" si="18" ref="Y135:Y170">IF(K135="Yes",VLOOKUP($Y$134,Mit_Factors,2,FALSE),0)</f>
        <v>0</v>
      </c>
      <c r="Z135" s="699">
        <f aca="true" t="shared" si="19" ref="Z135:Z170">IF(L135="Yes",VLOOKUP(Z$134,Mit_Factors,2,FALSE),0)</f>
        <v>0</v>
      </c>
      <c r="AA135" s="699">
        <f>1-(1-X135)*(1-Y135)*(1-Z135)</f>
        <v>0</v>
      </c>
      <c r="AB135" s="745">
        <f>V135*(1-AA135)</f>
        <v>0</v>
      </c>
      <c r="AR135" s="487"/>
      <c r="AS135" s="487"/>
      <c r="AT135" s="487"/>
      <c r="AU135" s="487"/>
      <c r="AV135" s="487"/>
      <c r="AW135" s="487"/>
      <c r="AX135" s="487"/>
      <c r="AY135" s="487"/>
      <c r="AZ135" s="487"/>
      <c r="BA135" s="487"/>
    </row>
    <row r="136" spans="2:53" ht="12.75" hidden="1">
      <c r="B136" s="425" t="s">
        <v>20</v>
      </c>
      <c r="C136" s="759" t="str">
        <f t="shared" si="13"/>
        <v>Gas 4-Stroke</v>
      </c>
      <c r="D136" s="949"/>
      <c r="E136" s="949"/>
      <c r="F136" s="950"/>
      <c r="G136" s="947"/>
      <c r="H136" s="767"/>
      <c r="J136" s="771"/>
      <c r="K136" s="746"/>
      <c r="L136" s="708"/>
      <c r="T136" s="696" t="str">
        <f t="shared" si="14"/>
        <v>Gas4Str_Data</v>
      </c>
      <c r="U136" s="744">
        <f ca="1" t="shared" si="15"/>
        <v>1147.905394100519</v>
      </c>
      <c r="V136" s="697">
        <f t="shared" si="16"/>
        <v>0</v>
      </c>
      <c r="W136" s="487"/>
      <c r="X136" s="698">
        <f t="shared" si="17"/>
        <v>0</v>
      </c>
      <c r="Y136" s="699">
        <f t="shared" si="18"/>
        <v>0</v>
      </c>
      <c r="Z136" s="699">
        <f t="shared" si="19"/>
        <v>0</v>
      </c>
      <c r="AA136" s="699">
        <f aca="true" t="shared" si="20" ref="AA136:AA170">1-(1-X136)*(1-Y136)*(1-Z136)</f>
        <v>0</v>
      </c>
      <c r="AB136" s="745">
        <f aca="true" t="shared" si="21" ref="AB136:AB170">V136*(1-AA136)</f>
        <v>0</v>
      </c>
      <c r="AR136" s="487"/>
      <c r="AS136" s="487"/>
      <c r="AT136" s="487"/>
      <c r="AU136" s="487"/>
      <c r="AV136" s="487"/>
      <c r="AW136" s="487"/>
      <c r="AX136" s="487"/>
      <c r="AY136" s="487"/>
      <c r="AZ136" s="487"/>
      <c r="BA136" s="487"/>
    </row>
    <row r="137" spans="2:53" ht="12.75" hidden="1">
      <c r="B137" s="425" t="s">
        <v>21</v>
      </c>
      <c r="C137" s="759" t="str">
        <f t="shared" si="13"/>
        <v>Gas 4-Stroke</v>
      </c>
      <c r="D137" s="949"/>
      <c r="E137" s="949"/>
      <c r="F137" s="950"/>
      <c r="G137" s="947"/>
      <c r="H137" s="767"/>
      <c r="J137" s="771"/>
      <c r="K137" s="746"/>
      <c r="L137" s="708"/>
      <c r="T137" s="696" t="str">
        <f t="shared" si="14"/>
        <v>Gas4Str_Data</v>
      </c>
      <c r="U137" s="744">
        <f ca="1" t="shared" si="15"/>
        <v>1142.6475798709848</v>
      </c>
      <c r="V137" s="697">
        <f t="shared" si="16"/>
        <v>0</v>
      </c>
      <c r="W137" s="487"/>
      <c r="X137" s="698">
        <f t="shared" si="17"/>
        <v>0</v>
      </c>
      <c r="Y137" s="699">
        <f t="shared" si="18"/>
        <v>0</v>
      </c>
      <c r="Z137" s="699">
        <f t="shared" si="19"/>
        <v>0</v>
      </c>
      <c r="AA137" s="699">
        <f t="shared" si="20"/>
        <v>0</v>
      </c>
      <c r="AB137" s="745">
        <f t="shared" si="21"/>
        <v>0</v>
      </c>
      <c r="AR137" s="487"/>
      <c r="AS137" s="487"/>
      <c r="AT137" s="487"/>
      <c r="AU137" s="487"/>
      <c r="AV137" s="487"/>
      <c r="AW137" s="487"/>
      <c r="AX137" s="487"/>
      <c r="AY137" s="487"/>
      <c r="AZ137" s="487"/>
      <c r="BA137" s="487"/>
    </row>
    <row r="138" spans="2:53" ht="12.75" hidden="1">
      <c r="B138" s="425" t="s">
        <v>22</v>
      </c>
      <c r="C138" s="759" t="str">
        <f t="shared" si="13"/>
        <v>Gas 4-Stroke</v>
      </c>
      <c r="D138" s="949"/>
      <c r="E138" s="949"/>
      <c r="F138" s="950"/>
      <c r="G138" s="947"/>
      <c r="H138" s="767"/>
      <c r="J138" s="771"/>
      <c r="K138" s="746"/>
      <c r="L138" s="708"/>
      <c r="T138" s="696" t="str">
        <f t="shared" si="14"/>
        <v>Gas4Str_Data</v>
      </c>
      <c r="U138" s="744">
        <f ca="1" t="shared" si="15"/>
        <v>1184.148259396456</v>
      </c>
      <c r="V138" s="697">
        <f t="shared" si="16"/>
        <v>0</v>
      </c>
      <c r="W138" s="487"/>
      <c r="X138" s="698">
        <f t="shared" si="17"/>
        <v>0</v>
      </c>
      <c r="Y138" s="699">
        <f t="shared" si="18"/>
        <v>0</v>
      </c>
      <c r="Z138" s="699">
        <f t="shared" si="19"/>
        <v>0</v>
      </c>
      <c r="AA138" s="699">
        <f t="shared" si="20"/>
        <v>0</v>
      </c>
      <c r="AB138" s="745">
        <f t="shared" si="21"/>
        <v>0</v>
      </c>
      <c r="AR138" s="487"/>
      <c r="AS138" s="487"/>
      <c r="AT138" s="487"/>
      <c r="AU138" s="487"/>
      <c r="AV138" s="487"/>
      <c r="AW138" s="487"/>
      <c r="AX138" s="487"/>
      <c r="AY138" s="487"/>
      <c r="AZ138" s="487"/>
      <c r="BA138" s="487"/>
    </row>
    <row r="139" spans="2:53" ht="12.75" hidden="1">
      <c r="B139" s="425" t="s">
        <v>23</v>
      </c>
      <c r="C139" s="759" t="str">
        <f t="shared" si="13"/>
        <v>Gas 2-Stroke</v>
      </c>
      <c r="D139" s="949"/>
      <c r="E139" s="949"/>
      <c r="F139" s="950"/>
      <c r="G139" s="947"/>
      <c r="H139" s="767"/>
      <c r="J139" s="771"/>
      <c r="K139" s="746"/>
      <c r="L139" s="708"/>
      <c r="T139" s="696" t="str">
        <f t="shared" si="14"/>
        <v>Gas2Str_Data</v>
      </c>
      <c r="U139" s="744">
        <f ca="1" t="shared" si="15"/>
        <v>800.4233032125845</v>
      </c>
      <c r="V139" s="697">
        <f t="shared" si="16"/>
        <v>0</v>
      </c>
      <c r="W139" s="487"/>
      <c r="X139" s="698">
        <f t="shared" si="17"/>
        <v>0</v>
      </c>
      <c r="Y139" s="699">
        <f t="shared" si="18"/>
        <v>0</v>
      </c>
      <c r="Z139" s="699">
        <f t="shared" si="19"/>
        <v>0</v>
      </c>
      <c r="AA139" s="699">
        <f t="shared" si="20"/>
        <v>0</v>
      </c>
      <c r="AB139" s="745">
        <f t="shared" si="21"/>
        <v>0</v>
      </c>
      <c r="AR139" s="487"/>
      <c r="AS139" s="487"/>
      <c r="AT139" s="487"/>
      <c r="AU139" s="487"/>
      <c r="AV139" s="487"/>
      <c r="AW139" s="487"/>
      <c r="AX139" s="487"/>
      <c r="AY139" s="487"/>
      <c r="AZ139" s="487"/>
      <c r="BA139" s="487"/>
    </row>
    <row r="140" spans="2:53" ht="12.75" hidden="1">
      <c r="B140" s="425" t="s">
        <v>24</v>
      </c>
      <c r="C140" s="759" t="str">
        <f t="shared" si="13"/>
        <v>Diesel</v>
      </c>
      <c r="D140" s="949"/>
      <c r="E140" s="949"/>
      <c r="F140" s="950"/>
      <c r="G140" s="947"/>
      <c r="H140" s="767"/>
      <c r="J140" s="771"/>
      <c r="K140" s="746"/>
      <c r="L140" s="708"/>
      <c r="T140" s="696" t="str">
        <f t="shared" si="14"/>
        <v>Diesel_Data</v>
      </c>
      <c r="U140" s="744">
        <f ca="1" t="shared" si="15"/>
        <v>537.6641083096794</v>
      </c>
      <c r="V140" s="697">
        <f t="shared" si="16"/>
        <v>0</v>
      </c>
      <c r="W140" s="487"/>
      <c r="X140" s="698">
        <f t="shared" si="17"/>
        <v>0</v>
      </c>
      <c r="Y140" s="699">
        <f t="shared" si="18"/>
        <v>0</v>
      </c>
      <c r="Z140" s="699">
        <f t="shared" si="19"/>
        <v>0</v>
      </c>
      <c r="AA140" s="699">
        <f t="shared" si="20"/>
        <v>0</v>
      </c>
      <c r="AB140" s="745">
        <f t="shared" si="21"/>
        <v>0</v>
      </c>
      <c r="AR140" s="487"/>
      <c r="AS140" s="487"/>
      <c r="AT140" s="487"/>
      <c r="AU140" s="487"/>
      <c r="AV140" s="487"/>
      <c r="AW140" s="487"/>
      <c r="AX140" s="487"/>
      <c r="AY140" s="487"/>
      <c r="AZ140" s="487"/>
      <c r="BA140" s="487"/>
    </row>
    <row r="141" spans="2:53" ht="12.75" hidden="1">
      <c r="B141" s="425" t="s">
        <v>25</v>
      </c>
      <c r="C141" s="759" t="str">
        <f t="shared" si="13"/>
        <v>Diesel</v>
      </c>
      <c r="D141" s="949"/>
      <c r="E141" s="949"/>
      <c r="F141" s="950"/>
      <c r="G141" s="947"/>
      <c r="H141" s="767"/>
      <c r="J141" s="771"/>
      <c r="K141" s="746"/>
      <c r="L141" s="708"/>
      <c r="T141" s="696" t="str">
        <f t="shared" si="14"/>
        <v>Diesel_Data</v>
      </c>
      <c r="U141" s="744">
        <f ca="1" t="shared" si="15"/>
        <v>534.7205607443332</v>
      </c>
      <c r="V141" s="697">
        <f t="shared" si="16"/>
        <v>0</v>
      </c>
      <c r="W141" s="487"/>
      <c r="X141" s="698">
        <f t="shared" si="17"/>
        <v>0</v>
      </c>
      <c r="Y141" s="699">
        <f t="shared" si="18"/>
        <v>0</v>
      </c>
      <c r="Z141" s="699">
        <f t="shared" si="19"/>
        <v>0</v>
      </c>
      <c r="AA141" s="699">
        <f t="shared" si="20"/>
        <v>0</v>
      </c>
      <c r="AB141" s="745">
        <f t="shared" si="21"/>
        <v>0</v>
      </c>
      <c r="AR141" s="487"/>
      <c r="AS141" s="487"/>
      <c r="AT141" s="487"/>
      <c r="AU141" s="487"/>
      <c r="AV141" s="487"/>
      <c r="AW141" s="487"/>
      <c r="AX141" s="487"/>
      <c r="AY141" s="487"/>
      <c r="AZ141" s="487"/>
      <c r="BA141" s="487"/>
    </row>
    <row r="142" spans="2:53" ht="12.75" hidden="1">
      <c r="B142" s="425" t="s">
        <v>26</v>
      </c>
      <c r="C142" s="759" t="str">
        <f t="shared" si="13"/>
        <v>Gas 4-Stroke</v>
      </c>
      <c r="D142" s="949"/>
      <c r="E142" s="949"/>
      <c r="F142" s="950"/>
      <c r="G142" s="947"/>
      <c r="H142" s="767"/>
      <c r="J142" s="771"/>
      <c r="K142" s="746"/>
      <c r="L142" s="708"/>
      <c r="T142" s="696" t="str">
        <f t="shared" si="14"/>
        <v>Gas4Str_Data</v>
      </c>
      <c r="U142" s="744">
        <f ca="1" t="shared" si="15"/>
        <v>1160.6222309666616</v>
      </c>
      <c r="V142" s="697">
        <f t="shared" si="16"/>
        <v>0</v>
      </c>
      <c r="W142" s="487"/>
      <c r="X142" s="698">
        <f t="shared" si="17"/>
        <v>0</v>
      </c>
      <c r="Y142" s="699">
        <f t="shared" si="18"/>
        <v>0</v>
      </c>
      <c r="Z142" s="699">
        <f t="shared" si="19"/>
        <v>0</v>
      </c>
      <c r="AA142" s="699">
        <f t="shared" si="20"/>
        <v>0</v>
      </c>
      <c r="AB142" s="745">
        <f t="shared" si="21"/>
        <v>0</v>
      </c>
      <c r="AR142" s="487"/>
      <c r="AS142" s="487"/>
      <c r="AT142" s="487"/>
      <c r="AU142" s="487"/>
      <c r="AV142" s="487"/>
      <c r="AW142" s="487"/>
      <c r="AX142" s="487"/>
      <c r="AY142" s="487"/>
      <c r="AZ142" s="487"/>
      <c r="BA142" s="487"/>
    </row>
    <row r="143" spans="2:53" ht="12.75" hidden="1">
      <c r="B143" s="425" t="s">
        <v>27</v>
      </c>
      <c r="C143" s="759" t="str">
        <f t="shared" si="13"/>
        <v>Gas 4-Stroke</v>
      </c>
      <c r="D143" s="949"/>
      <c r="E143" s="949"/>
      <c r="F143" s="950"/>
      <c r="G143" s="947"/>
      <c r="H143" s="767"/>
      <c r="J143" s="771"/>
      <c r="K143" s="746"/>
      <c r="L143" s="708"/>
      <c r="T143" s="696" t="str">
        <f t="shared" si="14"/>
        <v>Gas4Str_Data</v>
      </c>
      <c r="U143" s="744">
        <f ca="1" t="shared" si="15"/>
        <v>1185.5134273402994</v>
      </c>
      <c r="V143" s="697">
        <f t="shared" si="16"/>
        <v>0</v>
      </c>
      <c r="W143" s="487"/>
      <c r="X143" s="698">
        <f t="shared" si="17"/>
        <v>0</v>
      </c>
      <c r="Y143" s="699">
        <f t="shared" si="18"/>
        <v>0</v>
      </c>
      <c r="Z143" s="699">
        <f t="shared" si="19"/>
        <v>0</v>
      </c>
      <c r="AA143" s="699">
        <f t="shared" si="20"/>
        <v>0</v>
      </c>
      <c r="AB143" s="745">
        <f t="shared" si="21"/>
        <v>0</v>
      </c>
      <c r="AR143" s="487"/>
      <c r="AS143" s="487"/>
      <c r="AT143" s="487"/>
      <c r="AU143" s="487"/>
      <c r="AV143" s="487"/>
      <c r="AW143" s="487"/>
      <c r="AX143" s="487"/>
      <c r="AY143" s="487"/>
      <c r="AZ143" s="487"/>
      <c r="BA143" s="487"/>
    </row>
    <row r="144" spans="2:53" ht="12.75" hidden="1">
      <c r="B144" s="425" t="s">
        <v>28</v>
      </c>
      <c r="C144" s="759" t="str">
        <f t="shared" si="13"/>
        <v>Diesel</v>
      </c>
      <c r="D144" s="949"/>
      <c r="E144" s="949"/>
      <c r="F144" s="950"/>
      <c r="G144" s="947"/>
      <c r="H144" s="767"/>
      <c r="J144" s="771"/>
      <c r="K144" s="746"/>
      <c r="L144" s="708"/>
      <c r="T144" s="696" t="str">
        <f t="shared" si="14"/>
        <v>Diesel_Data</v>
      </c>
      <c r="U144" s="744">
        <f ca="1" t="shared" si="15"/>
        <v>548.7113976983828</v>
      </c>
      <c r="V144" s="697">
        <f t="shared" si="16"/>
        <v>0</v>
      </c>
      <c r="W144" s="487"/>
      <c r="X144" s="698">
        <f t="shared" si="17"/>
        <v>0</v>
      </c>
      <c r="Y144" s="699">
        <f t="shared" si="18"/>
        <v>0</v>
      </c>
      <c r="Z144" s="699">
        <f t="shared" si="19"/>
        <v>0</v>
      </c>
      <c r="AA144" s="699">
        <f t="shared" si="20"/>
        <v>0</v>
      </c>
      <c r="AB144" s="745">
        <f t="shared" si="21"/>
        <v>0</v>
      </c>
      <c r="AR144" s="487"/>
      <c r="AS144" s="487"/>
      <c r="AT144" s="487"/>
      <c r="AU144" s="487"/>
      <c r="AV144" s="487"/>
      <c r="AW144" s="487"/>
      <c r="AX144" s="487"/>
      <c r="AY144" s="487"/>
      <c r="AZ144" s="487"/>
      <c r="BA144" s="487"/>
    </row>
    <row r="145" spans="2:54" ht="12.75" hidden="1">
      <c r="B145" s="425" t="s">
        <v>29</v>
      </c>
      <c r="C145" s="759" t="str">
        <f t="shared" si="13"/>
        <v>LPG</v>
      </c>
      <c r="D145" s="949"/>
      <c r="E145" s="949"/>
      <c r="F145" s="950"/>
      <c r="G145" s="947"/>
      <c r="H145" s="767"/>
      <c r="J145" s="771"/>
      <c r="K145" s="746"/>
      <c r="L145" s="708"/>
      <c r="T145" s="696" t="str">
        <f t="shared" si="14"/>
        <v>LPG_Data</v>
      </c>
      <c r="U145" s="744">
        <f ca="1" t="shared" si="15"/>
        <v>636.27775936318</v>
      </c>
      <c r="V145" s="697">
        <f t="shared" si="16"/>
        <v>0</v>
      </c>
      <c r="W145" s="487"/>
      <c r="X145" s="698">
        <f t="shared" si="17"/>
        <v>0</v>
      </c>
      <c r="Y145" s="699">
        <f t="shared" si="18"/>
        <v>0</v>
      </c>
      <c r="Z145" s="699">
        <f t="shared" si="19"/>
        <v>0</v>
      </c>
      <c r="AA145" s="699">
        <f t="shared" si="20"/>
        <v>0</v>
      </c>
      <c r="AB145" s="745">
        <f t="shared" si="21"/>
        <v>0</v>
      </c>
      <c r="AR145" s="487"/>
      <c r="AS145" s="487"/>
      <c r="AT145" s="487"/>
      <c r="AU145" s="487"/>
      <c r="AV145" s="487"/>
      <c r="AW145" s="487"/>
      <c r="AX145" s="487"/>
      <c r="AY145" s="487"/>
      <c r="AZ145" s="487"/>
      <c r="BA145" s="487"/>
      <c r="BB145" s="487"/>
    </row>
    <row r="146" spans="2:60" ht="12.75" hidden="1">
      <c r="B146" s="425" t="s">
        <v>11</v>
      </c>
      <c r="C146" s="759" t="str">
        <f t="shared" si="13"/>
        <v>Gas 4-Stroke</v>
      </c>
      <c r="D146" s="949"/>
      <c r="E146" s="949"/>
      <c r="F146" s="950"/>
      <c r="G146" s="947"/>
      <c r="H146" s="767"/>
      <c r="J146" s="771"/>
      <c r="K146" s="746"/>
      <c r="L146" s="708"/>
      <c r="T146" s="696" t="str">
        <f t="shared" si="14"/>
        <v>Gas4Str_Data</v>
      </c>
      <c r="U146" s="744">
        <f ca="1" t="shared" si="15"/>
        <v>1166.377545158188</v>
      </c>
      <c r="V146" s="697">
        <f t="shared" si="16"/>
        <v>0</v>
      </c>
      <c r="W146" s="487"/>
      <c r="X146" s="698">
        <f t="shared" si="17"/>
        <v>0</v>
      </c>
      <c r="Y146" s="699">
        <f t="shared" si="18"/>
        <v>0</v>
      </c>
      <c r="Z146" s="699">
        <f t="shared" si="19"/>
        <v>0</v>
      </c>
      <c r="AA146" s="699">
        <f t="shared" si="20"/>
        <v>0</v>
      </c>
      <c r="AB146" s="745">
        <f t="shared" si="21"/>
        <v>0</v>
      </c>
      <c r="AR146" s="487"/>
      <c r="AS146" s="487"/>
      <c r="AT146" s="487"/>
      <c r="AU146" s="487"/>
      <c r="AV146" s="487"/>
      <c r="AW146" s="487"/>
      <c r="AX146" s="487"/>
      <c r="AY146" s="487"/>
      <c r="AZ146" s="487"/>
      <c r="BA146" s="487"/>
      <c r="BB146" s="487"/>
      <c r="BC146" s="487"/>
      <c r="BD146" s="487"/>
      <c r="BE146" s="487"/>
      <c r="BF146" s="487"/>
      <c r="BG146" s="487"/>
      <c r="BH146" s="487"/>
    </row>
    <row r="147" spans="2:60" ht="12.75" hidden="1">
      <c r="B147" s="425" t="s">
        <v>12</v>
      </c>
      <c r="C147" s="759" t="str">
        <f t="shared" si="13"/>
        <v>Diesel</v>
      </c>
      <c r="D147" s="949"/>
      <c r="E147" s="949"/>
      <c r="F147" s="950"/>
      <c r="G147" s="947"/>
      <c r="H147" s="767"/>
      <c r="J147" s="771"/>
      <c r="K147" s="746"/>
      <c r="L147" s="708"/>
      <c r="T147" s="696" t="str">
        <f t="shared" si="14"/>
        <v>Diesel_Data</v>
      </c>
      <c r="U147" s="744">
        <f ca="1" t="shared" si="15"/>
        <v>536.9185353198637</v>
      </c>
      <c r="V147" s="697">
        <f t="shared" si="16"/>
        <v>0</v>
      </c>
      <c r="W147" s="487"/>
      <c r="X147" s="698">
        <f t="shared" si="17"/>
        <v>0</v>
      </c>
      <c r="Y147" s="699">
        <f t="shared" si="18"/>
        <v>0</v>
      </c>
      <c r="Z147" s="699">
        <f t="shared" si="19"/>
        <v>0</v>
      </c>
      <c r="AA147" s="699">
        <f t="shared" si="20"/>
        <v>0</v>
      </c>
      <c r="AB147" s="745">
        <f t="shared" si="21"/>
        <v>0</v>
      </c>
      <c r="AR147" s="505"/>
      <c r="AS147" s="505"/>
      <c r="AT147" s="487"/>
      <c r="AU147" s="487"/>
      <c r="AV147" s="487"/>
      <c r="AW147" s="487"/>
      <c r="AX147" s="487"/>
      <c r="AY147" s="487"/>
      <c r="AZ147" s="487"/>
      <c r="BA147" s="487"/>
      <c r="BB147" s="487"/>
      <c r="BC147" s="487"/>
      <c r="BD147" s="487"/>
      <c r="BE147" s="487"/>
      <c r="BF147" s="487"/>
      <c r="BG147" s="487"/>
      <c r="BH147" s="487"/>
    </row>
    <row r="148" spans="2:60" ht="12.75" hidden="1">
      <c r="B148" s="425" t="s">
        <v>30</v>
      </c>
      <c r="C148" s="759" t="str">
        <f t="shared" si="13"/>
        <v>Diesel</v>
      </c>
      <c r="D148" s="949"/>
      <c r="E148" s="949"/>
      <c r="F148" s="950"/>
      <c r="G148" s="947"/>
      <c r="H148" s="767"/>
      <c r="J148" s="771"/>
      <c r="K148" s="746"/>
      <c r="L148" s="708"/>
      <c r="T148" s="696" t="str">
        <f t="shared" si="14"/>
        <v>Diesel_Data</v>
      </c>
      <c r="U148" s="744">
        <f ca="1" t="shared" si="15"/>
        <v>534.7205607443332</v>
      </c>
      <c r="V148" s="697">
        <f t="shared" si="16"/>
        <v>0</v>
      </c>
      <c r="W148" s="487"/>
      <c r="X148" s="698">
        <f t="shared" si="17"/>
        <v>0</v>
      </c>
      <c r="Y148" s="699">
        <f t="shared" si="18"/>
        <v>0</v>
      </c>
      <c r="Z148" s="699">
        <f t="shared" si="19"/>
        <v>0</v>
      </c>
      <c r="AA148" s="699">
        <f t="shared" si="20"/>
        <v>0</v>
      </c>
      <c r="AB148" s="745">
        <f t="shared" si="21"/>
        <v>0</v>
      </c>
      <c r="AR148" s="505"/>
      <c r="AS148" s="505"/>
      <c r="AT148" s="487"/>
      <c r="AU148" s="487"/>
      <c r="AV148" s="487"/>
      <c r="AW148" s="487"/>
      <c r="AX148" s="487"/>
      <c r="AY148" s="487"/>
      <c r="AZ148" s="487"/>
      <c r="BA148" s="487"/>
      <c r="BB148" s="487"/>
      <c r="BC148" s="487"/>
      <c r="BD148" s="487"/>
      <c r="BE148" s="487"/>
      <c r="BF148" s="487"/>
      <c r="BG148" s="487"/>
      <c r="BH148" s="487"/>
    </row>
    <row r="149" spans="2:28" ht="12.75" hidden="1">
      <c r="B149" s="425" t="s">
        <v>31</v>
      </c>
      <c r="C149" s="759" t="str">
        <f t="shared" si="13"/>
        <v>Diesel</v>
      </c>
      <c r="D149" s="949"/>
      <c r="E149" s="949"/>
      <c r="F149" s="950"/>
      <c r="G149" s="947"/>
      <c r="H149" s="767"/>
      <c r="J149" s="771"/>
      <c r="K149" s="746"/>
      <c r="L149" s="708"/>
      <c r="T149" s="696" t="str">
        <f t="shared" si="14"/>
        <v>Diesel_Data</v>
      </c>
      <c r="U149" s="744">
        <f ca="1" t="shared" si="15"/>
        <v>534.7205607443332</v>
      </c>
      <c r="V149" s="697">
        <f t="shared" si="16"/>
        <v>0</v>
      </c>
      <c r="W149" s="487"/>
      <c r="X149" s="698">
        <f t="shared" si="17"/>
        <v>0</v>
      </c>
      <c r="Y149" s="699">
        <f t="shared" si="18"/>
        <v>0</v>
      </c>
      <c r="Z149" s="699">
        <f t="shared" si="19"/>
        <v>0</v>
      </c>
      <c r="AA149" s="699">
        <f t="shared" si="20"/>
        <v>0</v>
      </c>
      <c r="AB149" s="745">
        <f t="shared" si="21"/>
        <v>0</v>
      </c>
    </row>
    <row r="150" spans="2:28" ht="12.75" hidden="1">
      <c r="B150" s="425" t="s">
        <v>32</v>
      </c>
      <c r="C150" s="759" t="str">
        <f t="shared" si="13"/>
        <v>Diesel</v>
      </c>
      <c r="D150" s="949"/>
      <c r="E150" s="949"/>
      <c r="F150" s="950"/>
      <c r="G150" s="947"/>
      <c r="H150" s="767"/>
      <c r="J150" s="771"/>
      <c r="K150" s="746"/>
      <c r="L150" s="708"/>
      <c r="T150" s="696" t="str">
        <f t="shared" si="14"/>
        <v>Diesel_Data</v>
      </c>
      <c r="U150" s="744">
        <f ca="1" t="shared" si="15"/>
        <v>541.3561435275172</v>
      </c>
      <c r="V150" s="697">
        <f t="shared" si="16"/>
        <v>0</v>
      </c>
      <c r="W150" s="487"/>
      <c r="X150" s="698">
        <f t="shared" si="17"/>
        <v>0</v>
      </c>
      <c r="Y150" s="699">
        <f t="shared" si="18"/>
        <v>0</v>
      </c>
      <c r="Z150" s="699">
        <f t="shared" si="19"/>
        <v>0</v>
      </c>
      <c r="AA150" s="699">
        <f t="shared" si="20"/>
        <v>0</v>
      </c>
      <c r="AB150" s="745">
        <f t="shared" si="21"/>
        <v>0</v>
      </c>
    </row>
    <row r="151" spans="2:28" ht="12.75" hidden="1">
      <c r="B151" s="425" t="s">
        <v>53</v>
      </c>
      <c r="C151" s="759" t="str">
        <f t="shared" si="13"/>
        <v>Gas 4-Stroke</v>
      </c>
      <c r="D151" s="949"/>
      <c r="E151" s="949"/>
      <c r="F151" s="950"/>
      <c r="G151" s="947"/>
      <c r="H151" s="767"/>
      <c r="J151" s="771"/>
      <c r="K151" s="746"/>
      <c r="L151" s="708"/>
      <c r="T151" s="696" t="str">
        <f t="shared" si="14"/>
        <v>Gas4Str_Data</v>
      </c>
      <c r="U151" s="744">
        <f ca="1" t="shared" si="15"/>
        <v>1184.6480880516322</v>
      </c>
      <c r="V151" s="697">
        <f t="shared" si="16"/>
        <v>0</v>
      </c>
      <c r="W151" s="487"/>
      <c r="X151" s="698">
        <f t="shared" si="17"/>
        <v>0</v>
      </c>
      <c r="Y151" s="699">
        <f t="shared" si="18"/>
        <v>0</v>
      </c>
      <c r="Z151" s="699">
        <f t="shared" si="19"/>
        <v>0</v>
      </c>
      <c r="AA151" s="699">
        <f t="shared" si="20"/>
        <v>0</v>
      </c>
      <c r="AB151" s="745">
        <f t="shared" si="21"/>
        <v>0</v>
      </c>
    </row>
    <row r="152" spans="2:28" ht="12.75" hidden="1">
      <c r="B152" s="425" t="s">
        <v>33</v>
      </c>
      <c r="C152" s="759" t="str">
        <f t="shared" si="13"/>
        <v>Diesel</v>
      </c>
      <c r="D152" s="949"/>
      <c r="E152" s="949"/>
      <c r="F152" s="950"/>
      <c r="G152" s="947"/>
      <c r="H152" s="767"/>
      <c r="J152" s="771"/>
      <c r="K152" s="746"/>
      <c r="L152" s="708"/>
      <c r="T152" s="696" t="str">
        <f t="shared" si="14"/>
        <v>Diesel_Data</v>
      </c>
      <c r="U152" s="744">
        <f ca="1" t="shared" si="15"/>
        <v>653.7701645079047</v>
      </c>
      <c r="V152" s="697">
        <f t="shared" si="16"/>
        <v>0</v>
      </c>
      <c r="W152" s="487"/>
      <c r="X152" s="698">
        <f t="shared" si="17"/>
        <v>0</v>
      </c>
      <c r="Y152" s="699">
        <f t="shared" si="18"/>
        <v>0</v>
      </c>
      <c r="Z152" s="699">
        <f t="shared" si="19"/>
        <v>0</v>
      </c>
      <c r="AA152" s="699">
        <f t="shared" si="20"/>
        <v>0</v>
      </c>
      <c r="AB152" s="745">
        <f t="shared" si="21"/>
        <v>0</v>
      </c>
    </row>
    <row r="153" spans="2:28" ht="12.75" hidden="1">
      <c r="B153" s="425" t="s">
        <v>34</v>
      </c>
      <c r="C153" s="759" t="str">
        <f t="shared" si="13"/>
        <v>Diesel</v>
      </c>
      <c r="D153" s="949"/>
      <c r="E153" s="949"/>
      <c r="F153" s="950"/>
      <c r="G153" s="947"/>
      <c r="H153" s="767"/>
      <c r="J153" s="771"/>
      <c r="K153" s="746"/>
      <c r="L153" s="708"/>
      <c r="T153" s="696" t="str">
        <f t="shared" si="14"/>
        <v>Diesel_Data</v>
      </c>
      <c r="U153" s="744">
        <f ca="1" t="shared" si="15"/>
        <v>563.7145408568256</v>
      </c>
      <c r="V153" s="697">
        <f t="shared" si="16"/>
        <v>0</v>
      </c>
      <c r="W153" s="487"/>
      <c r="X153" s="698">
        <f t="shared" si="17"/>
        <v>0</v>
      </c>
      <c r="Y153" s="699">
        <f t="shared" si="18"/>
        <v>0</v>
      </c>
      <c r="Z153" s="699">
        <f t="shared" si="19"/>
        <v>0</v>
      </c>
      <c r="AA153" s="699">
        <f t="shared" si="20"/>
        <v>0</v>
      </c>
      <c r="AB153" s="745">
        <f t="shared" si="21"/>
        <v>0</v>
      </c>
    </row>
    <row r="154" spans="2:28" ht="12.75" hidden="1">
      <c r="B154" s="425" t="s">
        <v>35</v>
      </c>
      <c r="C154" s="759" t="str">
        <f t="shared" si="13"/>
        <v>Gas 4-Stroke</v>
      </c>
      <c r="D154" s="949"/>
      <c r="E154" s="949"/>
      <c r="F154" s="950"/>
      <c r="G154" s="947"/>
      <c r="H154" s="767"/>
      <c r="J154" s="771"/>
      <c r="K154" s="746"/>
      <c r="L154" s="708"/>
      <c r="T154" s="696" t="str">
        <f t="shared" si="14"/>
        <v>Gas4Str_Data</v>
      </c>
      <c r="U154" s="744">
        <f ca="1" t="shared" si="15"/>
        <v>1171.3840330134192</v>
      </c>
      <c r="V154" s="697">
        <f t="shared" si="16"/>
        <v>0</v>
      </c>
      <c r="W154" s="487"/>
      <c r="X154" s="698">
        <f t="shared" si="17"/>
        <v>0</v>
      </c>
      <c r="Y154" s="699">
        <f t="shared" si="18"/>
        <v>0</v>
      </c>
      <c r="Z154" s="699">
        <f t="shared" si="19"/>
        <v>0</v>
      </c>
      <c r="AA154" s="699">
        <f t="shared" si="20"/>
        <v>0</v>
      </c>
      <c r="AB154" s="745">
        <f t="shared" si="21"/>
        <v>0</v>
      </c>
    </row>
    <row r="155" spans="2:28" ht="12.75" hidden="1">
      <c r="B155" s="425" t="s">
        <v>36</v>
      </c>
      <c r="C155" s="759" t="str">
        <f t="shared" si="13"/>
        <v>Gas 4-Stroke</v>
      </c>
      <c r="D155" s="949"/>
      <c r="E155" s="949"/>
      <c r="F155" s="950"/>
      <c r="G155" s="947"/>
      <c r="H155" s="767"/>
      <c r="J155" s="771"/>
      <c r="K155" s="746"/>
      <c r="L155" s="708"/>
      <c r="T155" s="696" t="str">
        <f t="shared" si="14"/>
        <v>Gas4Str_Data</v>
      </c>
      <c r="U155" s="744">
        <f ca="1" t="shared" si="15"/>
        <v>1192.7117214918387</v>
      </c>
      <c r="V155" s="697">
        <f t="shared" si="16"/>
        <v>0</v>
      </c>
      <c r="W155" s="487"/>
      <c r="X155" s="698">
        <f t="shared" si="17"/>
        <v>0</v>
      </c>
      <c r="Y155" s="699">
        <f t="shared" si="18"/>
        <v>0</v>
      </c>
      <c r="Z155" s="699">
        <f t="shared" si="19"/>
        <v>0</v>
      </c>
      <c r="AA155" s="699">
        <f t="shared" si="20"/>
        <v>0</v>
      </c>
      <c r="AB155" s="745">
        <f t="shared" si="21"/>
        <v>0</v>
      </c>
    </row>
    <row r="156" spans="2:28" ht="12.75" hidden="1">
      <c r="B156" s="425" t="s">
        <v>37</v>
      </c>
      <c r="C156" s="759" t="str">
        <f t="shared" si="13"/>
        <v>Gas 4-Stroke</v>
      </c>
      <c r="D156" s="949"/>
      <c r="E156" s="949"/>
      <c r="F156" s="950"/>
      <c r="G156" s="947"/>
      <c r="H156" s="767"/>
      <c r="J156" s="771"/>
      <c r="K156" s="746"/>
      <c r="L156" s="708"/>
      <c r="T156" s="696" t="str">
        <f t="shared" si="14"/>
        <v>Gas4Str_Data</v>
      </c>
      <c r="U156" s="744">
        <f ca="1" t="shared" si="15"/>
        <v>1181.3590086028835</v>
      </c>
      <c r="V156" s="697">
        <f t="shared" si="16"/>
        <v>0</v>
      </c>
      <c r="W156" s="487"/>
      <c r="X156" s="698">
        <f t="shared" si="17"/>
        <v>0</v>
      </c>
      <c r="Y156" s="699">
        <f t="shared" si="18"/>
        <v>0</v>
      </c>
      <c r="Z156" s="699">
        <f t="shared" si="19"/>
        <v>0</v>
      </c>
      <c r="AA156" s="699">
        <f t="shared" si="20"/>
        <v>0</v>
      </c>
      <c r="AB156" s="745">
        <f t="shared" si="21"/>
        <v>0</v>
      </c>
    </row>
    <row r="157" spans="2:28" ht="15" customHeight="1" hidden="1">
      <c r="B157" s="425" t="s">
        <v>38</v>
      </c>
      <c r="C157" s="759" t="str">
        <f t="shared" si="13"/>
        <v>Gas 4-Stroke</v>
      </c>
      <c r="D157" s="949"/>
      <c r="E157" s="949"/>
      <c r="F157" s="950"/>
      <c r="G157" s="947"/>
      <c r="H157" s="767"/>
      <c r="J157" s="771"/>
      <c r="K157" s="746"/>
      <c r="L157" s="708"/>
      <c r="T157" s="696" t="str">
        <f t="shared" si="14"/>
        <v>Gas4Str_Data</v>
      </c>
      <c r="U157" s="744">
        <f ca="1" t="shared" si="15"/>
        <v>1172.0935959319859</v>
      </c>
      <c r="V157" s="697">
        <f t="shared" si="16"/>
        <v>0</v>
      </c>
      <c r="W157" s="487"/>
      <c r="X157" s="698">
        <f t="shared" si="17"/>
        <v>0</v>
      </c>
      <c r="Y157" s="699">
        <f t="shared" si="18"/>
        <v>0</v>
      </c>
      <c r="Z157" s="699">
        <f t="shared" si="19"/>
        <v>0</v>
      </c>
      <c r="AA157" s="699">
        <f t="shared" si="20"/>
        <v>0</v>
      </c>
      <c r="AB157" s="745">
        <f t="shared" si="21"/>
        <v>0</v>
      </c>
    </row>
    <row r="158" spans="2:28" ht="12.75" hidden="1">
      <c r="B158" s="425" t="s">
        <v>13</v>
      </c>
      <c r="C158" s="759" t="str">
        <f t="shared" si="13"/>
        <v>Diesel</v>
      </c>
      <c r="D158" s="949"/>
      <c r="E158" s="949"/>
      <c r="F158" s="950"/>
      <c r="G158" s="947"/>
      <c r="H158" s="767"/>
      <c r="J158" s="771"/>
      <c r="K158" s="746"/>
      <c r="L158" s="708"/>
      <c r="T158" s="696" t="str">
        <f t="shared" si="14"/>
        <v>Diesel_Data</v>
      </c>
      <c r="U158" s="744">
        <f ca="1" t="shared" si="15"/>
        <v>574.2679142816014</v>
      </c>
      <c r="V158" s="697">
        <f t="shared" si="16"/>
        <v>0</v>
      </c>
      <c r="W158" s="487"/>
      <c r="X158" s="698">
        <f t="shared" si="17"/>
        <v>0</v>
      </c>
      <c r="Y158" s="699">
        <f t="shared" si="18"/>
        <v>0</v>
      </c>
      <c r="Z158" s="699">
        <f t="shared" si="19"/>
        <v>0</v>
      </c>
      <c r="AA158" s="699">
        <f t="shared" si="20"/>
        <v>0</v>
      </c>
      <c r="AB158" s="745">
        <f t="shared" si="21"/>
        <v>0</v>
      </c>
    </row>
    <row r="159" spans="2:28" ht="12.75" hidden="1">
      <c r="B159" s="425" t="s">
        <v>39</v>
      </c>
      <c r="C159" s="759" t="str">
        <f t="shared" si="13"/>
        <v>Diesel</v>
      </c>
      <c r="D159" s="949"/>
      <c r="E159" s="949"/>
      <c r="F159" s="950"/>
      <c r="G159" s="947"/>
      <c r="H159" s="767"/>
      <c r="J159" s="771"/>
      <c r="K159" s="746"/>
      <c r="L159" s="708"/>
      <c r="T159" s="696" t="str">
        <f t="shared" si="14"/>
        <v>Diesel_Data</v>
      </c>
      <c r="U159" s="744">
        <f ca="1" t="shared" si="15"/>
        <v>576.867328927983</v>
      </c>
      <c r="V159" s="697">
        <f t="shared" si="16"/>
        <v>0</v>
      </c>
      <c r="W159" s="487"/>
      <c r="X159" s="698">
        <f t="shared" si="17"/>
        <v>0</v>
      </c>
      <c r="Y159" s="699">
        <f t="shared" si="18"/>
        <v>0</v>
      </c>
      <c r="Z159" s="699">
        <f t="shared" si="19"/>
        <v>0</v>
      </c>
      <c r="AA159" s="699">
        <f t="shared" si="20"/>
        <v>0</v>
      </c>
      <c r="AB159" s="745">
        <f t="shared" si="21"/>
        <v>0</v>
      </c>
    </row>
    <row r="160" spans="2:28" ht="12.75" hidden="1">
      <c r="B160" s="425" t="s">
        <v>40</v>
      </c>
      <c r="C160" s="759" t="str">
        <f t="shared" si="13"/>
        <v>Diesel</v>
      </c>
      <c r="D160" s="949"/>
      <c r="E160" s="949"/>
      <c r="F160" s="950"/>
      <c r="G160" s="947"/>
      <c r="H160" s="767"/>
      <c r="J160" s="771"/>
      <c r="K160" s="746"/>
      <c r="L160" s="708"/>
      <c r="T160" s="696" t="str">
        <f t="shared" si="14"/>
        <v>Diesel_Data</v>
      </c>
      <c r="U160" s="744">
        <f ca="1" t="shared" si="15"/>
        <v>547.3533955282948</v>
      </c>
      <c r="V160" s="697">
        <f t="shared" si="16"/>
        <v>0</v>
      </c>
      <c r="W160" s="487"/>
      <c r="X160" s="698">
        <f t="shared" si="17"/>
        <v>0</v>
      </c>
      <c r="Y160" s="699">
        <f t="shared" si="18"/>
        <v>0</v>
      </c>
      <c r="Z160" s="699">
        <f t="shared" si="19"/>
        <v>0</v>
      </c>
      <c r="AA160" s="699">
        <f t="shared" si="20"/>
        <v>0</v>
      </c>
      <c r="AB160" s="745">
        <f t="shared" si="21"/>
        <v>0</v>
      </c>
    </row>
    <row r="161" spans="2:28" ht="13.5" hidden="1" thickBot="1">
      <c r="B161" s="425" t="s">
        <v>14</v>
      </c>
      <c r="C161" s="759" t="str">
        <f t="shared" si="13"/>
        <v>Diesel</v>
      </c>
      <c r="D161" s="949"/>
      <c r="E161" s="949"/>
      <c r="F161" s="950"/>
      <c r="G161" s="947"/>
      <c r="H161" s="767"/>
      <c r="J161" s="771"/>
      <c r="K161" s="746"/>
      <c r="L161" s="708"/>
      <c r="T161" s="696" t="str">
        <f t="shared" si="14"/>
        <v>Diesel_Data</v>
      </c>
      <c r="U161" s="744">
        <f ca="1" t="shared" si="15"/>
        <v>547.3533955282948</v>
      </c>
      <c r="V161" s="697">
        <f t="shared" si="16"/>
        <v>0</v>
      </c>
      <c r="W161" s="487"/>
      <c r="X161" s="698">
        <f t="shared" si="17"/>
        <v>0</v>
      </c>
      <c r="Y161" s="699">
        <f t="shared" si="18"/>
        <v>0</v>
      </c>
      <c r="Z161" s="699">
        <f t="shared" si="19"/>
        <v>0</v>
      </c>
      <c r="AA161" s="699">
        <f t="shared" si="20"/>
        <v>0</v>
      </c>
      <c r="AB161" s="745">
        <f t="shared" si="21"/>
        <v>0</v>
      </c>
    </row>
    <row r="162" spans="2:34" ht="13.5" hidden="1" thickBot="1">
      <c r="B162" s="425" t="s">
        <v>15</v>
      </c>
      <c r="C162" s="759" t="str">
        <f t="shared" si="13"/>
        <v>Diesel</v>
      </c>
      <c r="D162" s="949"/>
      <c r="E162" s="949"/>
      <c r="F162" s="950"/>
      <c r="G162" s="947"/>
      <c r="H162" s="767"/>
      <c r="J162" s="771"/>
      <c r="K162" s="746"/>
      <c r="L162" s="708"/>
      <c r="T162" s="696" t="str">
        <f t="shared" si="14"/>
        <v>Diesel_Data</v>
      </c>
      <c r="U162" s="744">
        <f ca="1" t="shared" si="15"/>
        <v>534.7487767720812</v>
      </c>
      <c r="V162" s="697">
        <f t="shared" si="16"/>
        <v>0</v>
      </c>
      <c r="W162" s="487"/>
      <c r="X162" s="698">
        <f t="shared" si="17"/>
        <v>0</v>
      </c>
      <c r="Y162" s="699">
        <f t="shared" si="18"/>
        <v>0</v>
      </c>
      <c r="Z162" s="699">
        <f t="shared" si="19"/>
        <v>0</v>
      </c>
      <c r="AA162" s="699">
        <f t="shared" si="20"/>
        <v>0</v>
      </c>
      <c r="AB162" s="745">
        <f t="shared" si="21"/>
        <v>0</v>
      </c>
      <c r="AD162" s="1034" t="s">
        <v>601</v>
      </c>
      <c r="AE162" s="1035"/>
      <c r="AG162" s="487"/>
      <c r="AH162" s="487"/>
    </row>
    <row r="163" spans="2:34" ht="12.75" hidden="1">
      <c r="B163" s="425" t="s">
        <v>41</v>
      </c>
      <c r="C163" s="759" t="str">
        <f t="shared" si="13"/>
        <v>Diesel</v>
      </c>
      <c r="D163" s="949"/>
      <c r="E163" s="949"/>
      <c r="F163" s="950"/>
      <c r="G163" s="947"/>
      <c r="H163" s="767"/>
      <c r="J163" s="771"/>
      <c r="K163" s="746"/>
      <c r="L163" s="708"/>
      <c r="T163" s="696" t="str">
        <f t="shared" si="14"/>
        <v>Diesel_Data</v>
      </c>
      <c r="U163" s="744">
        <f ca="1" t="shared" si="15"/>
        <v>587.0087103621247</v>
      </c>
      <c r="V163" s="697">
        <f t="shared" si="16"/>
        <v>0</v>
      </c>
      <c r="W163" s="487"/>
      <c r="X163" s="698">
        <f t="shared" si="17"/>
        <v>0</v>
      </c>
      <c r="Y163" s="699">
        <f t="shared" si="18"/>
        <v>0</v>
      </c>
      <c r="Z163" s="699">
        <f t="shared" si="19"/>
        <v>0</v>
      </c>
      <c r="AA163" s="699">
        <f t="shared" si="20"/>
        <v>0</v>
      </c>
      <c r="AB163" s="745">
        <f t="shared" si="21"/>
        <v>0</v>
      </c>
      <c r="AD163" s="425" t="s">
        <v>95</v>
      </c>
      <c r="AE163" s="732">
        <f>V171</f>
        <v>0</v>
      </c>
      <c r="AG163" s="487"/>
      <c r="AH163" s="487"/>
    </row>
    <row r="164" spans="2:34" ht="13.5" hidden="1" thickBot="1">
      <c r="B164" s="425" t="s">
        <v>42</v>
      </c>
      <c r="C164" s="759" t="str">
        <f t="shared" si="13"/>
        <v>Diesel</v>
      </c>
      <c r="D164" s="949"/>
      <c r="E164" s="949"/>
      <c r="F164" s="950"/>
      <c r="G164" s="947"/>
      <c r="H164" s="767"/>
      <c r="J164" s="771"/>
      <c r="K164" s="746"/>
      <c r="L164" s="708"/>
      <c r="T164" s="696" t="str">
        <f t="shared" si="14"/>
        <v>Diesel_Data</v>
      </c>
      <c r="U164" s="744">
        <f ca="1" t="shared" si="15"/>
        <v>693.6888337996006</v>
      </c>
      <c r="V164" s="697">
        <f t="shared" si="16"/>
        <v>0</v>
      </c>
      <c r="W164" s="487"/>
      <c r="X164" s="698">
        <f t="shared" si="17"/>
        <v>0</v>
      </c>
      <c r="Y164" s="699">
        <f t="shared" si="18"/>
        <v>0</v>
      </c>
      <c r="Z164" s="699">
        <f t="shared" si="19"/>
        <v>0</v>
      </c>
      <c r="AA164" s="699">
        <f t="shared" si="20"/>
        <v>0</v>
      </c>
      <c r="AB164" s="745">
        <f t="shared" si="21"/>
        <v>0</v>
      </c>
      <c r="AD164" s="426" t="s">
        <v>96</v>
      </c>
      <c r="AE164" s="733">
        <f>AB171</f>
        <v>0</v>
      </c>
      <c r="AG164" s="487"/>
      <c r="AH164" s="487"/>
    </row>
    <row r="165" spans="2:34" ht="12.75" hidden="1">
      <c r="B165" s="425" t="s">
        <v>43</v>
      </c>
      <c r="C165" s="759" t="str">
        <f t="shared" si="13"/>
        <v>Gas 4-Stroke</v>
      </c>
      <c r="D165" s="949"/>
      <c r="E165" s="949"/>
      <c r="F165" s="950"/>
      <c r="G165" s="947"/>
      <c r="H165" s="767"/>
      <c r="J165" s="771"/>
      <c r="K165" s="746"/>
      <c r="L165" s="708"/>
      <c r="T165" s="696" t="str">
        <f t="shared" si="14"/>
        <v>Gas4Str_Data</v>
      </c>
      <c r="U165" s="744">
        <f ca="1" t="shared" si="15"/>
        <v>1163.7495377844732</v>
      </c>
      <c r="V165" s="697">
        <f t="shared" si="16"/>
        <v>0</v>
      </c>
      <c r="W165" s="487"/>
      <c r="X165" s="698">
        <f t="shared" si="17"/>
        <v>0</v>
      </c>
      <c r="Y165" s="699">
        <f t="shared" si="18"/>
        <v>0</v>
      </c>
      <c r="Z165" s="699">
        <f t="shared" si="19"/>
        <v>0</v>
      </c>
      <c r="AA165" s="699">
        <f t="shared" si="20"/>
        <v>0</v>
      </c>
      <c r="AB165" s="745">
        <f t="shared" si="21"/>
        <v>0</v>
      </c>
      <c r="AG165" s="487"/>
      <c r="AH165" s="487"/>
    </row>
    <row r="166" spans="2:34" ht="12.75" hidden="1">
      <c r="B166" s="425" t="s">
        <v>44</v>
      </c>
      <c r="C166" s="759" t="str">
        <f t="shared" si="13"/>
        <v>Diesel</v>
      </c>
      <c r="D166" s="949"/>
      <c r="E166" s="949"/>
      <c r="F166" s="950"/>
      <c r="G166" s="947"/>
      <c r="H166" s="767"/>
      <c r="J166" s="771"/>
      <c r="K166" s="746"/>
      <c r="L166" s="708"/>
      <c r="T166" s="696" t="str">
        <f t="shared" si="14"/>
        <v>Diesel_Data</v>
      </c>
      <c r="U166" s="744">
        <f ca="1" t="shared" si="15"/>
        <v>564.5159233320254</v>
      </c>
      <c r="V166" s="697">
        <f t="shared" si="16"/>
        <v>0</v>
      </c>
      <c r="W166" s="487"/>
      <c r="X166" s="698">
        <f t="shared" si="17"/>
        <v>0</v>
      </c>
      <c r="Y166" s="699">
        <f t="shared" si="18"/>
        <v>0</v>
      </c>
      <c r="Z166" s="699">
        <f t="shared" si="19"/>
        <v>0</v>
      </c>
      <c r="AA166" s="699">
        <f t="shared" si="20"/>
        <v>0</v>
      </c>
      <c r="AB166" s="745">
        <f t="shared" si="21"/>
        <v>0</v>
      </c>
      <c r="AG166" s="487"/>
      <c r="AH166" s="487"/>
    </row>
    <row r="167" spans="2:34" ht="12.75" hidden="1">
      <c r="B167" s="425" t="s">
        <v>16</v>
      </c>
      <c r="C167" s="759" t="str">
        <f t="shared" si="13"/>
        <v>Diesel</v>
      </c>
      <c r="D167" s="949"/>
      <c r="E167" s="949"/>
      <c r="F167" s="950"/>
      <c r="G167" s="947"/>
      <c r="H167" s="767"/>
      <c r="J167" s="771"/>
      <c r="K167" s="746"/>
      <c r="L167" s="708"/>
      <c r="T167" s="696" t="str">
        <f t="shared" si="14"/>
        <v>Diesel_Data</v>
      </c>
      <c r="U167" s="744">
        <f ca="1" t="shared" si="15"/>
        <v>672.6805966710663</v>
      </c>
      <c r="V167" s="697">
        <f t="shared" si="16"/>
        <v>0</v>
      </c>
      <c r="W167" s="487"/>
      <c r="X167" s="698">
        <f t="shared" si="17"/>
        <v>0</v>
      </c>
      <c r="Y167" s="699">
        <f t="shared" si="18"/>
        <v>0</v>
      </c>
      <c r="Z167" s="699">
        <f t="shared" si="19"/>
        <v>0</v>
      </c>
      <c r="AA167" s="699">
        <f t="shared" si="20"/>
        <v>0</v>
      </c>
      <c r="AB167" s="745">
        <f t="shared" si="21"/>
        <v>0</v>
      </c>
      <c r="AG167" s="487"/>
      <c r="AH167" s="487"/>
    </row>
    <row r="168" spans="2:34" ht="12.75" hidden="1">
      <c r="B168" s="425" t="s">
        <v>45</v>
      </c>
      <c r="C168" s="759" t="str">
        <f t="shared" si="13"/>
        <v>Diesel</v>
      </c>
      <c r="D168" s="949"/>
      <c r="E168" s="949"/>
      <c r="F168" s="950"/>
      <c r="G168" s="947"/>
      <c r="H168" s="767"/>
      <c r="J168" s="771"/>
      <c r="K168" s="746"/>
      <c r="L168" s="708"/>
      <c r="T168" s="696" t="str">
        <f t="shared" si="14"/>
        <v>Diesel_Data</v>
      </c>
      <c r="U168" s="744">
        <f ca="1" t="shared" si="15"/>
        <v>587.9101457741033</v>
      </c>
      <c r="V168" s="697">
        <f t="shared" si="16"/>
        <v>0</v>
      </c>
      <c r="W168" s="487"/>
      <c r="X168" s="698">
        <f t="shared" si="17"/>
        <v>0</v>
      </c>
      <c r="Y168" s="699">
        <f t="shared" si="18"/>
        <v>0</v>
      </c>
      <c r="Z168" s="699">
        <f t="shared" si="19"/>
        <v>0</v>
      </c>
      <c r="AA168" s="699">
        <f t="shared" si="20"/>
        <v>0</v>
      </c>
      <c r="AB168" s="745">
        <f t="shared" si="21"/>
        <v>0</v>
      </c>
      <c r="AG168" s="487"/>
      <c r="AH168" s="487"/>
    </row>
    <row r="169" spans="2:45" ht="12.75" hidden="1">
      <c r="B169" s="425" t="s">
        <v>47</v>
      </c>
      <c r="C169" s="759" t="str">
        <f t="shared" si="13"/>
        <v>Diesel</v>
      </c>
      <c r="D169" s="949"/>
      <c r="E169" s="949"/>
      <c r="F169" s="950"/>
      <c r="G169" s="947"/>
      <c r="H169" s="767"/>
      <c r="J169" s="771"/>
      <c r="K169" s="746"/>
      <c r="L169" s="708"/>
      <c r="T169" s="696" t="str">
        <f t="shared" si="14"/>
        <v>Diesel_Data</v>
      </c>
      <c r="U169" s="744">
        <f ca="1" t="shared" si="15"/>
        <v>534.7205607443332</v>
      </c>
      <c r="V169" s="697">
        <f t="shared" si="16"/>
        <v>0</v>
      </c>
      <c r="W169" s="487"/>
      <c r="X169" s="698">
        <f t="shared" si="17"/>
        <v>0</v>
      </c>
      <c r="Y169" s="699">
        <f t="shared" si="18"/>
        <v>0</v>
      </c>
      <c r="Z169" s="699">
        <f t="shared" si="19"/>
        <v>0</v>
      </c>
      <c r="AA169" s="699">
        <f t="shared" si="20"/>
        <v>0</v>
      </c>
      <c r="AB169" s="745">
        <f t="shared" si="21"/>
        <v>0</v>
      </c>
      <c r="AG169" s="487"/>
      <c r="AH169" s="487"/>
      <c r="AI169" s="487"/>
      <c r="AJ169" s="487"/>
      <c r="AK169" s="487"/>
      <c r="AL169" s="487"/>
      <c r="AM169" s="487"/>
      <c r="AN169" s="487"/>
      <c r="AO169" s="487"/>
      <c r="AP169" s="487"/>
      <c r="AQ169" s="487"/>
      <c r="AR169" s="487"/>
      <c r="AS169" s="487"/>
    </row>
    <row r="170" spans="2:45" ht="13.5" hidden="1" thickBot="1">
      <c r="B170" s="426" t="s">
        <v>46</v>
      </c>
      <c r="C170" s="760" t="str">
        <f t="shared" si="13"/>
        <v>Diesel</v>
      </c>
      <c r="D170" s="951"/>
      <c r="E170" s="951"/>
      <c r="F170" s="952"/>
      <c r="G170" s="948"/>
      <c r="H170" s="768"/>
      <c r="J170" s="772"/>
      <c r="K170" s="747"/>
      <c r="L170" s="723"/>
      <c r="T170" s="724" t="str">
        <f t="shared" si="14"/>
        <v>Diesel_Data</v>
      </c>
      <c r="U170" s="748">
        <f ca="1" t="shared" si="15"/>
        <v>693.5025012906365</v>
      </c>
      <c r="V170" s="725">
        <f t="shared" si="16"/>
        <v>0</v>
      </c>
      <c r="W170" s="487"/>
      <c r="X170" s="726">
        <f t="shared" si="17"/>
        <v>0</v>
      </c>
      <c r="Y170" s="727">
        <f t="shared" si="18"/>
        <v>0</v>
      </c>
      <c r="Z170" s="727">
        <f t="shared" si="19"/>
        <v>0</v>
      </c>
      <c r="AA170" s="727">
        <f t="shared" si="20"/>
        <v>0</v>
      </c>
      <c r="AB170" s="749">
        <f t="shared" si="21"/>
        <v>0</v>
      </c>
      <c r="AG170" s="487"/>
      <c r="AH170" s="487"/>
      <c r="AI170" s="487"/>
      <c r="AJ170" s="487"/>
      <c r="AK170" s="487"/>
      <c r="AL170" s="487"/>
      <c r="AM170" s="487"/>
      <c r="AN170" s="487"/>
      <c r="AO170" s="487"/>
      <c r="AP170" s="487"/>
      <c r="AQ170" s="487"/>
      <c r="AR170" s="487"/>
      <c r="AS170" s="487"/>
    </row>
    <row r="171" spans="20:45" ht="12.75" hidden="1">
      <c r="T171" s="487"/>
      <c r="U171" s="731" t="s">
        <v>592</v>
      </c>
      <c r="V171" s="663">
        <f>SUM(V135:V170)</f>
        <v>0</v>
      </c>
      <c r="W171" s="487"/>
      <c r="X171" s="487"/>
      <c r="Y171" s="487"/>
      <c r="Z171" s="487"/>
      <c r="AA171" s="731" t="s">
        <v>594</v>
      </c>
      <c r="AB171" s="663">
        <f>SUM(AB135:AB170)</f>
        <v>0</v>
      </c>
      <c r="AG171" s="487"/>
      <c r="AH171" s="487"/>
      <c r="AI171" s="487"/>
      <c r="AJ171" s="487"/>
      <c r="AK171" s="487"/>
      <c r="AL171" s="487"/>
      <c r="AM171" s="487"/>
      <c r="AN171" s="487"/>
      <c r="AO171" s="487"/>
      <c r="AP171" s="487"/>
      <c r="AQ171" s="487"/>
      <c r="AR171" s="487"/>
      <c r="AS171" s="487"/>
    </row>
    <row r="172" spans="2:45" ht="12.75" hidden="1">
      <c r="B172" s="309" t="s">
        <v>818</v>
      </c>
      <c r="C172" s="367"/>
      <c r="D172" s="367"/>
      <c r="E172" s="367"/>
      <c r="J172" s="309" t="s">
        <v>790</v>
      </c>
      <c r="K172" s="367"/>
      <c r="L172" s="367"/>
      <c r="M172" s="367"/>
      <c r="T172" s="487"/>
      <c r="U172" s="731"/>
      <c r="V172" s="663"/>
      <c r="W172" s="487"/>
      <c r="X172" s="487"/>
      <c r="Y172" s="487"/>
      <c r="Z172" s="487"/>
      <c r="AA172" s="731"/>
      <c r="AB172" s="663"/>
      <c r="AG172" s="487"/>
      <c r="AH172" s="487"/>
      <c r="AI172" s="487"/>
      <c r="AJ172" s="487"/>
      <c r="AK172" s="487"/>
      <c r="AL172" s="487"/>
      <c r="AM172" s="487"/>
      <c r="AN172" s="487"/>
      <c r="AO172" s="487"/>
      <c r="AP172" s="487"/>
      <c r="AQ172" s="487"/>
      <c r="AR172" s="487"/>
      <c r="AS172" s="487"/>
    </row>
    <row r="173" spans="2:45" ht="12.75" hidden="1">
      <c r="B173" s="309" t="s">
        <v>817</v>
      </c>
      <c r="C173" s="367"/>
      <c r="D173" s="367"/>
      <c r="E173" s="367"/>
      <c r="J173" s="309" t="s">
        <v>643</v>
      </c>
      <c r="K173" s="367"/>
      <c r="L173" s="367"/>
      <c r="M173" s="367"/>
      <c r="T173" s="487"/>
      <c r="U173" s="731"/>
      <c r="V173" s="663"/>
      <c r="W173" s="487"/>
      <c r="X173" s="487"/>
      <c r="Y173" s="487"/>
      <c r="Z173" s="487"/>
      <c r="AA173" s="731"/>
      <c r="AB173" s="663"/>
      <c r="AG173" s="487"/>
      <c r="AH173" s="487"/>
      <c r="AI173" s="487"/>
      <c r="AJ173" s="487"/>
      <c r="AK173" s="487"/>
      <c r="AL173" s="487"/>
      <c r="AM173" s="487"/>
      <c r="AN173" s="487"/>
      <c r="AO173" s="487"/>
      <c r="AP173" s="487"/>
      <c r="AQ173" s="487"/>
      <c r="AR173" s="487"/>
      <c r="AS173" s="487"/>
    </row>
    <row r="174" spans="20:45" ht="12.75" hidden="1">
      <c r="T174" s="487"/>
      <c r="U174" s="731"/>
      <c r="V174" s="663"/>
      <c r="W174" s="487"/>
      <c r="X174" s="487"/>
      <c r="Y174" s="487"/>
      <c r="Z174" s="487"/>
      <c r="AA174" s="731"/>
      <c r="AB174" s="663"/>
      <c r="AG174" s="487"/>
      <c r="AH174" s="487"/>
      <c r="AI174" s="487"/>
      <c r="AJ174" s="487"/>
      <c r="AK174" s="487"/>
      <c r="AL174" s="487"/>
      <c r="AM174" s="487"/>
      <c r="AN174" s="487"/>
      <c r="AO174" s="487"/>
      <c r="AP174" s="487"/>
      <c r="AQ174" s="487"/>
      <c r="AR174" s="487"/>
      <c r="AS174" s="487"/>
    </row>
    <row r="175" spans="2:45" ht="12.75" hidden="1">
      <c r="B175" s="309" t="s">
        <v>795</v>
      </c>
      <c r="C175" s="367"/>
      <c r="D175" s="367"/>
      <c r="E175" s="367"/>
      <c r="AG175" s="487"/>
      <c r="AH175" s="487"/>
      <c r="AI175" s="487"/>
      <c r="AJ175" s="487"/>
      <c r="AK175" s="487"/>
      <c r="AL175" s="487"/>
      <c r="AM175" s="487"/>
      <c r="AN175" s="487"/>
      <c r="AO175" s="487"/>
      <c r="AP175" s="487"/>
      <c r="AQ175" s="487"/>
      <c r="AR175" s="487"/>
      <c r="AS175" s="487"/>
    </row>
    <row r="176" spans="2:45" ht="12.75" hidden="1">
      <c r="B176" s="309" t="s">
        <v>796</v>
      </c>
      <c r="C176" s="367"/>
      <c r="D176" s="367"/>
      <c r="E176" s="367"/>
      <c r="AG176" s="487"/>
      <c r="AH176" s="487"/>
      <c r="AI176" s="487"/>
      <c r="AJ176" s="487"/>
      <c r="AK176" s="487"/>
      <c r="AL176" s="487"/>
      <c r="AM176" s="487"/>
      <c r="AN176" s="487"/>
      <c r="AO176" s="487"/>
      <c r="AP176" s="487"/>
      <c r="AQ176" s="487"/>
      <c r="AR176" s="487"/>
      <c r="AS176" s="487"/>
    </row>
    <row r="177" spans="33:45" ht="12.75" hidden="1">
      <c r="AG177" s="487"/>
      <c r="AH177" s="487"/>
      <c r="AI177" s="487"/>
      <c r="AJ177" s="487"/>
      <c r="AK177" s="487"/>
      <c r="AL177" s="487"/>
      <c r="AM177" s="487"/>
      <c r="AN177" s="487"/>
      <c r="AO177" s="487"/>
      <c r="AP177" s="487"/>
      <c r="AQ177" s="487"/>
      <c r="AR177" s="487"/>
      <c r="AS177" s="487"/>
    </row>
    <row r="178" spans="33:45" ht="12.75" hidden="1">
      <c r="AG178" s="487"/>
      <c r="AH178" s="487"/>
      <c r="AI178" s="487"/>
      <c r="AJ178" s="487"/>
      <c r="AK178" s="487"/>
      <c r="AL178" s="487"/>
      <c r="AM178" s="487"/>
      <c r="AN178" s="487"/>
      <c r="AO178" s="487"/>
      <c r="AP178" s="487"/>
      <c r="AQ178" s="487"/>
      <c r="AR178" s="487"/>
      <c r="AS178" s="487"/>
    </row>
    <row r="179" spans="33:45" ht="12.75" hidden="1">
      <c r="AG179" s="487"/>
      <c r="AH179" s="487"/>
      <c r="AI179" s="487"/>
      <c r="AJ179" s="487"/>
      <c r="AK179" s="487"/>
      <c r="AL179" s="487"/>
      <c r="AM179" s="487"/>
      <c r="AN179" s="487"/>
      <c r="AO179" s="487"/>
      <c r="AP179" s="487"/>
      <c r="AQ179" s="487"/>
      <c r="AR179" s="487"/>
      <c r="AS179" s="487"/>
    </row>
    <row r="180" spans="33:45" ht="15.75" customHeight="1">
      <c r="AG180" s="487"/>
      <c r="AH180" s="487"/>
      <c r="AI180" s="487"/>
      <c r="AJ180" s="487"/>
      <c r="AK180" s="487"/>
      <c r="AL180" s="487"/>
      <c r="AM180" s="487"/>
      <c r="AN180" s="487"/>
      <c r="AO180" s="487"/>
      <c r="AP180" s="487"/>
      <c r="AQ180" s="487"/>
      <c r="AR180" s="487"/>
      <c r="AS180" s="487"/>
    </row>
    <row r="181" spans="33:45" ht="12.75">
      <c r="AG181" s="487"/>
      <c r="AH181" s="487"/>
      <c r="AI181" s="487"/>
      <c r="AJ181" s="487"/>
      <c r="AK181" s="487"/>
      <c r="AL181" s="487"/>
      <c r="AM181" s="487"/>
      <c r="AN181" s="487"/>
      <c r="AO181" s="487"/>
      <c r="AP181" s="487"/>
      <c r="AQ181" s="487"/>
      <c r="AR181" s="487"/>
      <c r="AS181" s="487"/>
    </row>
    <row r="182" spans="33:45" ht="12.75">
      <c r="AG182" s="487"/>
      <c r="AH182" s="487"/>
      <c r="AI182" s="487"/>
      <c r="AJ182" s="487"/>
      <c r="AK182" s="487"/>
      <c r="AL182" s="487"/>
      <c r="AM182" s="487"/>
      <c r="AN182" s="487"/>
      <c r="AO182" s="487"/>
      <c r="AP182" s="487"/>
      <c r="AQ182" s="487"/>
      <c r="AR182" s="487"/>
      <c r="AS182" s="487"/>
    </row>
    <row r="183" spans="33:45" ht="12.75">
      <c r="AG183" s="487"/>
      <c r="AH183" s="487"/>
      <c r="AI183" s="487"/>
      <c r="AJ183" s="487"/>
      <c r="AK183" s="487"/>
      <c r="AL183" s="487"/>
      <c r="AM183" s="487"/>
      <c r="AN183" s="487"/>
      <c r="AO183" s="487"/>
      <c r="AP183" s="487"/>
      <c r="AQ183" s="487"/>
      <c r="AR183" s="487"/>
      <c r="AS183" s="487"/>
    </row>
    <row r="184" spans="33:45" ht="12.75">
      <c r="AG184" s="487"/>
      <c r="AH184" s="487"/>
      <c r="AI184" s="487"/>
      <c r="AJ184" s="487"/>
      <c r="AK184" s="487"/>
      <c r="AL184" s="487"/>
      <c r="AM184" s="487"/>
      <c r="AN184" s="487"/>
      <c r="AO184" s="487"/>
      <c r="AP184" s="487"/>
      <c r="AQ184" s="487"/>
      <c r="AR184" s="487"/>
      <c r="AS184" s="487"/>
    </row>
    <row r="185" spans="33:45" ht="12.75">
      <c r="AG185" s="487"/>
      <c r="AH185" s="487"/>
      <c r="AI185" s="487"/>
      <c r="AJ185" s="487"/>
      <c r="AK185" s="487"/>
      <c r="AL185" s="487"/>
      <c r="AM185" s="487"/>
      <c r="AN185" s="487"/>
      <c r="AO185" s="487"/>
      <c r="AP185" s="487"/>
      <c r="AQ185" s="487"/>
      <c r="AR185" s="487"/>
      <c r="AS185" s="487"/>
    </row>
    <row r="186" spans="33:45" ht="12.75">
      <c r="AG186" s="487"/>
      <c r="AH186" s="487"/>
      <c r="AI186" s="487"/>
      <c r="AJ186" s="487"/>
      <c r="AK186" s="487"/>
      <c r="AL186" s="487"/>
      <c r="AM186" s="487"/>
      <c r="AN186" s="487"/>
      <c r="AO186" s="487"/>
      <c r="AP186" s="487"/>
      <c r="AQ186" s="487"/>
      <c r="AR186" s="487"/>
      <c r="AS186" s="487"/>
    </row>
    <row r="187" spans="33:45" ht="12.75">
      <c r="AG187" s="487"/>
      <c r="AH187" s="487"/>
      <c r="AI187" s="487"/>
      <c r="AJ187" s="487"/>
      <c r="AK187" s="487"/>
      <c r="AL187" s="487"/>
      <c r="AM187" s="487"/>
      <c r="AN187" s="487"/>
      <c r="AO187" s="487"/>
      <c r="AP187" s="487"/>
      <c r="AQ187" s="487"/>
      <c r="AR187" s="487"/>
      <c r="AS187" s="487"/>
    </row>
    <row r="188" spans="33:45" ht="12.75">
      <c r="AG188" s="487"/>
      <c r="AH188" s="487"/>
      <c r="AI188" s="487"/>
      <c r="AJ188" s="487"/>
      <c r="AK188" s="487"/>
      <c r="AL188" s="487"/>
      <c r="AM188" s="487"/>
      <c r="AN188" s="487"/>
      <c r="AO188" s="487"/>
      <c r="AP188" s="487"/>
      <c r="AQ188" s="487"/>
      <c r="AR188" s="487"/>
      <c r="AS188" s="487"/>
    </row>
    <row r="189" spans="33:45" ht="12.75">
      <c r="AG189" s="487"/>
      <c r="AH189" s="487"/>
      <c r="AI189" s="487"/>
      <c r="AJ189" s="487"/>
      <c r="AK189" s="487"/>
      <c r="AL189" s="487"/>
      <c r="AM189" s="487"/>
      <c r="AN189" s="487"/>
      <c r="AO189" s="487"/>
      <c r="AP189" s="487"/>
      <c r="AQ189" s="487"/>
      <c r="AR189" s="487"/>
      <c r="AS189" s="487"/>
    </row>
    <row r="190" spans="33:45" ht="12.75">
      <c r="AG190" s="487"/>
      <c r="AH190" s="487"/>
      <c r="AI190" s="487"/>
      <c r="AJ190" s="487"/>
      <c r="AK190" s="487"/>
      <c r="AL190" s="487"/>
      <c r="AM190" s="487"/>
      <c r="AN190" s="487"/>
      <c r="AO190" s="487"/>
      <c r="AP190" s="487"/>
      <c r="AQ190" s="487"/>
      <c r="AR190" s="487"/>
      <c r="AS190" s="487"/>
    </row>
    <row r="191" spans="33:45" ht="12.75">
      <c r="AG191" s="487"/>
      <c r="AH191" s="487"/>
      <c r="AI191" s="487"/>
      <c r="AJ191" s="487"/>
      <c r="AK191" s="487"/>
      <c r="AL191" s="487"/>
      <c r="AM191" s="487"/>
      <c r="AN191" s="487"/>
      <c r="AO191" s="487"/>
      <c r="AP191" s="487"/>
      <c r="AQ191" s="487"/>
      <c r="AR191" s="487"/>
      <c r="AS191" s="487"/>
    </row>
    <row r="192" spans="33:45" ht="12.75">
      <c r="AG192" s="487"/>
      <c r="AH192" s="487"/>
      <c r="AI192" s="487"/>
      <c r="AJ192" s="487"/>
      <c r="AK192" s="487"/>
      <c r="AL192" s="487"/>
      <c r="AM192" s="487"/>
      <c r="AN192" s="487"/>
      <c r="AO192" s="487"/>
      <c r="AP192" s="487"/>
      <c r="AQ192" s="487"/>
      <c r="AR192" s="487"/>
      <c r="AS192" s="487"/>
    </row>
    <row r="193" spans="33:45" ht="12.75">
      <c r="AG193" s="487"/>
      <c r="AH193" s="487"/>
      <c r="AI193" s="487"/>
      <c r="AJ193" s="487"/>
      <c r="AK193" s="487"/>
      <c r="AL193" s="487"/>
      <c r="AM193" s="487"/>
      <c r="AN193" s="487"/>
      <c r="AO193" s="487"/>
      <c r="AP193" s="487"/>
      <c r="AQ193" s="487"/>
      <c r="AR193" s="487"/>
      <c r="AS193" s="487"/>
    </row>
    <row r="194" spans="33:45" ht="12.75">
      <c r="AG194" s="487"/>
      <c r="AH194" s="487"/>
      <c r="AI194" s="487"/>
      <c r="AJ194" s="487"/>
      <c r="AK194" s="487"/>
      <c r="AL194" s="487"/>
      <c r="AM194" s="487"/>
      <c r="AN194" s="487"/>
      <c r="AO194" s="487"/>
      <c r="AP194" s="487"/>
      <c r="AQ194" s="487"/>
      <c r="AR194" s="487"/>
      <c r="AS194" s="487"/>
    </row>
    <row r="195" spans="33:45" ht="12.75">
      <c r="AG195" s="487"/>
      <c r="AH195" s="487"/>
      <c r="AI195" s="487"/>
      <c r="AJ195" s="487"/>
      <c r="AK195" s="487"/>
      <c r="AL195" s="487"/>
      <c r="AM195" s="487"/>
      <c r="AN195" s="487"/>
      <c r="AO195" s="487"/>
      <c r="AP195" s="487"/>
      <c r="AQ195" s="487"/>
      <c r="AR195" s="487"/>
      <c r="AS195" s="487"/>
    </row>
    <row r="196" spans="33:45" ht="12.75">
      <c r="AG196" s="487"/>
      <c r="AH196" s="487"/>
      <c r="AI196" s="487"/>
      <c r="AJ196" s="487"/>
      <c r="AK196" s="487"/>
      <c r="AL196" s="487"/>
      <c r="AM196" s="487"/>
      <c r="AN196" s="487"/>
      <c r="AO196" s="487"/>
      <c r="AP196" s="487"/>
      <c r="AQ196" s="487"/>
      <c r="AR196" s="487"/>
      <c r="AS196" s="487"/>
    </row>
    <row r="197" spans="33:45" ht="12.75">
      <c r="AG197" s="487"/>
      <c r="AH197" s="487"/>
      <c r="AI197" s="487"/>
      <c r="AJ197" s="487"/>
      <c r="AK197" s="487"/>
      <c r="AL197" s="487"/>
      <c r="AM197" s="487"/>
      <c r="AN197" s="487"/>
      <c r="AO197" s="487"/>
      <c r="AP197" s="487"/>
      <c r="AQ197" s="487"/>
      <c r="AR197" s="487"/>
      <c r="AS197" s="487"/>
    </row>
  </sheetData>
  <sheetProtection/>
  <mergeCells count="27">
    <mergeCell ref="D25:E25"/>
    <mergeCell ref="D26:E26"/>
    <mergeCell ref="C24:E24"/>
    <mergeCell ref="G17:I17"/>
    <mergeCell ref="G18:I18"/>
    <mergeCell ref="G19:I19"/>
    <mergeCell ref="G20:I20"/>
    <mergeCell ref="G26:I26"/>
    <mergeCell ref="G22:I22"/>
    <mergeCell ref="AQ73:BA74"/>
    <mergeCell ref="AD75:AK75"/>
    <mergeCell ref="AS75:AW75"/>
    <mergeCell ref="AY75:AZ75"/>
    <mergeCell ref="AC73:AL74"/>
    <mergeCell ref="AN88:AO88"/>
    <mergeCell ref="AD162:AE162"/>
    <mergeCell ref="J133:L133"/>
    <mergeCell ref="D74:D75"/>
    <mergeCell ref="T132:V133"/>
    <mergeCell ref="S45:T45"/>
    <mergeCell ref="G74:I74"/>
    <mergeCell ref="O33:R33"/>
    <mergeCell ref="O59:R59"/>
    <mergeCell ref="T73:U74"/>
    <mergeCell ref="W73:AA73"/>
    <mergeCell ref="AN73:AO74"/>
    <mergeCell ref="T60:U60"/>
  </mergeCells>
  <conditionalFormatting sqref="P52:Q52">
    <cfRule type="cellIs" priority="1" dxfId="44" operator="notEqual" stopIfTrue="1">
      <formula>1</formula>
    </cfRule>
  </conditionalFormatting>
  <conditionalFormatting sqref="C52 C46 P46:Q46">
    <cfRule type="cellIs" priority="2" dxfId="44" operator="notEqual" stopIfTrue="1">
      <formula>1</formula>
    </cfRule>
    <cfRule type="cellIs" priority="3" dxfId="45" operator="equal" stopIfTrue="1">
      <formula>1</formula>
    </cfRule>
  </conditionalFormatting>
  <dataValidations count="12">
    <dataValidation type="list" allowBlank="1" showInputMessage="1" showErrorMessage="1" sqref="J135:J170">
      <formula1>INDIRECT(VLOOKUP($C135,Fuel_Mits,8,FALSE))</formula1>
    </dataValidation>
    <dataValidation type="list" allowBlank="1" showInputMessage="1" showErrorMessage="1" sqref="H76 K135:K170">
      <formula1>INDIRECT(VLOOKUP($C76,Fuel_Mits,11,FALSE))</formula1>
    </dataValidation>
    <dataValidation type="list" allowBlank="1" showInputMessage="1" showErrorMessage="1" sqref="C112">
      <formula1>$Z145:$AK145</formula1>
    </dataValidation>
    <dataValidation type="list" allowBlank="1" showInputMessage="1" showErrorMessage="1" sqref="F113">
      <formula1>INDIRECT(VLOOKUP($AO88,$AR$100:$BB$107,8,FALSE))</formula1>
    </dataValidation>
    <dataValidation type="list" allowBlank="1" showInputMessage="1" showErrorMessage="1" sqref="F112">
      <formula1>INDIRECT(VLOOKUP($C112,$AR$100:$BB$107,8,FALSE))</formula1>
    </dataValidation>
    <dataValidation type="list" allowBlank="1" showInputMessage="1" showErrorMessage="1" sqref="G112">
      <formula1>INDIRECT(VLOOKUP($C112,$AR$100:$BB$107,11,FALSE))</formula1>
    </dataValidation>
    <dataValidation type="list" allowBlank="1" showInputMessage="1" showErrorMessage="1" sqref="C135:C170">
      <formula1>$AD76:$AK76</formula1>
    </dataValidation>
    <dataValidation type="list" allowBlank="1" showInputMessage="1" showErrorMessage="1" sqref="C76:C111">
      <formula1>$AD76:$AK76</formula1>
    </dataValidation>
    <dataValidation type="list" allowBlank="1" showInputMessage="1" showErrorMessage="1" sqref="G76:G111">
      <formula1>INDIRECT(VLOOKUP($C76,$AQ$76:$AZ$83,8,FALSE))</formula1>
    </dataValidation>
    <dataValidation type="list" allowBlank="1" showInputMessage="1" showErrorMessage="1" sqref="H77:H111">
      <formula1>INDIRECT(VLOOKUP($C77,$AQ$76:$BA$83,11,FALSE))</formula1>
    </dataValidation>
    <dataValidation type="list" allowBlank="1" showInputMessage="1" showErrorMessage="1" sqref="L135:L170 H112 I76:I111">
      <formula1>"Yes, No"</formula1>
    </dataValidation>
    <dataValidation type="list" showInputMessage="1" showErrorMessage="1" sqref="T53:T54">
      <formula1>"Yes, No"</formula1>
    </dataValidation>
  </dataValidation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2"/>
  <dimension ref="A1:Q189"/>
  <sheetViews>
    <sheetView showGridLines="0" zoomScalePageLayoutView="0" workbookViewId="0" topLeftCell="A1">
      <selection activeCell="G32" sqref="G32"/>
    </sheetView>
  </sheetViews>
  <sheetFormatPr defaultColWidth="9.140625" defaultRowHeight="15"/>
  <cols>
    <col min="1" max="1" width="33.00390625" style="831" customWidth="1"/>
    <col min="2" max="7" width="12.7109375" style="831" customWidth="1"/>
    <col min="8" max="16384" width="9.140625" style="831" customWidth="1"/>
  </cols>
  <sheetData>
    <row r="1" s="828" customFormat="1" ht="21">
      <c r="A1" s="828" t="s">
        <v>892</v>
      </c>
    </row>
    <row r="2" s="828" customFormat="1" ht="21">
      <c r="A2" s="829"/>
    </row>
    <row r="9" ht="15">
      <c r="A9" s="830"/>
    </row>
    <row r="10" ht="15">
      <c r="A10" s="832"/>
    </row>
    <row r="12" s="834" customFormat="1" ht="15">
      <c r="A12" s="833" t="s">
        <v>855</v>
      </c>
    </row>
    <row r="13" s="834" customFormat="1" ht="15"/>
    <row r="14" spans="1:3" ht="15">
      <c r="A14" s="835" t="s">
        <v>856</v>
      </c>
      <c r="B14" s="1057" t="s">
        <v>857</v>
      </c>
      <c r="C14" s="1057"/>
    </row>
    <row r="16" ht="15">
      <c r="A16" s="833" t="s">
        <v>858</v>
      </c>
    </row>
    <row r="17" ht="15">
      <c r="A17" s="836"/>
    </row>
    <row r="18" spans="1:6" ht="15">
      <c r="A18" s="837"/>
      <c r="B18" s="837" t="s">
        <v>95</v>
      </c>
      <c r="C18" s="837" t="s">
        <v>859</v>
      </c>
      <c r="E18" s="837" t="s">
        <v>95</v>
      </c>
      <c r="F18" s="837" t="s">
        <v>859</v>
      </c>
    </row>
    <row r="19" spans="1:6" ht="15">
      <c r="A19" s="838" t="s">
        <v>860</v>
      </c>
      <c r="B19" s="866"/>
      <c r="C19" s="866"/>
      <c r="E19" s="839"/>
      <c r="F19" s="839"/>
    </row>
    <row r="20" spans="1:6" ht="15">
      <c r="A20" s="838" t="s">
        <v>861</v>
      </c>
      <c r="B20" s="867"/>
      <c r="C20" s="867"/>
      <c r="E20" s="839"/>
      <c r="F20" s="839"/>
    </row>
    <row r="21" spans="1:6" ht="15">
      <c r="A21" s="838" t="s">
        <v>862</v>
      </c>
      <c r="B21" s="868">
        <v>45</v>
      </c>
      <c r="C21" s="868">
        <v>55</v>
      </c>
      <c r="E21" s="840"/>
      <c r="F21" s="840"/>
    </row>
    <row r="22" spans="1:6" ht="15">
      <c r="A22" s="835" t="s">
        <v>863</v>
      </c>
      <c r="B22" s="841"/>
      <c r="C22" s="841"/>
      <c r="E22" s="842"/>
      <c r="F22" s="842"/>
    </row>
    <row r="23" spans="1:6" ht="15">
      <c r="A23" s="838" t="s">
        <v>864</v>
      </c>
      <c r="B23" s="869">
        <v>0.25</v>
      </c>
      <c r="C23" s="869">
        <v>0.25</v>
      </c>
      <c r="E23" s="843">
        <f>INDEX('Traffic Smoothing Strategies'!$E$98:$Q$161,MATCH(CONCATENATE(B$21,$B$14),'Traffic Smoothing Strategies'!$A$98:$A$161,0),MATCH($A23,'Traffic Smoothing Strategies'!$E$97:$Q$97,0))*B23</f>
        <v>0.07576598732158916</v>
      </c>
      <c r="F23" s="843">
        <f>INDEX('Traffic Smoothing Strategies'!$E$98:$Q$161,MATCH(CONCATENATE(C$21,$B$14),'Traffic Smoothing Strategies'!$A$98:$A$161,0),MATCH($A23,'Traffic Smoothing Strategies'!$E$97:$Q$97,0))*C23</f>
        <v>0.07261672910241486</v>
      </c>
    </row>
    <row r="24" spans="1:6" ht="15">
      <c r="A24" s="838" t="s">
        <v>865</v>
      </c>
      <c r="B24" s="869">
        <v>0.25</v>
      </c>
      <c r="C24" s="869">
        <v>0.25</v>
      </c>
      <c r="E24" s="843">
        <f>INDEX('Traffic Smoothing Strategies'!$E$98:$Q$161,MATCH(CONCATENATE(B$21,$B$14),'Traffic Smoothing Strategies'!$A$98:$A$161,0),MATCH($A24,'Traffic Smoothing Strategies'!$E$97:$Q$97,0))*B24</f>
        <v>0.1029376951984871</v>
      </c>
      <c r="F24" s="843">
        <f>INDEX('Traffic Smoothing Strategies'!$E$98:$Q$161,MATCH(CONCATENATE(C$21,$B$14),'Traffic Smoothing Strategies'!$A$98:$A$161,0),MATCH($A24,'Traffic Smoothing Strategies'!$E$97:$Q$97,0))*C24</f>
        <v>0.10013732827240765</v>
      </c>
    </row>
    <row r="25" spans="1:6" ht="15">
      <c r="A25" s="838" t="s">
        <v>866</v>
      </c>
      <c r="B25" s="869">
        <v>0</v>
      </c>
      <c r="C25" s="869">
        <v>0</v>
      </c>
      <c r="E25" s="843">
        <f>INDEX('Traffic Smoothing Strategies'!$E$98:$Q$161,MATCH(CONCATENATE(B$21,$B$14),'Traffic Smoothing Strategies'!$A$98:$A$161,0),MATCH($A25,'Traffic Smoothing Strategies'!$E$97:$Q$97,0))*B25</f>
        <v>0</v>
      </c>
      <c r="F25" s="843">
        <f>INDEX('Traffic Smoothing Strategies'!$E$98:$Q$161,MATCH(CONCATENATE(C$21,$B$14),'Traffic Smoothing Strategies'!$A$98:$A$161,0),MATCH($A25,'Traffic Smoothing Strategies'!$E$97:$Q$97,0))*C25</f>
        <v>0</v>
      </c>
    </row>
    <row r="26" spans="1:6" ht="15">
      <c r="A26" s="838" t="s">
        <v>867</v>
      </c>
      <c r="B26" s="869">
        <v>0</v>
      </c>
      <c r="C26" s="869">
        <v>0</v>
      </c>
      <c r="E26" s="843">
        <f>INDEX('Traffic Smoothing Strategies'!$E$98:$Q$161,MATCH(CONCATENATE(B$21,$B$14),'Traffic Smoothing Strategies'!$A$98:$A$161,0),MATCH($A26,'Traffic Smoothing Strategies'!$E$97:$Q$97,0))*B26</f>
        <v>0</v>
      </c>
      <c r="F26" s="843">
        <f>INDEX('Traffic Smoothing Strategies'!$E$98:$Q$161,MATCH(CONCATENATE(C$21,$B$14),'Traffic Smoothing Strategies'!$A$98:$A$161,0),MATCH($A26,'Traffic Smoothing Strategies'!$E$97:$Q$97,0))*C26</f>
        <v>0</v>
      </c>
    </row>
    <row r="27" spans="1:6" ht="15">
      <c r="A27" s="838" t="s">
        <v>868</v>
      </c>
      <c r="B27" s="869">
        <v>0</v>
      </c>
      <c r="C27" s="869">
        <v>0</v>
      </c>
      <c r="E27" s="843">
        <f>INDEX('Traffic Smoothing Strategies'!$E$98:$Q$161,MATCH(CONCATENATE(B$21,$B$14),'Traffic Smoothing Strategies'!$A$98:$A$161,0),MATCH($A27,'Traffic Smoothing Strategies'!$E$97:$Q$97,0))*B27</f>
        <v>0</v>
      </c>
      <c r="F27" s="843">
        <f>INDEX('Traffic Smoothing Strategies'!$E$98:$Q$161,MATCH(CONCATENATE(C$21,$B$14),'Traffic Smoothing Strategies'!$A$98:$A$161,0),MATCH($A27,'Traffic Smoothing Strategies'!$E$97:$Q$97,0))*C27</f>
        <v>0</v>
      </c>
    </row>
    <row r="28" spans="1:6" ht="15">
      <c r="A28" s="838" t="s">
        <v>869</v>
      </c>
      <c r="B28" s="869">
        <v>0</v>
      </c>
      <c r="C28" s="869">
        <v>0</v>
      </c>
      <c r="E28" s="843">
        <f>INDEX('Traffic Smoothing Strategies'!$E$98:$Q$161,MATCH(CONCATENATE(B$21,$B$14),'Traffic Smoothing Strategies'!$A$98:$A$161,0),MATCH($A28,'Traffic Smoothing Strategies'!$E$97:$Q$97,0))*B28</f>
        <v>0</v>
      </c>
      <c r="F28" s="843">
        <f>INDEX('Traffic Smoothing Strategies'!$E$98:$Q$161,MATCH(CONCATENATE(C$21,$B$14),'Traffic Smoothing Strategies'!$A$98:$A$161,0),MATCH($A28,'Traffic Smoothing Strategies'!$E$97:$Q$97,0))*C28</f>
        <v>0</v>
      </c>
    </row>
    <row r="29" spans="1:6" ht="15">
      <c r="A29" s="838" t="s">
        <v>870</v>
      </c>
      <c r="B29" s="869">
        <v>0</v>
      </c>
      <c r="C29" s="869">
        <v>0</v>
      </c>
      <c r="E29" s="843">
        <f>INDEX('Traffic Smoothing Strategies'!$E$98:$Q$161,MATCH(CONCATENATE(B$21,$B$14),'Traffic Smoothing Strategies'!$A$98:$A$161,0),MATCH($A29,'Traffic Smoothing Strategies'!$E$97:$Q$97,0))*B29</f>
        <v>0</v>
      </c>
      <c r="F29" s="843">
        <f>INDEX('Traffic Smoothing Strategies'!$E$98:$Q$161,MATCH(CONCATENATE(C$21,$B$14),'Traffic Smoothing Strategies'!$A$98:$A$161,0),MATCH($A29,'Traffic Smoothing Strategies'!$E$97:$Q$97,0))*C29</f>
        <v>0</v>
      </c>
    </row>
    <row r="30" spans="1:6" ht="15">
      <c r="A30" s="838" t="s">
        <v>871</v>
      </c>
      <c r="B30" s="869">
        <v>0</v>
      </c>
      <c r="C30" s="869">
        <v>0</v>
      </c>
      <c r="E30" s="843">
        <f>INDEX('Traffic Smoothing Strategies'!$E$98:$Q$161,MATCH(CONCATENATE(B$21,$B$14),'Traffic Smoothing Strategies'!$A$98:$A$161,0),MATCH($A30,'Traffic Smoothing Strategies'!$E$97:$Q$97,0))*B30</f>
        <v>0</v>
      </c>
      <c r="F30" s="843">
        <f>INDEX('Traffic Smoothing Strategies'!$E$98:$Q$161,MATCH(CONCATENATE(C$21,$B$14),'Traffic Smoothing Strategies'!$A$98:$A$161,0),MATCH($A30,'Traffic Smoothing Strategies'!$E$97:$Q$97,0))*C30</f>
        <v>0</v>
      </c>
    </row>
    <row r="31" spans="1:6" ht="15">
      <c r="A31" s="838" t="s">
        <v>872</v>
      </c>
      <c r="B31" s="869">
        <v>0</v>
      </c>
      <c r="C31" s="869">
        <v>0</v>
      </c>
      <c r="E31" s="843">
        <f>INDEX('Traffic Smoothing Strategies'!$E$98:$Q$161,MATCH(CONCATENATE(B$21,$B$14),'Traffic Smoothing Strategies'!$A$98:$A$161,0),MATCH($A31,'Traffic Smoothing Strategies'!$E$97:$Q$97,0))*B31</f>
        <v>0</v>
      </c>
      <c r="F31" s="843">
        <f>INDEX('Traffic Smoothing Strategies'!$E$98:$Q$161,MATCH(CONCATENATE(C$21,$B$14),'Traffic Smoothing Strategies'!$A$98:$A$161,0),MATCH($A31,'Traffic Smoothing Strategies'!$E$97:$Q$97,0))*C31</f>
        <v>0</v>
      </c>
    </row>
    <row r="32" spans="1:6" ht="15">
      <c r="A32" s="838" t="s">
        <v>873</v>
      </c>
      <c r="B32" s="869">
        <v>0</v>
      </c>
      <c r="C32" s="869">
        <v>0</v>
      </c>
      <c r="E32" s="843">
        <f>INDEX('Traffic Smoothing Strategies'!$E$98:$Q$161,MATCH(CONCATENATE(B$21,$B$14),'Traffic Smoothing Strategies'!$A$98:$A$161,0),MATCH($A32,'Traffic Smoothing Strategies'!$E$97:$Q$97,0))*B32</f>
        <v>0</v>
      </c>
      <c r="F32" s="843">
        <f>INDEX('Traffic Smoothing Strategies'!$E$98:$Q$161,MATCH(CONCATENATE(C$21,$B$14),'Traffic Smoothing Strategies'!$A$98:$A$161,0),MATCH($A32,'Traffic Smoothing Strategies'!$E$97:$Q$97,0))*C32</f>
        <v>0</v>
      </c>
    </row>
    <row r="33" spans="1:6" ht="15">
      <c r="A33" s="838" t="s">
        <v>874</v>
      </c>
      <c r="B33" s="869">
        <v>0.5</v>
      </c>
      <c r="C33" s="869">
        <v>0.5</v>
      </c>
      <c r="E33" s="843">
        <f>INDEX('Traffic Smoothing Strategies'!$E$98:$Q$161,MATCH(CONCATENATE(B$21,$B$14),'Traffic Smoothing Strategies'!$A$98:$A$161,0),MATCH($A33,'Traffic Smoothing Strategies'!$E$97:$Q$97,0))*B33</f>
        <v>0.9436768899493686</v>
      </c>
      <c r="F33" s="843">
        <f>INDEX('Traffic Smoothing Strategies'!$E$98:$Q$161,MATCH(CONCATENATE(C$21,$B$14),'Traffic Smoothing Strategies'!$A$98:$A$161,0),MATCH($A33,'Traffic Smoothing Strategies'!$E$97:$Q$97,0))*C33</f>
        <v>0.8414072047954374</v>
      </c>
    </row>
    <row r="34" spans="1:6" ht="15">
      <c r="A34" s="838" t="s">
        <v>875</v>
      </c>
      <c r="B34" s="869">
        <v>0</v>
      </c>
      <c r="C34" s="869">
        <v>0</v>
      </c>
      <c r="E34" s="843">
        <f>INDEX('Traffic Smoothing Strategies'!$E$98:$Q$161,MATCH(CONCATENATE(B$21,$B$14),'Traffic Smoothing Strategies'!$A$98:$A$161,0),MATCH($A34,'Traffic Smoothing Strategies'!$E$97:$Q$97,0))*B34</f>
        <v>0</v>
      </c>
      <c r="F34" s="843">
        <f>INDEX('Traffic Smoothing Strategies'!$E$98:$Q$161,MATCH(CONCATENATE(C$21,$B$14),'Traffic Smoothing Strategies'!$A$98:$A$161,0),MATCH($A34,'Traffic Smoothing Strategies'!$E$97:$Q$97,0))*C34</f>
        <v>0</v>
      </c>
    </row>
    <row r="35" spans="1:6" ht="15.75" thickBot="1">
      <c r="A35" s="862" t="s">
        <v>876</v>
      </c>
      <c r="B35" s="870">
        <v>0</v>
      </c>
      <c r="C35" s="870">
        <v>0</v>
      </c>
      <c r="E35" s="843">
        <f>INDEX('Traffic Smoothing Strategies'!$E$98:$Q$161,MATCH(CONCATENATE(B$21,$B$14),'Traffic Smoothing Strategies'!$A$98:$A$161,0),MATCH($A35,'Traffic Smoothing Strategies'!$E$97:$Q$97,0))*B35</f>
        <v>0</v>
      </c>
      <c r="F35" s="843">
        <f>INDEX('Traffic Smoothing Strategies'!$E$98:$Q$161,MATCH(CONCATENATE(C$21,$B$14),'Traffic Smoothing Strategies'!$A$98:$A$161,0),MATCH($A35,'Traffic Smoothing Strategies'!$E$97:$Q$97,0))*C35</f>
        <v>0</v>
      </c>
    </row>
    <row r="36" spans="5:6" ht="15.75" thickTop="1">
      <c r="E36" s="844"/>
      <c r="F36" s="844"/>
    </row>
    <row r="37" ht="15">
      <c r="A37" s="833" t="s">
        <v>877</v>
      </c>
    </row>
    <row r="38" ht="15">
      <c r="A38" s="845"/>
    </row>
    <row r="39" spans="1:3" ht="15">
      <c r="A39" s="838" t="s">
        <v>878</v>
      </c>
      <c r="B39" s="846">
        <f>SUM(B23:B35)</f>
        <v>1</v>
      </c>
      <c r="C39" s="846">
        <f>SUM(C23:C35)</f>
        <v>1</v>
      </c>
    </row>
    <row r="40" ht="15">
      <c r="A40" s="836"/>
    </row>
    <row r="41" ht="15">
      <c r="A41" s="833" t="s">
        <v>879</v>
      </c>
    </row>
    <row r="43" spans="1:3" ht="15">
      <c r="A43" s="847"/>
      <c r="B43" s="847" t="s">
        <v>95</v>
      </c>
      <c r="C43" s="847" t="s">
        <v>859</v>
      </c>
    </row>
    <row r="44" spans="1:3" ht="15">
      <c r="A44" s="831" t="s">
        <v>880</v>
      </c>
      <c r="B44" s="848">
        <f>B19*B20</f>
        <v>0</v>
      </c>
      <c r="C44" s="848">
        <f>C19*C20</f>
        <v>0</v>
      </c>
    </row>
    <row r="45" spans="1:3" ht="15">
      <c r="A45" s="860" t="s">
        <v>881</v>
      </c>
      <c r="B45" s="861">
        <f>SUM(E23:E35)</f>
        <v>1.122380572469445</v>
      </c>
      <c r="C45" s="861">
        <f>SUM(F23:F35)</f>
        <v>1.0141612621702598</v>
      </c>
    </row>
    <row r="46" spans="1:3" ht="15.75" thickBot="1">
      <c r="A46" s="864" t="s">
        <v>882</v>
      </c>
      <c r="B46" s="863">
        <f>B44*B45/10^3</f>
        <v>0</v>
      </c>
      <c r="C46" s="863">
        <f>C44*C45/10^3</f>
        <v>0</v>
      </c>
    </row>
    <row r="47" ht="15.75" thickTop="1"/>
    <row r="97" spans="1:17" ht="75">
      <c r="A97" s="849" t="s">
        <v>129</v>
      </c>
      <c r="B97" s="849" t="s">
        <v>883</v>
      </c>
      <c r="C97" s="849" t="s">
        <v>884</v>
      </c>
      <c r="D97" s="849"/>
      <c r="E97" s="849" t="s">
        <v>864</v>
      </c>
      <c r="F97" s="849" t="s">
        <v>865</v>
      </c>
      <c r="G97" s="849" t="s">
        <v>866</v>
      </c>
      <c r="H97" s="849" t="s">
        <v>867</v>
      </c>
      <c r="I97" s="849" t="s">
        <v>868</v>
      </c>
      <c r="J97" s="849" t="s">
        <v>869</v>
      </c>
      <c r="K97" s="849" t="s">
        <v>870</v>
      </c>
      <c r="L97" s="849" t="s">
        <v>871</v>
      </c>
      <c r="M97" s="849" t="s">
        <v>872</v>
      </c>
      <c r="N97" s="849" t="s">
        <v>873</v>
      </c>
      <c r="O97" s="849" t="s">
        <v>874</v>
      </c>
      <c r="P97" s="849" t="s">
        <v>875</v>
      </c>
      <c r="Q97" s="849" t="s">
        <v>876</v>
      </c>
    </row>
    <row r="98" spans="1:17" ht="15">
      <c r="A98" s="831" t="str">
        <f aca="true" t="shared" si="0" ref="A98:A161">CONCATENATE(B98,C98)</f>
        <v>2Rural Restricted Access</v>
      </c>
      <c r="B98" s="850">
        <v>2</v>
      </c>
      <c r="C98" s="851" t="s">
        <v>885</v>
      </c>
      <c r="D98" s="852"/>
      <c r="E98" s="853">
        <v>1.9005844721097647</v>
      </c>
      <c r="F98" s="853">
        <v>2.43467573966028</v>
      </c>
      <c r="G98" s="853">
        <v>1.2861053748365951</v>
      </c>
      <c r="H98" s="853">
        <v>6.807894806233574</v>
      </c>
      <c r="I98" s="853">
        <v>5.750036163749457</v>
      </c>
      <c r="J98" s="853">
        <v>5.068853772298754</v>
      </c>
      <c r="K98" s="853">
        <v>2.610697911360163</v>
      </c>
      <c r="L98" s="853">
        <v>5.006290602562547</v>
      </c>
      <c r="M98" s="853">
        <v>4.987894011389605</v>
      </c>
      <c r="N98" s="853">
        <v>8.855782562063464</v>
      </c>
      <c r="O98" s="853">
        <v>8.955288476507768</v>
      </c>
      <c r="P98" s="853">
        <v>5.219337912378903</v>
      </c>
      <c r="Q98" s="853">
        <v>7.757462059696477</v>
      </c>
    </row>
    <row r="99" spans="1:17" ht="15">
      <c r="A99" s="831" t="str">
        <f t="shared" si="0"/>
        <v>2Rural Unrestricted Access</v>
      </c>
      <c r="B99" s="854">
        <v>2</v>
      </c>
      <c r="C99" s="855" t="s">
        <v>886</v>
      </c>
      <c r="D99" s="852"/>
      <c r="E99" s="856">
        <v>1.8559135154103512</v>
      </c>
      <c r="F99" s="856">
        <v>2.383291423986474</v>
      </c>
      <c r="G99" s="856">
        <v>1.2442623461598379</v>
      </c>
      <c r="H99" s="856">
        <v>4.875775894952204</v>
      </c>
      <c r="I99" s="856">
        <v>5.69609412575465</v>
      </c>
      <c r="J99" s="856">
        <v>3.5904307981316004</v>
      </c>
      <c r="K99" s="856">
        <v>2.558729740799251</v>
      </c>
      <c r="L99" s="856">
        <v>4.978493480725623</v>
      </c>
      <c r="M99" s="856">
        <v>4.955663319231969</v>
      </c>
      <c r="N99" s="856">
        <v>8.891344010706257</v>
      </c>
      <c r="O99" s="856">
        <v>8.992189165217033</v>
      </c>
      <c r="P99" s="856">
        <v>5.191353988087874</v>
      </c>
      <c r="Q99" s="856">
        <v>3.9384533512265945</v>
      </c>
    </row>
    <row r="100" spans="1:17" ht="15">
      <c r="A100" s="831" t="str">
        <f t="shared" si="0"/>
        <v>2Urban Restricted Access</v>
      </c>
      <c r="B100" s="854">
        <v>2</v>
      </c>
      <c r="C100" s="855" t="s">
        <v>887</v>
      </c>
      <c r="D100" s="852"/>
      <c r="E100" s="856">
        <v>1.9005824164648777</v>
      </c>
      <c r="F100" s="856">
        <v>2.4346715937922525</v>
      </c>
      <c r="G100" s="856">
        <v>1.286102050695101</v>
      </c>
      <c r="H100" s="856">
        <v>6.80785969993162</v>
      </c>
      <c r="I100" s="856">
        <v>5.750054332756282</v>
      </c>
      <c r="J100" s="856">
        <v>5.068849533678299</v>
      </c>
      <c r="K100" s="856">
        <v>2.6106918446519565</v>
      </c>
      <c r="L100" s="856">
        <v>5.006278726198293</v>
      </c>
      <c r="M100" s="856">
        <v>4.9878855629203445</v>
      </c>
      <c r="N100" s="856">
        <v>8.855766869491664</v>
      </c>
      <c r="O100" s="856">
        <v>8.955255145536475</v>
      </c>
      <c r="P100" s="856">
        <v>5.219335116545663</v>
      </c>
      <c r="Q100" s="856">
        <v>7.757440137212075</v>
      </c>
    </row>
    <row r="101" spans="1:17" ht="15">
      <c r="A101" s="831" t="str">
        <f t="shared" si="0"/>
        <v>2Urban Unrestricted Access</v>
      </c>
      <c r="B101" s="854">
        <v>2</v>
      </c>
      <c r="C101" s="855" t="s">
        <v>857</v>
      </c>
      <c r="D101" s="852"/>
      <c r="E101" s="856">
        <v>1.8559141090078508</v>
      </c>
      <c r="F101" s="856">
        <v>2.383292489044674</v>
      </c>
      <c r="G101" s="856">
        <v>1.2442599735253426</v>
      </c>
      <c r="H101" s="856">
        <v>4.87578037104851</v>
      </c>
      <c r="I101" s="856">
        <v>5.69610558994298</v>
      </c>
      <c r="J101" s="856">
        <v>3.5904314912944737</v>
      </c>
      <c r="K101" s="856">
        <v>2.5587360623965223</v>
      </c>
      <c r="L101" s="856">
        <v>4.978499166203447</v>
      </c>
      <c r="M101" s="856">
        <v>4.95567676461778</v>
      </c>
      <c r="N101" s="856">
        <v>8.891378930984182</v>
      </c>
      <c r="O101" s="856">
        <v>8.992201594599313</v>
      </c>
      <c r="P101" s="856">
        <v>5.19135925704103</v>
      </c>
      <c r="Q101" s="856">
        <v>3.938449252214317</v>
      </c>
    </row>
    <row r="102" spans="1:17" ht="15">
      <c r="A102" s="831" t="str">
        <f t="shared" si="0"/>
        <v>5Rural Restricted Access</v>
      </c>
      <c r="B102" s="854">
        <v>5</v>
      </c>
      <c r="C102" s="855" t="s">
        <v>885</v>
      </c>
      <c r="D102" s="852"/>
      <c r="E102" s="856">
        <v>1.0334862448703246</v>
      </c>
      <c r="F102" s="856">
        <v>1.3371194970180726</v>
      </c>
      <c r="G102" s="856">
        <v>0.7215647083341228</v>
      </c>
      <c r="H102" s="856">
        <v>3.4391277214755958</v>
      </c>
      <c r="I102" s="856">
        <v>2.934749678620264</v>
      </c>
      <c r="J102" s="856">
        <v>2.571634707030637</v>
      </c>
      <c r="K102" s="856">
        <v>1.4427690043584083</v>
      </c>
      <c r="L102" s="856">
        <v>2.556299974151565</v>
      </c>
      <c r="M102" s="856">
        <v>2.5487957488483444</v>
      </c>
      <c r="N102" s="856">
        <v>4.427891281031732</v>
      </c>
      <c r="O102" s="856">
        <v>4.477628670174674</v>
      </c>
      <c r="P102" s="856">
        <v>2.6577204174916282</v>
      </c>
      <c r="Q102" s="856">
        <v>3.8787270298162384</v>
      </c>
    </row>
    <row r="103" spans="1:17" ht="15">
      <c r="A103" s="831" t="str">
        <f t="shared" si="0"/>
        <v>5Rural Unrestricted Access</v>
      </c>
      <c r="B103" s="854">
        <v>5</v>
      </c>
      <c r="C103" s="855" t="s">
        <v>886</v>
      </c>
      <c r="D103" s="852"/>
      <c r="E103" s="856">
        <v>1.0183891407767185</v>
      </c>
      <c r="F103" s="856">
        <v>1.3218458738994319</v>
      </c>
      <c r="G103" s="856">
        <v>0.7074715687801838</v>
      </c>
      <c r="H103" s="856">
        <v>2.4378995064325593</v>
      </c>
      <c r="I103" s="856">
        <v>2.9129523412991825</v>
      </c>
      <c r="J103" s="856">
        <v>1.7952122258326564</v>
      </c>
      <c r="K103" s="856">
        <v>1.4287386009344936</v>
      </c>
      <c r="L103" s="856">
        <v>2.5470273526077096</v>
      </c>
      <c r="M103" s="856">
        <v>2.5374586597497424</v>
      </c>
      <c r="N103" s="856">
        <v>4.445676819317476</v>
      </c>
      <c r="O103" s="856">
        <v>4.4961117719456265</v>
      </c>
      <c r="P103" s="856">
        <v>2.647920680086955</v>
      </c>
      <c r="Q103" s="856">
        <v>1.9692266756132972</v>
      </c>
    </row>
    <row r="104" spans="1:17" ht="15">
      <c r="A104" s="831" t="str">
        <f t="shared" si="0"/>
        <v>5Urban Restricted Access</v>
      </c>
      <c r="B104" s="854">
        <v>5</v>
      </c>
      <c r="C104" s="855" t="s">
        <v>887</v>
      </c>
      <c r="D104" s="852"/>
      <c r="E104" s="856">
        <v>1.0334910081384387</v>
      </c>
      <c r="F104" s="856">
        <v>1.3371166619083275</v>
      </c>
      <c r="G104" s="856">
        <v>0.7215614778757459</v>
      </c>
      <c r="H104" s="856">
        <v>3.439113470898194</v>
      </c>
      <c r="I104" s="856">
        <v>2.934743237133129</v>
      </c>
      <c r="J104" s="856">
        <v>2.5716487889770074</v>
      </c>
      <c r="K104" s="856">
        <v>1.442767378607826</v>
      </c>
      <c r="L104" s="856">
        <v>2.556295141168746</v>
      </c>
      <c r="M104" s="856">
        <v>2.548794935509153</v>
      </c>
      <c r="N104" s="856">
        <v>4.427883434745832</v>
      </c>
      <c r="O104" s="856">
        <v>4.477627572768237</v>
      </c>
      <c r="P104" s="856">
        <v>2.657732408974289</v>
      </c>
      <c r="Q104" s="856">
        <v>3.878733468222809</v>
      </c>
    </row>
    <row r="105" spans="1:17" ht="15">
      <c r="A105" s="831" t="str">
        <f t="shared" si="0"/>
        <v>5Urban Unrestricted Access</v>
      </c>
      <c r="B105" s="854">
        <v>5</v>
      </c>
      <c r="C105" s="855" t="s">
        <v>857</v>
      </c>
      <c r="D105" s="852"/>
      <c r="E105" s="856">
        <v>1.0183886611531947</v>
      </c>
      <c r="F105" s="856">
        <v>1.3218458211047057</v>
      </c>
      <c r="G105" s="856">
        <v>0.7074713440373581</v>
      </c>
      <c r="H105" s="856">
        <v>2.4378945975160486</v>
      </c>
      <c r="I105" s="856">
        <v>2.9129573458936484</v>
      </c>
      <c r="J105" s="856">
        <v>1.7952096896290688</v>
      </c>
      <c r="K105" s="856">
        <v>1.4287406919171708</v>
      </c>
      <c r="L105" s="856">
        <v>2.5470283490828236</v>
      </c>
      <c r="M105" s="856">
        <v>2.537455026646609</v>
      </c>
      <c r="N105" s="856">
        <v>4.445681316263416</v>
      </c>
      <c r="O105" s="856">
        <v>4.496083338183088</v>
      </c>
      <c r="P105" s="856">
        <v>2.6479152340601733</v>
      </c>
      <c r="Q105" s="856">
        <v>1.9692318861623348</v>
      </c>
    </row>
    <row r="106" spans="1:17" ht="15">
      <c r="A106" s="831" t="str">
        <f t="shared" si="0"/>
        <v>10Rural Restricted Access</v>
      </c>
      <c r="B106" s="854">
        <v>10</v>
      </c>
      <c r="C106" s="855" t="s">
        <v>885</v>
      </c>
      <c r="D106" s="852"/>
      <c r="E106" s="856">
        <v>0.6287137468392909</v>
      </c>
      <c r="F106" s="856">
        <v>0.8241361466513151</v>
      </c>
      <c r="G106" s="856">
        <v>0.4700519106530512</v>
      </c>
      <c r="H106" s="856">
        <v>1.950655263643635</v>
      </c>
      <c r="I106" s="856">
        <v>1.8507433356350764</v>
      </c>
      <c r="J106" s="856">
        <v>1.526951540553388</v>
      </c>
      <c r="K106" s="856">
        <v>0.8974887266277994</v>
      </c>
      <c r="L106" s="856">
        <v>1.6162254669562672</v>
      </c>
      <c r="M106" s="856">
        <v>1.6232815843882622</v>
      </c>
      <c r="N106" s="856">
        <v>2.7688806341067833</v>
      </c>
      <c r="O106" s="856">
        <v>2.8157891459351747</v>
      </c>
      <c r="P106" s="856">
        <v>1.635721444110386</v>
      </c>
      <c r="Q106" s="856">
        <v>2.314658517268138</v>
      </c>
    </row>
    <row r="107" spans="1:17" ht="15">
      <c r="A107" s="831" t="str">
        <f t="shared" si="0"/>
        <v>10Rural Unrestricted Access</v>
      </c>
      <c r="B107" s="854">
        <v>10</v>
      </c>
      <c r="C107" s="855" t="s">
        <v>886</v>
      </c>
      <c r="D107" s="852"/>
      <c r="E107" s="856">
        <v>0.6285345711061399</v>
      </c>
      <c r="F107" s="856">
        <v>0.8257215929850201</v>
      </c>
      <c r="G107" s="856">
        <v>0.469540426857766</v>
      </c>
      <c r="H107" s="856">
        <v>1.2189451296336966</v>
      </c>
      <c r="I107" s="856">
        <v>1.8621494153033316</v>
      </c>
      <c r="J107" s="856">
        <v>0.8976061129163282</v>
      </c>
      <c r="K107" s="856">
        <v>0.9026659812599781</v>
      </c>
      <c r="L107" s="856">
        <v>1.6346619897959183</v>
      </c>
      <c r="M107" s="856">
        <v>1.641364641333169</v>
      </c>
      <c r="N107" s="856">
        <v>2.809376639756606</v>
      </c>
      <c r="O107" s="856">
        <v>2.858621140134352</v>
      </c>
      <c r="P107" s="856">
        <v>1.6504480302575069</v>
      </c>
      <c r="Q107" s="856">
        <v>0.9846144946985429</v>
      </c>
    </row>
    <row r="108" spans="1:17" ht="15">
      <c r="A108" s="831" t="str">
        <f t="shared" si="0"/>
        <v>10Urban Restricted Access</v>
      </c>
      <c r="B108" s="854">
        <v>10</v>
      </c>
      <c r="C108" s="855" t="s">
        <v>887</v>
      </c>
      <c r="D108" s="852"/>
      <c r="E108" s="856">
        <v>0.6287129393203951</v>
      </c>
      <c r="F108" s="856">
        <v>0.8241371694525396</v>
      </c>
      <c r="G108" s="856">
        <v>0.4700493560193081</v>
      </c>
      <c r="H108" s="856">
        <v>1.9506455894774948</v>
      </c>
      <c r="I108" s="856">
        <v>1.8507435468922913</v>
      </c>
      <c r="J108" s="856">
        <v>1.5269512521008217</v>
      </c>
      <c r="K108" s="856">
        <v>0.897485815385534</v>
      </c>
      <c r="L108" s="856">
        <v>1.6162179908076166</v>
      </c>
      <c r="M108" s="856">
        <v>1.6232738142250467</v>
      </c>
      <c r="N108" s="856">
        <v>2.7688750034107343</v>
      </c>
      <c r="O108" s="856">
        <v>2.8157837047862624</v>
      </c>
      <c r="P108" s="856">
        <v>1.6357197445275398</v>
      </c>
      <c r="Q108" s="856">
        <v>2.3146551608623995</v>
      </c>
    </row>
    <row r="109" spans="1:17" ht="15">
      <c r="A109" s="831" t="str">
        <f t="shared" si="0"/>
        <v>10Urban Unrestricted Access</v>
      </c>
      <c r="B109" s="854">
        <v>10</v>
      </c>
      <c r="C109" s="855" t="s">
        <v>857</v>
      </c>
      <c r="D109" s="852"/>
      <c r="E109" s="856">
        <v>0.6285358035453207</v>
      </c>
      <c r="F109" s="856">
        <v>0.825720872552369</v>
      </c>
      <c r="G109" s="856">
        <v>0.46953919418101164</v>
      </c>
      <c r="H109" s="856">
        <v>1.2189450927621275</v>
      </c>
      <c r="I109" s="856">
        <v>1.8621543789850368</v>
      </c>
      <c r="J109" s="856">
        <v>0.8976072672218016</v>
      </c>
      <c r="K109" s="856">
        <v>0.9026623667051152</v>
      </c>
      <c r="L109" s="856">
        <v>1.634663702056698</v>
      </c>
      <c r="M109" s="856">
        <v>1.641365280735769</v>
      </c>
      <c r="N109" s="856">
        <v>2.8093813920512423</v>
      </c>
      <c r="O109" s="856">
        <v>2.8586102543211314</v>
      </c>
      <c r="P109" s="856">
        <v>1.6504514096847895</v>
      </c>
      <c r="Q109" s="856">
        <v>0.9846130390590968</v>
      </c>
    </row>
    <row r="110" spans="1:17" ht="15">
      <c r="A110" s="831" t="str">
        <f t="shared" si="0"/>
        <v>15Rural Restricted Access</v>
      </c>
      <c r="B110" s="854">
        <v>15</v>
      </c>
      <c r="C110" s="855" t="s">
        <v>885</v>
      </c>
      <c r="D110" s="852"/>
      <c r="E110" s="856">
        <v>0.49648833128376607</v>
      </c>
      <c r="F110" s="856">
        <v>0.6437327779143327</v>
      </c>
      <c r="G110" s="856">
        <v>0.4015847905575659</v>
      </c>
      <c r="H110" s="856">
        <v>1.6585773175941145</v>
      </c>
      <c r="I110" s="856">
        <v>1.6077584206949445</v>
      </c>
      <c r="J110" s="856">
        <v>1.2827191147337662</v>
      </c>
      <c r="K110" s="856">
        <v>0.6981339974717459</v>
      </c>
      <c r="L110" s="856">
        <v>1.3804166865736367</v>
      </c>
      <c r="M110" s="856">
        <v>1.3880536109398238</v>
      </c>
      <c r="N110" s="856">
        <v>2.5400371465194755</v>
      </c>
      <c r="O110" s="856">
        <v>2.6096023912569666</v>
      </c>
      <c r="P110" s="856">
        <v>1.3810711055706288</v>
      </c>
      <c r="Q110" s="856">
        <v>2.0666805334442677</v>
      </c>
    </row>
    <row r="111" spans="1:17" ht="15">
      <c r="A111" s="831" t="str">
        <f t="shared" si="0"/>
        <v>15Rural Unrestricted Access</v>
      </c>
      <c r="B111" s="854">
        <v>15</v>
      </c>
      <c r="C111" s="855" t="s">
        <v>886</v>
      </c>
      <c r="D111" s="852"/>
      <c r="E111" s="856">
        <v>0.4884317689703437</v>
      </c>
      <c r="F111" s="856">
        <v>0.6461454146876142</v>
      </c>
      <c r="G111" s="856">
        <v>0.3887303318273874</v>
      </c>
      <c r="H111" s="856">
        <v>0.8126316276166587</v>
      </c>
      <c r="I111" s="856">
        <v>1.6392252858875975</v>
      </c>
      <c r="J111" s="856">
        <v>0.5984051330219334</v>
      </c>
      <c r="K111" s="856">
        <v>0.7080063023980876</v>
      </c>
      <c r="L111" s="856">
        <v>1.4050559807256235</v>
      </c>
      <c r="M111" s="856">
        <v>1.4113436859898187</v>
      </c>
      <c r="N111" s="856">
        <v>2.590649355650872</v>
      </c>
      <c r="O111" s="856">
        <v>2.6631199334428866</v>
      </c>
      <c r="P111" s="856">
        <v>1.4010239008383263</v>
      </c>
      <c r="Q111" s="856">
        <v>0.6564088918710991</v>
      </c>
    </row>
    <row r="112" spans="1:17" ht="15">
      <c r="A112" s="831" t="str">
        <f t="shared" si="0"/>
        <v>15Urban Restricted Access</v>
      </c>
      <c r="B112" s="854">
        <v>15</v>
      </c>
      <c r="C112" s="855" t="s">
        <v>887</v>
      </c>
      <c r="D112" s="852"/>
      <c r="E112" s="856">
        <v>0.4964887350925847</v>
      </c>
      <c r="F112" s="856">
        <v>0.6437332672552643</v>
      </c>
      <c r="G112" s="856">
        <v>0.40158473084909546</v>
      </c>
      <c r="H112" s="856">
        <v>1.6585736696029927</v>
      </c>
      <c r="I112" s="856">
        <v>1.6077574685681881</v>
      </c>
      <c r="J112" s="856">
        <v>1.2827192639559717</v>
      </c>
      <c r="K112" s="856">
        <v>0.6981312919430133</v>
      </c>
      <c r="L112" s="856">
        <v>1.380408732764281</v>
      </c>
      <c r="M112" s="856">
        <v>1.3880568904658044</v>
      </c>
      <c r="N112" s="856">
        <v>2.540028377309067</v>
      </c>
      <c r="O112" s="856">
        <v>2.6095968822311533</v>
      </c>
      <c r="P112" s="856">
        <v>1.381079753261641</v>
      </c>
      <c r="Q112" s="856">
        <v>2.066679172975653</v>
      </c>
    </row>
    <row r="113" spans="1:17" ht="15">
      <c r="A113" s="831" t="str">
        <f t="shared" si="0"/>
        <v>15Urban Unrestricted Access</v>
      </c>
      <c r="B113" s="854">
        <v>15</v>
      </c>
      <c r="C113" s="855" t="s">
        <v>857</v>
      </c>
      <c r="D113" s="852"/>
      <c r="E113" s="856">
        <v>0.48843191560967264</v>
      </c>
      <c r="F113" s="856">
        <v>0.6461449896028644</v>
      </c>
      <c r="G113" s="856">
        <v>0.3887289718101979</v>
      </c>
      <c r="H113" s="856">
        <v>0.8126315325053496</v>
      </c>
      <c r="I113" s="856">
        <v>1.639225228039314</v>
      </c>
      <c r="J113" s="856">
        <v>0.5984048448145345</v>
      </c>
      <c r="K113" s="856">
        <v>0.7080075013927796</v>
      </c>
      <c r="L113" s="856">
        <v>1.4050561423012784</v>
      </c>
      <c r="M113" s="856">
        <v>1.4113420081569237</v>
      </c>
      <c r="N113" s="856">
        <v>2.590656094400665</v>
      </c>
      <c r="O113" s="856">
        <v>2.6631147063958562</v>
      </c>
      <c r="P113" s="856">
        <v>1.401026300806696</v>
      </c>
      <c r="Q113" s="856">
        <v>0.656409176709743</v>
      </c>
    </row>
    <row r="114" spans="1:17" ht="15">
      <c r="A114" s="831" t="str">
        <f t="shared" si="0"/>
        <v>20Rural Restricted Access</v>
      </c>
      <c r="B114" s="854">
        <v>20</v>
      </c>
      <c r="C114" s="855" t="s">
        <v>885</v>
      </c>
      <c r="D114" s="852"/>
      <c r="E114" s="856">
        <v>0.431368051621461</v>
      </c>
      <c r="F114" s="856">
        <v>0.5629801161722662</v>
      </c>
      <c r="G114" s="856">
        <v>0.360991228236364</v>
      </c>
      <c r="H114" s="856">
        <v>1.5261358342635645</v>
      </c>
      <c r="I114" s="856">
        <v>1.4848453419726029</v>
      </c>
      <c r="J114" s="856">
        <v>1.1732118167406238</v>
      </c>
      <c r="K114" s="856">
        <v>0.6133129563593139</v>
      </c>
      <c r="L114" s="856">
        <v>1.2579612567484628</v>
      </c>
      <c r="M114" s="856">
        <v>1.2702310566215678</v>
      </c>
      <c r="N114" s="856">
        <v>2.349303720755836</v>
      </c>
      <c r="O114" s="856">
        <v>2.407615904349721</v>
      </c>
      <c r="P114" s="856">
        <v>1.2449219036444965</v>
      </c>
      <c r="Q114" s="856">
        <v>1.994811958495668</v>
      </c>
    </row>
    <row r="115" spans="1:17" ht="15">
      <c r="A115" s="831" t="str">
        <f t="shared" si="0"/>
        <v>20Rural Unrestricted Access</v>
      </c>
      <c r="B115" s="854">
        <v>20</v>
      </c>
      <c r="C115" s="855" t="s">
        <v>886</v>
      </c>
      <c r="D115" s="852"/>
      <c r="E115" s="856">
        <v>0.4102594776949672</v>
      </c>
      <c r="F115" s="856">
        <v>0.5454304483941914</v>
      </c>
      <c r="G115" s="856">
        <v>0.34537155320143326</v>
      </c>
      <c r="H115" s="856">
        <v>0.7554933940563846</v>
      </c>
      <c r="I115" s="856">
        <v>1.5201754448935054</v>
      </c>
      <c r="J115" s="856">
        <v>0.5781300771730301</v>
      </c>
      <c r="K115" s="856">
        <v>0.5976391083026155</v>
      </c>
      <c r="L115" s="856">
        <v>1.2796272675736962</v>
      </c>
      <c r="M115" s="856">
        <v>1.2902800252827922</v>
      </c>
      <c r="N115" s="856">
        <v>2.3730774229886054</v>
      </c>
      <c r="O115" s="856">
        <v>2.429915634733462</v>
      </c>
      <c r="P115" s="856">
        <v>1.2619901851622748</v>
      </c>
      <c r="Q115" s="856">
        <v>0.49230724734927145</v>
      </c>
    </row>
    <row r="116" spans="1:17" ht="15">
      <c r="A116" s="831" t="str">
        <f t="shared" si="0"/>
        <v>20Urban Restricted Access</v>
      </c>
      <c r="B116" s="854">
        <v>20</v>
      </c>
      <c r="C116" s="855" t="s">
        <v>887</v>
      </c>
      <c r="D116" s="852"/>
      <c r="E116" s="856">
        <v>0.43136748307584055</v>
      </c>
      <c r="F116" s="856">
        <v>0.5629797617957434</v>
      </c>
      <c r="G116" s="856">
        <v>0.3609906490474876</v>
      </c>
      <c r="H116" s="856">
        <v>1.5261333011544185</v>
      </c>
      <c r="I116" s="856">
        <v>1.4848455325984047</v>
      </c>
      <c r="J116" s="856">
        <v>1.1732115132763103</v>
      </c>
      <c r="K116" s="856">
        <v>0.613311147040754</v>
      </c>
      <c r="L116" s="856">
        <v>1.2579612606697308</v>
      </c>
      <c r="M116" s="856">
        <v>1.270229712570703</v>
      </c>
      <c r="N116" s="856">
        <v>2.3493001173292587</v>
      </c>
      <c r="O116" s="856">
        <v>2.4076093045914018</v>
      </c>
      <c r="P116" s="856">
        <v>1.2449219389704678</v>
      </c>
      <c r="Q116" s="856">
        <v>1.9948089884629299</v>
      </c>
    </row>
    <row r="117" spans="1:17" ht="15">
      <c r="A117" s="831" t="str">
        <f t="shared" si="0"/>
        <v>20Urban Unrestricted Access</v>
      </c>
      <c r="B117" s="854">
        <v>20</v>
      </c>
      <c r="C117" s="855" t="s">
        <v>857</v>
      </c>
      <c r="D117" s="852"/>
      <c r="E117" s="856">
        <v>0.41025941639586655</v>
      </c>
      <c r="F117" s="856">
        <v>0.5454286229242717</v>
      </c>
      <c r="G117" s="856">
        <v>0.34537196350085214</v>
      </c>
      <c r="H117" s="856">
        <v>0.7554918267852022</v>
      </c>
      <c r="I117" s="856">
        <v>1.520184459076225</v>
      </c>
      <c r="J117" s="856">
        <v>0.578129295987888</v>
      </c>
      <c r="K117" s="856">
        <v>0.5976389444692921</v>
      </c>
      <c r="L117" s="856">
        <v>1.2796309060589217</v>
      </c>
      <c r="M117" s="856">
        <v>1.290281805583444</v>
      </c>
      <c r="N117" s="856">
        <v>2.373079837993334</v>
      </c>
      <c r="O117" s="856">
        <v>2.429907466682186</v>
      </c>
      <c r="P117" s="856">
        <v>1.2619876814326805</v>
      </c>
      <c r="Q117" s="856">
        <v>0.49230724553506605</v>
      </c>
    </row>
    <row r="118" spans="1:17" ht="15">
      <c r="A118" s="831" t="str">
        <f t="shared" si="0"/>
        <v>25Rural Restricted Access</v>
      </c>
      <c r="B118" s="854">
        <v>25</v>
      </c>
      <c r="C118" s="855" t="s">
        <v>885</v>
      </c>
      <c r="D118" s="852"/>
      <c r="E118" s="856">
        <v>0.3780878228068479</v>
      </c>
      <c r="F118" s="856">
        <v>0.4974566294518687</v>
      </c>
      <c r="G118" s="856">
        <v>0.33525756398840534</v>
      </c>
      <c r="H118" s="856">
        <v>1.4338803385748564</v>
      </c>
      <c r="I118" s="856">
        <v>1.3879565161617844</v>
      </c>
      <c r="J118" s="856">
        <v>1.0793115346657691</v>
      </c>
      <c r="K118" s="856">
        <v>0.5440161506386672</v>
      </c>
      <c r="L118" s="856">
        <v>1.159035253100281</v>
      </c>
      <c r="M118" s="856">
        <v>1.1672168014799231</v>
      </c>
      <c r="N118" s="856">
        <v>2.2597422415221353</v>
      </c>
      <c r="O118" s="856">
        <v>2.315487125198493</v>
      </c>
      <c r="P118" s="856">
        <v>1.1575839423789853</v>
      </c>
      <c r="Q118" s="856">
        <v>1.9346114768918152</v>
      </c>
    </row>
    <row r="119" spans="1:17" ht="15">
      <c r="A119" s="831" t="str">
        <f t="shared" si="0"/>
        <v>25Rural Unrestricted Access</v>
      </c>
      <c r="B119" s="854">
        <v>25</v>
      </c>
      <c r="C119" s="855" t="s">
        <v>886</v>
      </c>
      <c r="D119" s="852"/>
      <c r="E119" s="856">
        <v>0.365172885438225</v>
      </c>
      <c r="F119" s="856">
        <v>0.4851239728628024</v>
      </c>
      <c r="G119" s="856">
        <v>0.33095497741081165</v>
      </c>
      <c r="H119" s="856">
        <v>0.7212095292037035</v>
      </c>
      <c r="I119" s="856">
        <v>1.416853908386754</v>
      </c>
      <c r="J119" s="856">
        <v>0.5659651705930138</v>
      </c>
      <c r="K119" s="856">
        <v>0.5332777485226142</v>
      </c>
      <c r="L119" s="856">
        <v>1.1713222789115647</v>
      </c>
      <c r="M119" s="856">
        <v>1.17689037391781</v>
      </c>
      <c r="N119" s="856">
        <v>2.256627625415806</v>
      </c>
      <c r="O119" s="856">
        <v>2.3093805650478894</v>
      </c>
      <c r="P119" s="856">
        <v>1.166604808445709</v>
      </c>
      <c r="Q119" s="856">
        <v>0.39384533512265946</v>
      </c>
    </row>
    <row r="120" spans="1:17" ht="15">
      <c r="A120" s="831" t="str">
        <f t="shared" si="0"/>
        <v>25Urban Restricted Access</v>
      </c>
      <c r="B120" s="854">
        <v>25</v>
      </c>
      <c r="C120" s="855" t="s">
        <v>887</v>
      </c>
      <c r="D120" s="852"/>
      <c r="E120" s="856">
        <v>0.3780869584337697</v>
      </c>
      <c r="F120" s="856">
        <v>0.4974563534602104</v>
      </c>
      <c r="G120" s="856">
        <v>0.335256755350672</v>
      </c>
      <c r="H120" s="856">
        <v>1.4338763525200113</v>
      </c>
      <c r="I120" s="856">
        <v>1.3879583623732548</v>
      </c>
      <c r="J120" s="856">
        <v>1.0793133377061346</v>
      </c>
      <c r="K120" s="856">
        <v>0.5440135506081589</v>
      </c>
      <c r="L120" s="856">
        <v>1.1590364412344059</v>
      </c>
      <c r="M120" s="856">
        <v>1.167214469279513</v>
      </c>
      <c r="N120" s="856">
        <v>2.259734235586237</v>
      </c>
      <c r="O120" s="856">
        <v>2.31547923517233</v>
      </c>
      <c r="P120" s="856">
        <v>1.1575836563131174</v>
      </c>
      <c r="Q120" s="856">
        <v>1.9346071902343593</v>
      </c>
    </row>
    <row r="121" spans="1:17" ht="15">
      <c r="A121" s="831" t="str">
        <f t="shared" si="0"/>
        <v>25Urban Unrestricted Access</v>
      </c>
      <c r="B121" s="854">
        <v>25</v>
      </c>
      <c r="C121" s="855" t="s">
        <v>857</v>
      </c>
      <c r="D121" s="852"/>
      <c r="E121" s="856">
        <v>0.3651732660976646</v>
      </c>
      <c r="F121" s="856">
        <v>0.48512523639024363</v>
      </c>
      <c r="G121" s="856">
        <v>0.3309549631828301</v>
      </c>
      <c r="H121" s="856">
        <v>0.72121065054819</v>
      </c>
      <c r="I121" s="856">
        <v>1.416857784025055</v>
      </c>
      <c r="J121" s="856">
        <v>0.5659639666919001</v>
      </c>
      <c r="K121" s="856">
        <v>0.5332784068171653</v>
      </c>
      <c r="L121" s="856">
        <v>1.1713218454697054</v>
      </c>
      <c r="M121" s="856">
        <v>1.176888057908233</v>
      </c>
      <c r="N121" s="856">
        <v>2.2566273602203553</v>
      </c>
      <c r="O121" s="856">
        <v>2.3093755455973928</v>
      </c>
      <c r="P121" s="856">
        <v>1.1666038168334036</v>
      </c>
      <c r="Q121" s="856">
        <v>0.39384492522143166</v>
      </c>
    </row>
    <row r="122" spans="1:17" ht="15">
      <c r="A122" s="831" t="str">
        <f t="shared" si="0"/>
        <v>30Rural Restricted Access</v>
      </c>
      <c r="B122" s="854">
        <v>30</v>
      </c>
      <c r="C122" s="855" t="s">
        <v>885</v>
      </c>
      <c r="D122" s="852"/>
      <c r="E122" s="856">
        <v>0.3458575711936772</v>
      </c>
      <c r="F122" s="856">
        <v>0.4580098060776983</v>
      </c>
      <c r="G122" s="856">
        <v>0.3238845840516833</v>
      </c>
      <c r="H122" s="856">
        <v>1.3130938464107724</v>
      </c>
      <c r="I122" s="856">
        <v>1.3273542600896862</v>
      </c>
      <c r="J122" s="856">
        <v>1.0231668150636177</v>
      </c>
      <c r="K122" s="856">
        <v>0.5010320559989434</v>
      </c>
      <c r="L122" s="856">
        <v>1.1323880891391247</v>
      </c>
      <c r="M122" s="856">
        <v>1.1416899416010737</v>
      </c>
      <c r="N122" s="856">
        <v>2.23418438974198</v>
      </c>
      <c r="O122" s="856">
        <v>2.2928168882523274</v>
      </c>
      <c r="P122" s="856">
        <v>1.128557519167624</v>
      </c>
      <c r="Q122" s="856">
        <v>1.8875631005048041</v>
      </c>
    </row>
    <row r="123" spans="1:17" ht="15">
      <c r="A123" s="831" t="str">
        <f t="shared" si="0"/>
        <v>30Rural Unrestricted Access</v>
      </c>
      <c r="B123" s="854">
        <v>30</v>
      </c>
      <c r="C123" s="855" t="s">
        <v>886</v>
      </c>
      <c r="D123" s="852"/>
      <c r="E123" s="856">
        <v>0.33890211466146675</v>
      </c>
      <c r="F123" s="856">
        <v>0.44885268685479307</v>
      </c>
      <c r="G123" s="856">
        <v>0.3207945162797944</v>
      </c>
      <c r="H123" s="856">
        <v>0.6983551604961105</v>
      </c>
      <c r="I123" s="856">
        <v>1.3504518926369138</v>
      </c>
      <c r="J123" s="856">
        <v>0.5578556559707555</v>
      </c>
      <c r="K123" s="856">
        <v>0.4934123640679723</v>
      </c>
      <c r="L123" s="856">
        <v>1.1350269274376417</v>
      </c>
      <c r="M123" s="856">
        <v>1.1423940496266591</v>
      </c>
      <c r="N123" s="856">
        <v>2.212247688093622</v>
      </c>
      <c r="O123" s="856">
        <v>2.266393470802192</v>
      </c>
      <c r="P123" s="856">
        <v>1.1308095179182647</v>
      </c>
      <c r="Q123" s="856">
        <v>0.32820444593554954</v>
      </c>
    </row>
    <row r="124" spans="1:17" ht="15">
      <c r="A124" s="831" t="str">
        <f t="shared" si="0"/>
        <v>30Urban Restricted Access</v>
      </c>
      <c r="B124" s="854">
        <v>30</v>
      </c>
      <c r="C124" s="855" t="s">
        <v>887</v>
      </c>
      <c r="D124" s="852"/>
      <c r="E124" s="856">
        <v>0.3458575319724376</v>
      </c>
      <c r="F124" s="856">
        <v>0.45800882357694234</v>
      </c>
      <c r="G124" s="856">
        <v>0.3238840608558361</v>
      </c>
      <c r="H124" s="856">
        <v>1.3130847512167652</v>
      </c>
      <c r="I124" s="856">
        <v>1.3273554811134343</v>
      </c>
      <c r="J124" s="856">
        <v>1.0231670122946384</v>
      </c>
      <c r="K124" s="856">
        <v>0.5010299656363868</v>
      </c>
      <c r="L124" s="856">
        <v>1.132386736703874</v>
      </c>
      <c r="M124" s="856">
        <v>1.14168544991707</v>
      </c>
      <c r="N124" s="856">
        <v>2.234181014488799</v>
      </c>
      <c r="O124" s="856">
        <v>2.2928072098404577</v>
      </c>
      <c r="P124" s="856">
        <v>1.1285577815382937</v>
      </c>
      <c r="Q124" s="856">
        <v>1.8875638156748717</v>
      </c>
    </row>
    <row r="125" spans="1:17" ht="15">
      <c r="A125" s="831" t="str">
        <f t="shared" si="0"/>
        <v>30Urban Unrestricted Access</v>
      </c>
      <c r="B125" s="854">
        <v>30</v>
      </c>
      <c r="C125" s="855" t="s">
        <v>857</v>
      </c>
      <c r="D125" s="852"/>
      <c r="E125" s="856">
        <v>0.33890197679486683</v>
      </c>
      <c r="F125" s="856">
        <v>0.44885497004602715</v>
      </c>
      <c r="G125" s="856">
        <v>0.32079456589988015</v>
      </c>
      <c r="H125" s="856">
        <v>0.6983565330568485</v>
      </c>
      <c r="I125" s="856">
        <v>1.350455804624629</v>
      </c>
      <c r="J125" s="856">
        <v>0.5578549583648751</v>
      </c>
      <c r="K125" s="856">
        <v>0.4934119567179053</v>
      </c>
      <c r="L125" s="856">
        <v>1.1350261256253473</v>
      </c>
      <c r="M125" s="856">
        <v>1.142393948471153</v>
      </c>
      <c r="N125" s="856">
        <v>2.21224666085355</v>
      </c>
      <c r="O125" s="856">
        <v>2.2663912006052493</v>
      </c>
      <c r="P125" s="856">
        <v>1.1308089882655665</v>
      </c>
      <c r="Q125" s="856">
        <v>0.32820386234935384</v>
      </c>
    </row>
    <row r="126" spans="1:17" ht="15">
      <c r="A126" s="831" t="str">
        <f t="shared" si="0"/>
        <v>35Rural Restricted Access</v>
      </c>
      <c r="B126" s="854">
        <v>35</v>
      </c>
      <c r="C126" s="855" t="s">
        <v>885</v>
      </c>
      <c r="D126" s="852"/>
      <c r="E126" s="856">
        <v>0.33509665206637834</v>
      </c>
      <c r="F126" s="856">
        <v>0.4475491274143262</v>
      </c>
      <c r="G126" s="856">
        <v>0.3308802076426122</v>
      </c>
      <c r="H126" s="856">
        <v>1.2687503845443917</v>
      </c>
      <c r="I126" s="856">
        <v>1.205598421349986</v>
      </c>
      <c r="J126" s="856">
        <v>0.9695484630660499</v>
      </c>
      <c r="K126" s="856">
        <v>0.48545499141525633</v>
      </c>
      <c r="L126" s="856">
        <v>1.0300086855642003</v>
      </c>
      <c r="M126" s="856">
        <v>1.0392288439914397</v>
      </c>
      <c r="N126" s="856">
        <v>1.9394145499254454</v>
      </c>
      <c r="O126" s="856">
        <v>1.9746738487405424</v>
      </c>
      <c r="P126" s="856">
        <v>1.0504754222580723</v>
      </c>
      <c r="Q126" s="856">
        <v>1.6874974999799999</v>
      </c>
    </row>
    <row r="127" spans="1:17" ht="15">
      <c r="A127" s="831" t="str">
        <f t="shared" si="0"/>
        <v>35Rural Unrestricted Access</v>
      </c>
      <c r="B127" s="854">
        <v>35</v>
      </c>
      <c r="C127" s="855" t="s">
        <v>886</v>
      </c>
      <c r="D127" s="852"/>
      <c r="E127" s="856">
        <v>0.323308330641656</v>
      </c>
      <c r="F127" s="856">
        <v>0.4322608838931992</v>
      </c>
      <c r="G127" s="856">
        <v>0.3241719894064496</v>
      </c>
      <c r="H127" s="856">
        <v>0.6843272109393964</v>
      </c>
      <c r="I127" s="856">
        <v>1.2173176457075583</v>
      </c>
      <c r="J127" s="856">
        <v>0.551972481722177</v>
      </c>
      <c r="K127" s="856">
        <v>0.4743766560512216</v>
      </c>
      <c r="L127" s="856">
        <v>1.022874149659864</v>
      </c>
      <c r="M127" s="856">
        <v>1.0312074631445605</v>
      </c>
      <c r="N127" s="856">
        <v>1.8807581031054883</v>
      </c>
      <c r="O127" s="856">
        <v>1.9084530284174122</v>
      </c>
      <c r="P127" s="856">
        <v>1.046682337415976</v>
      </c>
      <c r="Q127" s="856">
        <v>0.2813179312459147</v>
      </c>
    </row>
    <row r="128" spans="1:17" ht="15">
      <c r="A128" s="831" t="str">
        <f t="shared" si="0"/>
        <v>35Urban Restricted Access</v>
      </c>
      <c r="B128" s="854">
        <v>35</v>
      </c>
      <c r="C128" s="855" t="s">
        <v>887</v>
      </c>
      <c r="D128" s="852"/>
      <c r="E128" s="856">
        <v>0.3350969823735876</v>
      </c>
      <c r="F128" s="856">
        <v>0.4475481983850376</v>
      </c>
      <c r="G128" s="856">
        <v>0.33087985812971904</v>
      </c>
      <c r="H128" s="856">
        <v>1.2687502513977715</v>
      </c>
      <c r="I128" s="856">
        <v>1.205597647828813</v>
      </c>
      <c r="J128" s="856">
        <v>0.9695471942296693</v>
      </c>
      <c r="K128" s="856">
        <v>0.4854555653497876</v>
      </c>
      <c r="L128" s="856">
        <v>1.0300065659881812</v>
      </c>
      <c r="M128" s="856">
        <v>1.0392352229992041</v>
      </c>
      <c r="N128" s="856">
        <v>1.9394117165543399</v>
      </c>
      <c r="O128" s="856">
        <v>1.9746681281208136</v>
      </c>
      <c r="P128" s="856">
        <v>1.0504762814564115</v>
      </c>
      <c r="Q128" s="856">
        <v>1.687496817591017</v>
      </c>
    </row>
    <row r="129" spans="1:17" ht="15">
      <c r="A129" s="831" t="str">
        <f t="shared" si="0"/>
        <v>35Urban Unrestricted Access</v>
      </c>
      <c r="B129" s="854">
        <v>35</v>
      </c>
      <c r="C129" s="855" t="s">
        <v>857</v>
      </c>
      <c r="D129" s="852"/>
      <c r="E129" s="856">
        <v>0.32330775214755064</v>
      </c>
      <c r="F129" s="856">
        <v>0.43226259425346414</v>
      </c>
      <c r="G129" s="856">
        <v>0.3241732105822522</v>
      </c>
      <c r="H129" s="856">
        <v>0.6843263991528976</v>
      </c>
      <c r="I129" s="856">
        <v>1.2173189317156174</v>
      </c>
      <c r="J129" s="856">
        <v>0.551972142316427</v>
      </c>
      <c r="K129" s="856">
        <v>0.4743775648721389</v>
      </c>
      <c r="L129" s="856">
        <v>1.0228749305169538</v>
      </c>
      <c r="M129" s="856">
        <v>1.031208956157358</v>
      </c>
      <c r="N129" s="856">
        <v>1.8807604860199982</v>
      </c>
      <c r="O129" s="856">
        <v>1.9084443927137287</v>
      </c>
      <c r="P129" s="856">
        <v>1.046678940869398</v>
      </c>
      <c r="Q129" s="856">
        <v>0.28131842602003776</v>
      </c>
    </row>
    <row r="130" spans="1:17" ht="15">
      <c r="A130" s="831" t="str">
        <f t="shared" si="0"/>
        <v>40Rural Restricted Access</v>
      </c>
      <c r="B130" s="854">
        <v>40</v>
      </c>
      <c r="C130" s="855" t="s">
        <v>885</v>
      </c>
      <c r="D130" s="852"/>
      <c r="E130" s="856">
        <v>0.3270915949318116</v>
      </c>
      <c r="F130" s="856">
        <v>0.4393122808833232</v>
      </c>
      <c r="G130" s="856">
        <v>0.33480950305969726</v>
      </c>
      <c r="H130" s="856">
        <v>1.2677132133847817</v>
      </c>
      <c r="I130" s="856">
        <v>1.1856824304223108</v>
      </c>
      <c r="J130" s="856">
        <v>0.9667711477719947</v>
      </c>
      <c r="K130" s="856">
        <v>0.47510424331616385</v>
      </c>
      <c r="L130" s="856">
        <v>1.0171150941385305</v>
      </c>
      <c r="M130" s="856">
        <v>1.0302150966665458</v>
      </c>
      <c r="N130" s="856">
        <v>1.9279436000732466</v>
      </c>
      <c r="O130" s="856">
        <v>1.9650372077093128</v>
      </c>
      <c r="P130" s="856">
        <v>1.037826012563858</v>
      </c>
      <c r="Q130" s="856">
        <v>1.6584132673061385</v>
      </c>
    </row>
    <row r="131" spans="1:17" ht="15">
      <c r="A131" s="831" t="str">
        <f t="shared" si="0"/>
        <v>40Rural Unrestricted Access</v>
      </c>
      <c r="B131" s="854">
        <v>40</v>
      </c>
      <c r="C131" s="855" t="s">
        <v>886</v>
      </c>
      <c r="D131" s="852"/>
      <c r="E131" s="856">
        <v>0.31192153860264066</v>
      </c>
      <c r="F131" s="856">
        <v>0.4207232765228854</v>
      </c>
      <c r="G131" s="856">
        <v>0.32773952329023215</v>
      </c>
      <c r="H131" s="856">
        <v>0.6738039369805694</v>
      </c>
      <c r="I131" s="856">
        <v>1.1973180764233362</v>
      </c>
      <c r="J131" s="856">
        <v>0.5475604183590577</v>
      </c>
      <c r="K131" s="856">
        <v>0.4610185394150639</v>
      </c>
      <c r="L131" s="856">
        <v>1.0106434240362812</v>
      </c>
      <c r="M131" s="856">
        <v>1.0237222879353347</v>
      </c>
      <c r="N131" s="856">
        <v>1.8673752822186598</v>
      </c>
      <c r="O131" s="856">
        <v>1.8965889479438114</v>
      </c>
      <c r="P131" s="856">
        <v>1.036543480438074</v>
      </c>
      <c r="Q131" s="856">
        <v>0.2461530452286886</v>
      </c>
    </row>
    <row r="132" spans="1:17" ht="15">
      <c r="A132" s="831" t="str">
        <f t="shared" si="0"/>
        <v>40Urban Restricted Access</v>
      </c>
      <c r="B132" s="854">
        <v>40</v>
      </c>
      <c r="C132" s="855" t="s">
        <v>887</v>
      </c>
      <c r="D132" s="852"/>
      <c r="E132" s="856">
        <v>0.3270904738214931</v>
      </c>
      <c r="F132" s="856">
        <v>0.43931285990551555</v>
      </c>
      <c r="G132" s="856">
        <v>0.33480888679783033</v>
      </c>
      <c r="H132" s="856">
        <v>1.2677044366678734</v>
      </c>
      <c r="I132" s="856">
        <v>1.1856831313653635</v>
      </c>
      <c r="J132" s="856">
        <v>0.9667711280281096</v>
      </c>
      <c r="K132" s="856">
        <v>0.4751024859018052</v>
      </c>
      <c r="L132" s="856">
        <v>1.017112606697308</v>
      </c>
      <c r="M132" s="856">
        <v>1.0302131873606444</v>
      </c>
      <c r="N132" s="856">
        <v>1.9279380064940381</v>
      </c>
      <c r="O132" s="856">
        <v>1.9650322737790769</v>
      </c>
      <c r="P132" s="856">
        <v>1.0378268464435831</v>
      </c>
      <c r="Q132" s="856">
        <v>1.6584116094279704</v>
      </c>
    </row>
    <row r="133" spans="1:17" ht="15">
      <c r="A133" s="831" t="str">
        <f t="shared" si="0"/>
        <v>40Urban Unrestricted Access</v>
      </c>
      <c r="B133" s="854">
        <v>40</v>
      </c>
      <c r="C133" s="855" t="s">
        <v>857</v>
      </c>
      <c r="D133" s="852"/>
      <c r="E133" s="856">
        <v>0.31192173370923515</v>
      </c>
      <c r="F133" s="856">
        <v>0.42072486731210507</v>
      </c>
      <c r="G133" s="856">
        <v>0.32773940673934965</v>
      </c>
      <c r="H133" s="856">
        <v>0.6738037987249343</v>
      </c>
      <c r="I133" s="856">
        <v>1.1973194249217036</v>
      </c>
      <c r="J133" s="856">
        <v>0.5475597274791825</v>
      </c>
      <c r="K133" s="856">
        <v>0.4610194361400783</v>
      </c>
      <c r="L133" s="856">
        <v>1.0106459143968871</v>
      </c>
      <c r="M133" s="856">
        <v>1.0237235467805168</v>
      </c>
      <c r="N133" s="856">
        <v>1.8673794525348175</v>
      </c>
      <c r="O133" s="856">
        <v>1.8965838328580573</v>
      </c>
      <c r="P133" s="856">
        <v>1.0365416324689634</v>
      </c>
      <c r="Q133" s="856">
        <v>0.24615362276753303</v>
      </c>
    </row>
    <row r="134" spans="1:17" ht="15">
      <c r="A134" s="831" t="str">
        <f t="shared" si="0"/>
        <v>45Rural Restricted Access</v>
      </c>
      <c r="B134" s="854">
        <v>45</v>
      </c>
      <c r="C134" s="855" t="s">
        <v>885</v>
      </c>
      <c r="D134" s="852"/>
      <c r="E134" s="856">
        <v>0.3198955411548506</v>
      </c>
      <c r="F134" s="856">
        <v>0.43190856285333573</v>
      </c>
      <c r="G134" s="856">
        <v>0.3375689142337495</v>
      </c>
      <c r="H134" s="856">
        <v>1.2651642334162485</v>
      </c>
      <c r="I134" s="856">
        <v>1.167838008237147</v>
      </c>
      <c r="J134" s="856">
        <v>0.9633495725443924</v>
      </c>
      <c r="K134" s="856">
        <v>0.4653610309239448</v>
      </c>
      <c r="L134" s="856">
        <v>1.003589379845816</v>
      </c>
      <c r="M134" s="856">
        <v>1.019768580652182</v>
      </c>
      <c r="N134" s="856">
        <v>1.9160497379688004</v>
      </c>
      <c r="O134" s="856">
        <v>1.9544042096086185</v>
      </c>
      <c r="P134" s="856">
        <v>1.026531169286174</v>
      </c>
      <c r="Q134" s="856">
        <v>1.629485035880287</v>
      </c>
    </row>
    <row r="135" spans="1:17" ht="15">
      <c r="A135" s="831" t="str">
        <f t="shared" si="0"/>
        <v>45Rural Unrestricted Access</v>
      </c>
      <c r="B135" s="854">
        <v>45</v>
      </c>
      <c r="C135" s="855" t="s">
        <v>886</v>
      </c>
      <c r="D135" s="852"/>
      <c r="E135" s="856">
        <v>0.30306492325728845</v>
      </c>
      <c r="F135" s="856">
        <v>0.4117503779005208</v>
      </c>
      <c r="G135" s="856">
        <v>0.33051565664433713</v>
      </c>
      <c r="H135" s="856">
        <v>0.6656201958087223</v>
      </c>
      <c r="I135" s="856">
        <v>1.180958055461835</v>
      </c>
      <c r="J135" s="856">
        <v>0.5441276147441105</v>
      </c>
      <c r="K135" s="856">
        <v>0.450628777050578</v>
      </c>
      <c r="L135" s="856">
        <v>1.0010345804988663</v>
      </c>
      <c r="M135" s="856">
        <v>1.017910392958585</v>
      </c>
      <c r="N135" s="856">
        <v>1.8569626773344117</v>
      </c>
      <c r="O135" s="856">
        <v>1.8873582739155248</v>
      </c>
      <c r="P135" s="856">
        <v>1.029633033468243</v>
      </c>
      <c r="Q135" s="856">
        <v>0.21880296395703303</v>
      </c>
    </row>
    <row r="136" spans="1:17" ht="15">
      <c r="A136" s="831" t="str">
        <f t="shared" si="0"/>
        <v>45Urban Restricted Access</v>
      </c>
      <c r="B136" s="854">
        <v>45</v>
      </c>
      <c r="C136" s="855" t="s">
        <v>887</v>
      </c>
      <c r="D136" s="852"/>
      <c r="E136" s="856">
        <v>0.3198947857372557</v>
      </c>
      <c r="F136" s="856">
        <v>0.431908165848771</v>
      </c>
      <c r="G136" s="856">
        <v>0.3375680285188218</v>
      </c>
      <c r="H136" s="856">
        <v>1.26515425767266</v>
      </c>
      <c r="I136" s="856">
        <v>1.1678395047850296</v>
      </c>
      <c r="J136" s="856">
        <v>0.9633479755918188</v>
      </c>
      <c r="K136" s="856">
        <v>0.4653590581196017</v>
      </c>
      <c r="L136" s="856">
        <v>1.003586671043992</v>
      </c>
      <c r="M136" s="856">
        <v>1.0197694976214633</v>
      </c>
      <c r="N136" s="856">
        <v>1.9160481868536658</v>
      </c>
      <c r="O136" s="856">
        <v>1.9543977591036414</v>
      </c>
      <c r="P136" s="856">
        <v>1.0265325618210601</v>
      </c>
      <c r="Q136" s="856">
        <v>1.6294845167428211</v>
      </c>
    </row>
    <row r="137" spans="1:17" ht="15">
      <c r="A137" s="831" t="str">
        <f t="shared" si="0"/>
        <v>45Urban Unrestricted Access</v>
      </c>
      <c r="B137" s="854">
        <v>45</v>
      </c>
      <c r="C137" s="855" t="s">
        <v>857</v>
      </c>
      <c r="D137" s="852"/>
      <c r="E137" s="856">
        <v>0.30306394928635666</v>
      </c>
      <c r="F137" s="856">
        <v>0.4117507807939484</v>
      </c>
      <c r="G137" s="856">
        <v>0.33051462493782263</v>
      </c>
      <c r="H137" s="856">
        <v>0.6656195539476296</v>
      </c>
      <c r="I137" s="856">
        <v>1.1809584351140332</v>
      </c>
      <c r="J137" s="856">
        <v>0.5441271763815292</v>
      </c>
      <c r="K137" s="856">
        <v>0.4506289086101237</v>
      </c>
      <c r="L137" s="856">
        <v>1.001036131183991</v>
      </c>
      <c r="M137" s="856">
        <v>1.0179103396743157</v>
      </c>
      <c r="N137" s="856">
        <v>1.8569647382875212</v>
      </c>
      <c r="O137" s="856">
        <v>1.8873537798987372</v>
      </c>
      <c r="P137" s="856">
        <v>1.0296355449080543</v>
      </c>
      <c r="Q137" s="856">
        <v>0.21880354290692608</v>
      </c>
    </row>
    <row r="138" spans="1:17" ht="15">
      <c r="A138" s="831" t="str">
        <f t="shared" si="0"/>
        <v>50Rural Restricted Access</v>
      </c>
      <c r="B138" s="854">
        <v>50</v>
      </c>
      <c r="C138" s="855" t="s">
        <v>885</v>
      </c>
      <c r="D138" s="852"/>
      <c r="E138" s="856">
        <v>0.3124265955535904</v>
      </c>
      <c r="F138" s="856">
        <v>0.4240688754058914</v>
      </c>
      <c r="G138" s="856">
        <v>0.33765511623060457</v>
      </c>
      <c r="H138" s="856">
        <v>1.2521116980601383</v>
      </c>
      <c r="I138" s="856">
        <v>1.1464045045020457</v>
      </c>
      <c r="J138" s="856">
        <v>0.9556642995543265</v>
      </c>
      <c r="K138" s="856">
        <v>0.45679515480839983</v>
      </c>
      <c r="L138" s="856">
        <v>0.9917579018420991</v>
      </c>
      <c r="M138" s="856">
        <v>1.0114621495157605</v>
      </c>
      <c r="N138" s="856">
        <v>1.8346282296108336</v>
      </c>
      <c r="O138" s="856">
        <v>1.8652177974281534</v>
      </c>
      <c r="P138" s="856">
        <v>1.0245247814361256</v>
      </c>
      <c r="Q138" s="856">
        <v>1.5565044520356164</v>
      </c>
    </row>
    <row r="139" spans="1:17" ht="15">
      <c r="A139" s="831" t="str">
        <f t="shared" si="0"/>
        <v>50Rural Unrestricted Access</v>
      </c>
      <c r="B139" s="854">
        <v>50</v>
      </c>
      <c r="C139" s="855" t="s">
        <v>886</v>
      </c>
      <c r="D139" s="852"/>
      <c r="E139" s="856">
        <v>0.29597883344698195</v>
      </c>
      <c r="F139" s="856">
        <v>0.40457205900262916</v>
      </c>
      <c r="G139" s="856">
        <v>0.33273407072752764</v>
      </c>
      <c r="H139" s="856">
        <v>1.0006126246922429</v>
      </c>
      <c r="I139" s="856">
        <v>1.1613820233591523</v>
      </c>
      <c r="J139" s="856">
        <v>0.7736913586515028</v>
      </c>
      <c r="K139" s="856">
        <v>0.44231613129717395</v>
      </c>
      <c r="L139" s="856">
        <v>0.9925559807256236</v>
      </c>
      <c r="M139" s="856">
        <v>1.0133311652377344</v>
      </c>
      <c r="N139" s="856">
        <v>1.7739795599073793</v>
      </c>
      <c r="O139" s="856">
        <v>1.7963476096507813</v>
      </c>
      <c r="P139" s="856">
        <v>1.0320307759377412</v>
      </c>
      <c r="Q139" s="856">
        <v>0.19692266756132973</v>
      </c>
    </row>
    <row r="140" spans="1:17" ht="15">
      <c r="A140" s="831" t="str">
        <f t="shared" si="0"/>
        <v>50Urban Restricted Access</v>
      </c>
      <c r="B140" s="854">
        <v>50</v>
      </c>
      <c r="C140" s="855" t="s">
        <v>887</v>
      </c>
      <c r="D140" s="852"/>
      <c r="E140" s="856">
        <v>0.31242699180109335</v>
      </c>
      <c r="F140" s="856">
        <v>0.42406875710384134</v>
      </c>
      <c r="G140" s="856">
        <v>0.3376539830895692</v>
      </c>
      <c r="H140" s="856">
        <v>1.2521057077350066</v>
      </c>
      <c r="I140" s="856">
        <v>1.1464061692034444</v>
      </c>
      <c r="J140" s="856">
        <v>0.9556646547364283</v>
      </c>
      <c r="K140" s="856">
        <v>0.4567940807222801</v>
      </c>
      <c r="L140" s="856">
        <v>0.9917514773473408</v>
      </c>
      <c r="M140" s="856">
        <v>1.0114582890332144</v>
      </c>
      <c r="N140" s="856">
        <v>1.8346203170618571</v>
      </c>
      <c r="O140" s="856">
        <v>1.8652149555474364</v>
      </c>
      <c r="P140" s="856">
        <v>1.024527812653529</v>
      </c>
      <c r="Q140" s="856">
        <v>1.5565048439614626</v>
      </c>
    </row>
    <row r="141" spans="1:17" ht="15">
      <c r="A141" s="831" t="str">
        <f t="shared" si="0"/>
        <v>50Urban Unrestricted Access</v>
      </c>
      <c r="B141" s="854">
        <v>50</v>
      </c>
      <c r="C141" s="855" t="s">
        <v>857</v>
      </c>
      <c r="D141" s="852"/>
      <c r="E141" s="856">
        <v>0.29597854932056294</v>
      </c>
      <c r="F141" s="856">
        <v>0.40457097356464383</v>
      </c>
      <c r="G141" s="856">
        <v>0.33273534312406394</v>
      </c>
      <c r="H141" s="856">
        <v>1.0006132668593237</v>
      </c>
      <c r="I141" s="856">
        <v>1.1613838814770974</v>
      </c>
      <c r="J141" s="856">
        <v>0.7736878122634367</v>
      </c>
      <c r="K141" s="856">
        <v>0.4423169573848701</v>
      </c>
      <c r="L141" s="856">
        <v>0.9925558643690939</v>
      </c>
      <c r="M141" s="856">
        <v>1.0133315338505748</v>
      </c>
      <c r="N141" s="856">
        <v>1.7739811426848449</v>
      </c>
      <c r="O141" s="856">
        <v>1.7963452249316185</v>
      </c>
      <c r="P141" s="856">
        <v>1.0320312326700827</v>
      </c>
      <c r="Q141" s="856">
        <v>0.19692318861623348</v>
      </c>
    </row>
    <row r="142" spans="1:17" ht="15">
      <c r="A142" s="831" t="str">
        <f t="shared" si="0"/>
        <v>55Rural Restricted Access</v>
      </c>
      <c r="B142" s="854">
        <v>55</v>
      </c>
      <c r="C142" s="855" t="s">
        <v>885</v>
      </c>
      <c r="D142" s="852"/>
      <c r="E142" s="856">
        <v>0.3061231398449698</v>
      </c>
      <c r="F142" s="856">
        <v>0.41893168087556115</v>
      </c>
      <c r="G142" s="856">
        <v>0.34553928348142393</v>
      </c>
      <c r="H142" s="856">
        <v>1.2406500777878369</v>
      </c>
      <c r="I142" s="856">
        <v>1.1277385511027898</v>
      </c>
      <c r="J142" s="856">
        <v>0.9486425901662288</v>
      </c>
      <c r="K142" s="856">
        <v>0.4507197977396653</v>
      </c>
      <c r="L142" s="856">
        <v>0.9821498792718827</v>
      </c>
      <c r="M142" s="856">
        <v>1.0047063731002213</v>
      </c>
      <c r="N142" s="856">
        <v>1.7326278982569039</v>
      </c>
      <c r="O142" s="856">
        <v>1.7541551203412522</v>
      </c>
      <c r="P142" s="856">
        <v>1.0228463412448159</v>
      </c>
      <c r="Q142" s="856">
        <v>1.4722997783982272</v>
      </c>
    </row>
    <row r="143" spans="1:17" ht="15">
      <c r="A143" s="831" t="str">
        <f t="shared" si="0"/>
        <v>55Rural Unrestricted Access</v>
      </c>
      <c r="B143" s="854">
        <v>55</v>
      </c>
      <c r="C143" s="855" t="s">
        <v>886</v>
      </c>
      <c r="D143" s="852"/>
      <c r="E143" s="856">
        <v>0.29046787333564617</v>
      </c>
      <c r="F143" s="856">
        <v>0.40054947810326175</v>
      </c>
      <c r="G143" s="856">
        <v>0.3433961676273563</v>
      </c>
      <c r="H143" s="856">
        <v>1.274698600210373</v>
      </c>
      <c r="I143" s="856">
        <v>1.1453665750199207</v>
      </c>
      <c r="J143" s="856">
        <v>0.9615086819658814</v>
      </c>
      <c r="K143" s="856">
        <v>0.436926912242868</v>
      </c>
      <c r="L143" s="856">
        <v>0.9856221655328798</v>
      </c>
      <c r="M143" s="856">
        <v>1.0095859549368325</v>
      </c>
      <c r="N143" s="856">
        <v>1.670185674604894</v>
      </c>
      <c r="O143" s="856">
        <v>1.6828223516388314</v>
      </c>
      <c r="P143" s="856">
        <v>1.0339925652309667</v>
      </c>
      <c r="Q143" s="856">
        <v>0.17902092238990727</v>
      </c>
    </row>
    <row r="144" spans="1:17" ht="15">
      <c r="A144" s="831" t="str">
        <f t="shared" si="0"/>
        <v>55Urban Restricted Access</v>
      </c>
      <c r="B144" s="854">
        <v>55</v>
      </c>
      <c r="C144" s="855" t="s">
        <v>887</v>
      </c>
      <c r="D144" s="852"/>
      <c r="E144" s="856">
        <v>0.3061245805034783</v>
      </c>
      <c r="F144" s="856">
        <v>0.41893136679253823</v>
      </c>
      <c r="G144" s="856">
        <v>0.34553873158197124</v>
      </c>
      <c r="H144" s="856">
        <v>1.2406419693495836</v>
      </c>
      <c r="I144" s="856">
        <v>1.1277381835622804</v>
      </c>
      <c r="J144" s="856">
        <v>0.9486416710284254</v>
      </c>
      <c r="K144" s="856">
        <v>0.4507195618050089</v>
      </c>
      <c r="L144" s="856">
        <v>0.9821487196323047</v>
      </c>
      <c r="M144" s="856">
        <v>1.004702394332825</v>
      </c>
      <c r="N144" s="856">
        <v>1.7326257196649295</v>
      </c>
      <c r="O144" s="856">
        <v>1.7541493118986724</v>
      </c>
      <c r="P144" s="856">
        <v>1.0228464981712975</v>
      </c>
      <c r="Q144" s="856">
        <v>1.4722989722493938</v>
      </c>
    </row>
    <row r="145" spans="1:17" ht="15">
      <c r="A145" s="831" t="str">
        <f t="shared" si="0"/>
        <v>55Urban Unrestricted Access</v>
      </c>
      <c r="B145" s="854">
        <v>55</v>
      </c>
      <c r="C145" s="855" t="s">
        <v>857</v>
      </c>
      <c r="D145" s="852"/>
      <c r="E145" s="856">
        <v>0.29046691640965944</v>
      </c>
      <c r="F145" s="856">
        <v>0.4005493130896306</v>
      </c>
      <c r="G145" s="856">
        <v>0.34339315953563343</v>
      </c>
      <c r="H145" s="856">
        <v>1.2746994330590544</v>
      </c>
      <c r="I145" s="856">
        <v>1.1453654446589279</v>
      </c>
      <c r="J145" s="856">
        <v>0.9615115821347464</v>
      </c>
      <c r="K145" s="856">
        <v>0.4369270968197547</v>
      </c>
      <c r="L145" s="856">
        <v>0.9856231239577543</v>
      </c>
      <c r="M145" s="856">
        <v>1.009585537425401</v>
      </c>
      <c r="N145" s="856">
        <v>1.6701925662736021</v>
      </c>
      <c r="O145" s="856">
        <v>1.6828144095908748</v>
      </c>
      <c r="P145" s="856">
        <v>1.033990668648285</v>
      </c>
      <c r="Q145" s="856">
        <v>0.1790198925511834</v>
      </c>
    </row>
    <row r="146" spans="1:17" ht="15">
      <c r="A146" s="831" t="str">
        <f t="shared" si="0"/>
        <v>60Rural Restricted Access</v>
      </c>
      <c r="B146" s="854">
        <v>60</v>
      </c>
      <c r="C146" s="855" t="s">
        <v>885</v>
      </c>
      <c r="D146" s="852"/>
      <c r="E146" s="856">
        <v>0.30099691874041423</v>
      </c>
      <c r="F146" s="856">
        <v>0.41587213288658326</v>
      </c>
      <c r="G146" s="856">
        <v>0.36201333762764526</v>
      </c>
      <c r="H146" s="856">
        <v>1.1944168549103023</v>
      </c>
      <c r="I146" s="856">
        <v>1.0730671499417286</v>
      </c>
      <c r="J146" s="856">
        <v>0.91599284799085</v>
      </c>
      <c r="K146" s="856">
        <v>0.4466708175317447</v>
      </c>
      <c r="L146" s="856">
        <v>0.9511501328560561</v>
      </c>
      <c r="M146" s="856">
        <v>0.9811835757553774</v>
      </c>
      <c r="N146" s="856">
        <v>1.692420714852504</v>
      </c>
      <c r="O146" s="856">
        <v>1.7174829529532647</v>
      </c>
      <c r="P146" s="856">
        <v>0.9936834429208119</v>
      </c>
      <c r="Q146" s="856">
        <v>1.4247273978191826</v>
      </c>
    </row>
    <row r="147" spans="1:17" ht="15">
      <c r="A147" s="831" t="str">
        <f t="shared" si="0"/>
        <v>60Rural Unrestricted Access</v>
      </c>
      <c r="B147" s="854">
        <v>60</v>
      </c>
      <c r="C147" s="855" t="s">
        <v>886</v>
      </c>
      <c r="D147" s="852"/>
      <c r="E147" s="856">
        <v>0.2868650133786333</v>
      </c>
      <c r="F147" s="856">
        <v>0.3998653169707781</v>
      </c>
      <c r="G147" s="856">
        <v>0.36366100638728777</v>
      </c>
      <c r="H147" s="856">
        <v>1.2469131806780485</v>
      </c>
      <c r="I147" s="856">
        <v>1.090105740723459</v>
      </c>
      <c r="J147" s="856">
        <v>0.9421075345247766</v>
      </c>
      <c r="K147" s="856">
        <v>0.43462829225072513</v>
      </c>
      <c r="L147" s="856">
        <v>0.95593820861678</v>
      </c>
      <c r="M147" s="856">
        <v>0.9880037871734415</v>
      </c>
      <c r="N147" s="856">
        <v>1.633498452310462</v>
      </c>
      <c r="O147" s="856">
        <v>1.6504788949318958</v>
      </c>
      <c r="P147" s="856">
        <v>1.0067513829730828</v>
      </c>
      <c r="Q147" s="856">
        <v>0.16410280141372188</v>
      </c>
    </row>
    <row r="148" spans="1:17" ht="15">
      <c r="A148" s="831" t="str">
        <f t="shared" si="0"/>
        <v>60Urban Restricted Access</v>
      </c>
      <c r="B148" s="854">
        <v>60</v>
      </c>
      <c r="C148" s="855" t="s">
        <v>887</v>
      </c>
      <c r="D148" s="852"/>
      <c r="E148" s="856">
        <v>0.30099579747628696</v>
      </c>
      <c r="F148" s="856">
        <v>0.415872203577912</v>
      </c>
      <c r="G148" s="856">
        <v>0.36201260365442645</v>
      </c>
      <c r="H148" s="856">
        <v>1.1944169582880817</v>
      </c>
      <c r="I148" s="856">
        <v>1.0730681894826772</v>
      </c>
      <c r="J148" s="856">
        <v>0.9159914222425403</v>
      </c>
      <c r="K148" s="856">
        <v>0.44666883501537485</v>
      </c>
      <c r="L148" s="856">
        <v>0.9511490479317137</v>
      </c>
      <c r="M148" s="856">
        <v>0.9811843472238254</v>
      </c>
      <c r="N148" s="856">
        <v>1.692419984174193</v>
      </c>
      <c r="O148" s="856">
        <v>1.7174765558397271</v>
      </c>
      <c r="P148" s="856">
        <v>0.9936841530651236</v>
      </c>
      <c r="Q148" s="856">
        <v>1.4247276527891302</v>
      </c>
    </row>
    <row r="149" spans="1:17" ht="15">
      <c r="A149" s="831" t="str">
        <f t="shared" si="0"/>
        <v>60Urban Unrestricted Access</v>
      </c>
      <c r="B149" s="854">
        <v>60</v>
      </c>
      <c r="C149" s="855" t="s">
        <v>857</v>
      </c>
      <c r="D149" s="852"/>
      <c r="E149" s="856">
        <v>0.28686559670736483</v>
      </c>
      <c r="F149" s="856">
        <v>0.39986603431996276</v>
      </c>
      <c r="G149" s="856">
        <v>0.36365959135523607</v>
      </c>
      <c r="H149" s="856">
        <v>1.2469127087423617</v>
      </c>
      <c r="I149" s="856">
        <v>1.090104641891281</v>
      </c>
      <c r="J149" s="856">
        <v>0.9421080999242998</v>
      </c>
      <c r="K149" s="856">
        <v>0.43462881445038176</v>
      </c>
      <c r="L149" s="856">
        <v>0.9559399666481379</v>
      </c>
      <c r="M149" s="856">
        <v>0.9880016195344826</v>
      </c>
      <c r="N149" s="856">
        <v>1.6335047387764747</v>
      </c>
      <c r="O149" s="856">
        <v>1.6504743060001164</v>
      </c>
      <c r="P149" s="856">
        <v>1.006750811502259</v>
      </c>
      <c r="Q149" s="856">
        <v>0.16410193117467692</v>
      </c>
    </row>
    <row r="150" spans="1:17" ht="15">
      <c r="A150" s="831" t="str">
        <f t="shared" si="0"/>
        <v>65Rural Restricted Access</v>
      </c>
      <c r="B150" s="854">
        <v>65</v>
      </c>
      <c r="C150" s="855" t="s">
        <v>885</v>
      </c>
      <c r="D150" s="852"/>
      <c r="E150" s="856">
        <v>0.30615699224849047</v>
      </c>
      <c r="F150" s="856">
        <v>0.42279848380962237</v>
      </c>
      <c r="G150" s="856">
        <v>0.380076918704886</v>
      </c>
      <c r="H150" s="856">
        <v>1.1089205509312567</v>
      </c>
      <c r="I150" s="856">
        <v>0.9947132692302444</v>
      </c>
      <c r="J150" s="856">
        <v>0.8506330396762775</v>
      </c>
      <c r="K150" s="856">
        <v>0.45351974491047337</v>
      </c>
      <c r="L150" s="856">
        <v>0.8839258260167562</v>
      </c>
      <c r="M150" s="856">
        <v>0.9121114295041532</v>
      </c>
      <c r="N150" s="856">
        <v>1.569501486732763</v>
      </c>
      <c r="O150" s="856">
        <v>1.5930659775196936</v>
      </c>
      <c r="P150" s="856">
        <v>0.9228935982987461</v>
      </c>
      <c r="Q150" s="856">
        <v>1.3201665613324907</v>
      </c>
    </row>
    <row r="151" spans="1:17" ht="15">
      <c r="A151" s="831" t="str">
        <f t="shared" si="0"/>
        <v>65Rural Unrestricted Access</v>
      </c>
      <c r="B151" s="854">
        <v>65</v>
      </c>
      <c r="C151" s="855" t="s">
        <v>886</v>
      </c>
      <c r="D151" s="852"/>
      <c r="E151" s="856">
        <v>0.29443361127394096</v>
      </c>
      <c r="F151" s="856">
        <v>0.4095796886529548</v>
      </c>
      <c r="G151" s="856">
        <v>0.38478890792958403</v>
      </c>
      <c r="H151" s="856">
        <v>1.1551443135713708</v>
      </c>
      <c r="I151" s="856">
        <v>1.008944530986411</v>
      </c>
      <c r="J151" s="856">
        <v>0.8729945166531276</v>
      </c>
      <c r="K151" s="856">
        <v>0.44407979972750905</v>
      </c>
      <c r="L151" s="856">
        <v>0.886125283446712</v>
      </c>
      <c r="M151" s="856">
        <v>0.9165038409387155</v>
      </c>
      <c r="N151" s="856">
        <v>1.5078443549047076</v>
      </c>
      <c r="O151" s="856">
        <v>1.5235184510344544</v>
      </c>
      <c r="P151" s="856">
        <v>0.9334759018044927</v>
      </c>
      <c r="Q151" s="856">
        <v>0.15147879706380837</v>
      </c>
    </row>
    <row r="152" spans="1:17" ht="15">
      <c r="A152" s="831" t="str">
        <f t="shared" si="0"/>
        <v>65Urban Restricted Access</v>
      </c>
      <c r="B152" s="854">
        <v>65</v>
      </c>
      <c r="C152" s="855" t="s">
        <v>887</v>
      </c>
      <c r="D152" s="852"/>
      <c r="E152" s="856">
        <v>0.30615756303098435</v>
      </c>
      <c r="F152" s="856">
        <v>0.42279801119376853</v>
      </c>
      <c r="G152" s="856">
        <v>0.38007663528570845</v>
      </c>
      <c r="H152" s="856">
        <v>1.1089095370258637</v>
      </c>
      <c r="I152" s="856">
        <v>0.9947141097796464</v>
      </c>
      <c r="J152" s="856">
        <v>0.8506335040492581</v>
      </c>
      <c r="K152" s="856">
        <v>0.4535195599194883</v>
      </c>
      <c r="L152" s="856">
        <v>0.8839215364412344</v>
      </c>
      <c r="M152" s="856">
        <v>0.9121126144461928</v>
      </c>
      <c r="N152" s="856">
        <v>1.5694971213402822</v>
      </c>
      <c r="O152" s="856">
        <v>1.5930629643161613</v>
      </c>
      <c r="P152" s="856">
        <v>0.92289426278727</v>
      </c>
      <c r="Q152" s="856">
        <v>1.3201650832786183</v>
      </c>
    </row>
    <row r="153" spans="1:17" ht="15">
      <c r="A153" s="831" t="str">
        <f t="shared" si="0"/>
        <v>65Urban Unrestricted Access</v>
      </c>
      <c r="B153" s="854">
        <v>65</v>
      </c>
      <c r="C153" s="855" t="s">
        <v>857</v>
      </c>
      <c r="D153" s="852"/>
      <c r="E153" s="856">
        <v>0.2944337473034929</v>
      </c>
      <c r="F153" s="856">
        <v>0.40957989115961013</v>
      </c>
      <c r="G153" s="856">
        <v>0.38478767270364966</v>
      </c>
      <c r="H153" s="856">
        <v>1.155147691425294</v>
      </c>
      <c r="I153" s="856">
        <v>1.0089503204469543</v>
      </c>
      <c r="J153" s="856">
        <v>0.872993186979561</v>
      </c>
      <c r="K153" s="856">
        <v>0.4440800985538633</v>
      </c>
      <c r="L153" s="856">
        <v>0.8861234018899389</v>
      </c>
      <c r="M153" s="856">
        <v>0.9165018055176092</v>
      </c>
      <c r="N153" s="856">
        <v>1.50785178182885</v>
      </c>
      <c r="O153" s="856">
        <v>1.5235174300180412</v>
      </c>
      <c r="P153" s="856">
        <v>0.9334753000155276</v>
      </c>
      <c r="Q153" s="856">
        <v>0.15147959924495427</v>
      </c>
    </row>
    <row r="154" spans="1:17" ht="15">
      <c r="A154" s="831" t="str">
        <f t="shared" si="0"/>
        <v>70Rural Restricted Access</v>
      </c>
      <c r="B154" s="854">
        <v>70</v>
      </c>
      <c r="C154" s="855" t="s">
        <v>885</v>
      </c>
      <c r="D154" s="852"/>
      <c r="E154" s="856">
        <v>0.31672377820457903</v>
      </c>
      <c r="F154" s="856">
        <v>0.4431260430277235</v>
      </c>
      <c r="G154" s="856">
        <v>0.39005172119811304</v>
      </c>
      <c r="H154" s="856">
        <v>1.0330488437299488</v>
      </c>
      <c r="I154" s="856">
        <v>0.924997748294845</v>
      </c>
      <c r="J154" s="856">
        <v>0.791995733889279</v>
      </c>
      <c r="K154" s="856">
        <v>0.47326654214071434</v>
      </c>
      <c r="L154" s="856">
        <v>0.8224102256899143</v>
      </c>
      <c r="M154" s="856">
        <v>0.8486878377888207</v>
      </c>
      <c r="N154" s="856">
        <v>1.4642791744055248</v>
      </c>
      <c r="O154" s="856">
        <v>1.4864557710869633</v>
      </c>
      <c r="P154" s="856">
        <v>0.8582023579640358</v>
      </c>
      <c r="Q154" s="856">
        <v>1.2293338346706775</v>
      </c>
    </row>
    <row r="155" spans="1:17" ht="15">
      <c r="A155" s="831" t="str">
        <f t="shared" si="0"/>
        <v>70Rural Unrestricted Access</v>
      </c>
      <c r="B155" s="854">
        <v>70</v>
      </c>
      <c r="C155" s="855" t="s">
        <v>886</v>
      </c>
      <c r="D155" s="852"/>
      <c r="E155" s="856">
        <v>0.3078401582307505</v>
      </c>
      <c r="F155" s="856">
        <v>0.4339659137312214</v>
      </c>
      <c r="G155" s="856">
        <v>0.39706496338993613</v>
      </c>
      <c r="H155" s="856">
        <v>1.0726341705870794</v>
      </c>
      <c r="I155" s="856">
        <v>0.9368786027580167</v>
      </c>
      <c r="J155" s="856">
        <v>0.8106341389114541</v>
      </c>
      <c r="K155" s="856">
        <v>0.4676270718924747</v>
      </c>
      <c r="L155" s="856">
        <v>0.8228316326530613</v>
      </c>
      <c r="M155" s="856">
        <v>0.8510387188653167</v>
      </c>
      <c r="N155" s="856">
        <v>1.4001415305518248</v>
      </c>
      <c r="O155" s="856">
        <v>1.4146961956559108</v>
      </c>
      <c r="P155" s="856">
        <v>0.8667986308713761</v>
      </c>
      <c r="Q155" s="856">
        <v>0.1406595440689045</v>
      </c>
    </row>
    <row r="156" spans="1:17" ht="15">
      <c r="A156" s="831" t="str">
        <f t="shared" si="0"/>
        <v>70Urban Restricted Access</v>
      </c>
      <c r="B156" s="854">
        <v>70</v>
      </c>
      <c r="C156" s="855" t="s">
        <v>887</v>
      </c>
      <c r="D156" s="852"/>
      <c r="E156" s="856">
        <v>0.3167229660087569</v>
      </c>
      <c r="F156" s="856">
        <v>0.4431250976357339</v>
      </c>
      <c r="G156" s="856">
        <v>0.39005098463222754</v>
      </c>
      <c r="H156" s="856">
        <v>1.0330397007360927</v>
      </c>
      <c r="I156" s="856">
        <v>0.9249983138110119</v>
      </c>
      <c r="J156" s="856">
        <v>0.7919960070583195</v>
      </c>
      <c r="K156" s="856">
        <v>0.47326567456856933</v>
      </c>
      <c r="L156" s="856">
        <v>0.8224064346684176</v>
      </c>
      <c r="M156" s="856">
        <v>0.8486849699569251</v>
      </c>
      <c r="N156" s="856">
        <v>1.4642759693306775</v>
      </c>
      <c r="O156" s="856">
        <v>1.4864547558153696</v>
      </c>
      <c r="P156" s="856">
        <v>0.8582018669141329</v>
      </c>
      <c r="Q156" s="856">
        <v>1.229329081188278</v>
      </c>
    </row>
    <row r="157" spans="1:17" ht="15">
      <c r="A157" s="831" t="str">
        <f t="shared" si="0"/>
        <v>70Urban Unrestricted Access</v>
      </c>
      <c r="B157" s="854">
        <v>70</v>
      </c>
      <c r="C157" s="855" t="s">
        <v>857</v>
      </c>
      <c r="D157" s="852"/>
      <c r="E157" s="856">
        <v>0.30783904266412143</v>
      </c>
      <c r="F157" s="856">
        <v>0.43396810110373735</v>
      </c>
      <c r="G157" s="856">
        <v>0.39706278081756136</v>
      </c>
      <c r="H157" s="856">
        <v>1.0726346208996052</v>
      </c>
      <c r="I157" s="856">
        <v>0.9368819511232769</v>
      </c>
      <c r="J157" s="856">
        <v>0.8106355791067373</v>
      </c>
      <c r="K157" s="856">
        <v>0.46762788069960687</v>
      </c>
      <c r="L157" s="856">
        <v>0.8228304613674263</v>
      </c>
      <c r="M157" s="856">
        <v>0.8510390367061565</v>
      </c>
      <c r="N157" s="856">
        <v>1.4001434264246888</v>
      </c>
      <c r="O157" s="856">
        <v>1.4146947564453238</v>
      </c>
      <c r="P157" s="856">
        <v>0.8668027180704362</v>
      </c>
      <c r="Q157" s="856">
        <v>0.14065921301001888</v>
      </c>
    </row>
    <row r="158" spans="1:17" ht="15">
      <c r="A158" s="831" t="str">
        <f t="shared" si="0"/>
        <v>75Rural Restricted Access</v>
      </c>
      <c r="B158" s="854">
        <v>75</v>
      </c>
      <c r="C158" s="855" t="s">
        <v>885</v>
      </c>
      <c r="D158" s="852"/>
      <c r="E158" s="856">
        <v>0.33234631699667005</v>
      </c>
      <c r="F158" s="856">
        <v>0.4706645622841175</v>
      </c>
      <c r="G158" s="856">
        <v>0.38627493700623305</v>
      </c>
      <c r="H158" s="856">
        <v>0.9667226270314931</v>
      </c>
      <c r="I158" s="856">
        <v>0.864870397309963</v>
      </c>
      <c r="J158" s="856">
        <v>0.7410823084291881</v>
      </c>
      <c r="K158" s="856">
        <v>0.5003528235316315</v>
      </c>
      <c r="L158" s="856">
        <v>0.7693364057444778</v>
      </c>
      <c r="M158" s="856">
        <v>0.7936695201131706</v>
      </c>
      <c r="N158" s="856">
        <v>1.371447755077127</v>
      </c>
      <c r="O158" s="856">
        <v>1.3925522309057508</v>
      </c>
      <c r="P158" s="856">
        <v>0.8023331133435995</v>
      </c>
      <c r="Q158" s="856">
        <v>1.1507172057376458</v>
      </c>
    </row>
    <row r="159" spans="1:17" ht="15">
      <c r="A159" s="831" t="str">
        <f t="shared" si="0"/>
        <v>75Rural Unrestricted Access</v>
      </c>
      <c r="B159" s="854">
        <v>75</v>
      </c>
      <c r="C159" s="855" t="s">
        <v>886</v>
      </c>
      <c r="D159" s="852"/>
      <c r="E159" s="856">
        <v>0.3267835851547017</v>
      </c>
      <c r="F159" s="856">
        <v>0.4662504387944436</v>
      </c>
      <c r="G159" s="856">
        <v>0.3944788907929584</v>
      </c>
      <c r="H159" s="856">
        <v>1.0011258423589517</v>
      </c>
      <c r="I159" s="856">
        <v>0.8744248149716805</v>
      </c>
      <c r="J159" s="856">
        <v>0.7565939784727863</v>
      </c>
      <c r="K159" s="856">
        <v>0.49861873835017595</v>
      </c>
      <c r="L159" s="856">
        <v>0.7679740646258504</v>
      </c>
      <c r="M159" s="856">
        <v>0.7943019300421992</v>
      </c>
      <c r="N159" s="856">
        <v>1.3067987618483698</v>
      </c>
      <c r="O159" s="856">
        <v>1.32038517866597</v>
      </c>
      <c r="P159" s="856">
        <v>0.8090171612378714</v>
      </c>
      <c r="Q159" s="856">
        <v>0.1312817783742198</v>
      </c>
    </row>
    <row r="160" spans="1:17" ht="15">
      <c r="A160" s="831" t="str">
        <f t="shared" si="0"/>
        <v>75Urban Restricted Access</v>
      </c>
      <c r="B160" s="854">
        <v>75</v>
      </c>
      <c r="C160" s="855" t="s">
        <v>887</v>
      </c>
      <c r="D160" s="852"/>
      <c r="E160" s="856">
        <v>0.33234568987079094</v>
      </c>
      <c r="F160" s="856">
        <v>0.47066403072630214</v>
      </c>
      <c r="G160" s="856">
        <v>0.3862748646215511</v>
      </c>
      <c r="H160" s="856">
        <v>0.9667189574031616</v>
      </c>
      <c r="I160" s="856">
        <v>0.8648700635256088</v>
      </c>
      <c r="J160" s="856">
        <v>0.741083792146184</v>
      </c>
      <c r="K160" s="856">
        <v>0.5003527494818747</v>
      </c>
      <c r="L160" s="856">
        <v>0.7693351936966514</v>
      </c>
      <c r="M160" s="856">
        <v>0.7936657411738974</v>
      </c>
      <c r="N160" s="856">
        <v>1.3714426041638244</v>
      </c>
      <c r="O160" s="856">
        <v>1.3925465838509317</v>
      </c>
      <c r="P160" s="856">
        <v>0.8023336426660844</v>
      </c>
      <c r="Q160" s="856">
        <v>1.150718889439762</v>
      </c>
    </row>
    <row r="161" spans="1:17" ht="15">
      <c r="A161" s="831" t="str">
        <f t="shared" si="0"/>
        <v>75Urban Unrestricted Access</v>
      </c>
      <c r="B161" s="854">
        <v>75</v>
      </c>
      <c r="C161" s="855" t="s">
        <v>857</v>
      </c>
      <c r="D161" s="852"/>
      <c r="E161" s="856">
        <v>0.3267835566859583</v>
      </c>
      <c r="F161" s="856">
        <v>0.46625167793359285</v>
      </c>
      <c r="G161" s="856">
        <v>0.39447783223112864</v>
      </c>
      <c r="H161" s="856">
        <v>1.0011250579073923</v>
      </c>
      <c r="I161" s="856">
        <v>0.8744228803783438</v>
      </c>
      <c r="J161" s="856">
        <v>0.7565940953822862</v>
      </c>
      <c r="K161" s="856">
        <v>0.49861977511514954</v>
      </c>
      <c r="L161" s="856">
        <v>0.7679733185102835</v>
      </c>
      <c r="M161" s="856">
        <v>0.7943026620275123</v>
      </c>
      <c r="N161" s="856">
        <v>1.3068021611754448</v>
      </c>
      <c r="O161" s="856">
        <v>1.3203806087411978</v>
      </c>
      <c r="P161" s="856">
        <v>0.8090178419585486</v>
      </c>
      <c r="Q161" s="856">
        <v>0.1312818353419486</v>
      </c>
    </row>
    <row r="166" ht="15">
      <c r="A166" s="857" t="s">
        <v>884</v>
      </c>
    </row>
    <row r="167" ht="15">
      <c r="A167" s="855" t="s">
        <v>885</v>
      </c>
    </row>
    <row r="168" ht="15">
      <c r="A168" s="855" t="s">
        <v>886</v>
      </c>
    </row>
    <row r="169" ht="15">
      <c r="A169" s="855" t="s">
        <v>887</v>
      </c>
    </row>
    <row r="170" ht="15.75" thickBot="1">
      <c r="A170" s="858" t="s">
        <v>857</v>
      </c>
    </row>
    <row r="171" ht="15.75" thickTop="1"/>
    <row r="173" ht="15">
      <c r="A173" s="857" t="s">
        <v>883</v>
      </c>
    </row>
    <row r="174" ht="15">
      <c r="A174" s="859">
        <v>2</v>
      </c>
    </row>
    <row r="175" ht="15">
      <c r="A175" s="859">
        <v>5</v>
      </c>
    </row>
    <row r="176" ht="15">
      <c r="A176" s="859">
        <v>10</v>
      </c>
    </row>
    <row r="177" ht="15">
      <c r="A177" s="859">
        <v>15</v>
      </c>
    </row>
    <row r="178" ht="15">
      <c r="A178" s="859">
        <v>20</v>
      </c>
    </row>
    <row r="179" ht="15">
      <c r="A179" s="859">
        <v>25</v>
      </c>
    </row>
    <row r="180" ht="15">
      <c r="A180" s="859">
        <v>30</v>
      </c>
    </row>
    <row r="181" ht="15">
      <c r="A181" s="859">
        <v>35</v>
      </c>
    </row>
    <row r="182" ht="15">
      <c r="A182" s="859">
        <v>40</v>
      </c>
    </row>
    <row r="183" ht="15">
      <c r="A183" s="859">
        <v>45</v>
      </c>
    </row>
    <row r="184" ht="15">
      <c r="A184" s="859">
        <v>50</v>
      </c>
    </row>
    <row r="185" ht="15">
      <c r="A185" s="859">
        <v>55</v>
      </c>
    </row>
    <row r="186" ht="15">
      <c r="A186" s="859">
        <v>60</v>
      </c>
    </row>
    <row r="187" ht="15">
      <c r="A187" s="859">
        <v>65</v>
      </c>
    </row>
    <row r="188" ht="15">
      <c r="A188" s="859">
        <v>70</v>
      </c>
    </row>
    <row r="189" ht="15.75" thickBot="1">
      <c r="A189" s="858">
        <v>75</v>
      </c>
    </row>
    <row r="190" ht="15.75" thickTop="1"/>
  </sheetData>
  <sheetProtection/>
  <mergeCells count="1">
    <mergeCell ref="B14:C14"/>
  </mergeCells>
  <conditionalFormatting sqref="B39:C39">
    <cfRule type="cellIs" priority="1" dxfId="46" operator="notEqual" stopIfTrue="1">
      <formula>1</formula>
    </cfRule>
    <cfRule type="cellIs" priority="2" dxfId="47" operator="equal" stopIfTrue="1">
      <formula>1</formula>
    </cfRule>
  </conditionalFormatting>
  <dataValidations count="2">
    <dataValidation type="list" allowBlank="1" showInputMessage="1" showErrorMessage="1" sqref="B14:C14">
      <formula1>RoadType</formula1>
    </dataValidation>
    <dataValidation type="list" allowBlank="1" showInputMessage="1" showErrorMessage="1" sqref="B21:C21 E21:F21">
      <formula1>AverageSpeed</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22">
    <tabColor indexed="42"/>
  </sheetPr>
  <dimension ref="A1:BW137"/>
  <sheetViews>
    <sheetView zoomScalePageLayoutView="0" workbookViewId="0" topLeftCell="A1">
      <selection activeCell="H21" sqref="H21"/>
    </sheetView>
  </sheetViews>
  <sheetFormatPr defaultColWidth="9.140625" defaultRowHeight="15"/>
  <cols>
    <col min="1" max="1" width="9.140625" style="140" customWidth="1"/>
    <col min="2" max="2" width="26.7109375" style="140" customWidth="1"/>
    <col min="3" max="7" width="9.140625" style="140" customWidth="1"/>
    <col min="8" max="8" width="26.57421875" style="140" bestFit="1" customWidth="1"/>
    <col min="9" max="12" width="9.140625" style="140" customWidth="1"/>
    <col min="13" max="13" width="18.00390625" style="140" customWidth="1"/>
    <col min="14" max="14" width="24.7109375" style="140" customWidth="1"/>
    <col min="15" max="18" width="9.140625" style="140" customWidth="1"/>
    <col min="19" max="19" width="7.8515625" style="140" customWidth="1"/>
    <col min="20" max="20" width="25.8515625" style="140" customWidth="1"/>
    <col min="21" max="16384" width="9.140625" style="140" customWidth="1"/>
  </cols>
  <sheetData>
    <row r="1" spans="1:75" ht="38.25" customHeight="1">
      <c r="A1" s="237" t="s">
        <v>544</v>
      </c>
      <c r="B1" s="182"/>
      <c r="C1" s="53"/>
      <c r="D1" s="53"/>
      <c r="E1" s="53"/>
      <c r="F1" s="53"/>
      <c r="G1" s="53"/>
      <c r="H1" s="53"/>
      <c r="I1" s="53"/>
      <c r="J1" s="53"/>
      <c r="K1" s="182"/>
      <c r="L1" s="182"/>
      <c r="M1" s="182"/>
      <c r="N1" s="182"/>
      <c r="O1" s="182"/>
      <c r="P1" s="182"/>
      <c r="Q1" s="182"/>
      <c r="R1" s="18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row>
    <row r="2" ht="12.75">
      <c r="B2" s="159"/>
    </row>
    <row r="3" ht="12.75">
      <c r="B3" s="159"/>
    </row>
    <row r="4" ht="12.75">
      <c r="B4" s="159"/>
    </row>
    <row r="5" ht="12.75">
      <c r="B5" s="159"/>
    </row>
    <row r="6" ht="12.75">
      <c r="B6" s="159"/>
    </row>
    <row r="7" ht="12.75">
      <c r="B7" s="159"/>
    </row>
    <row r="8" ht="12.75">
      <c r="B8" s="159"/>
    </row>
    <row r="9" ht="12.75">
      <c r="B9" s="159"/>
    </row>
    <row r="10" ht="12.75">
      <c r="B10" s="159"/>
    </row>
    <row r="11" ht="12.75">
      <c r="B11" s="159"/>
    </row>
    <row r="12" ht="12.75">
      <c r="B12" s="159"/>
    </row>
    <row r="13" ht="12.75">
      <c r="B13" s="159"/>
    </row>
    <row r="14" ht="12.75">
      <c r="B14" s="159"/>
    </row>
    <row r="15" ht="12.75">
      <c r="B15" s="159"/>
    </row>
    <row r="16" ht="12.75">
      <c r="B16" s="159"/>
    </row>
    <row r="17" ht="12.75">
      <c r="B17" s="159"/>
    </row>
    <row r="18" ht="12.75">
      <c r="B18" s="159"/>
    </row>
    <row r="19" ht="13.5" thickBot="1">
      <c r="B19" s="159"/>
    </row>
    <row r="20" spans="2:13" ht="12.75" customHeight="1">
      <c r="B20" s="159"/>
      <c r="K20" s="961" t="s">
        <v>614</v>
      </c>
      <c r="L20" s="962"/>
      <c r="M20" s="963"/>
    </row>
    <row r="21" spans="2:13" ht="12.75">
      <c r="B21" s="159"/>
      <c r="K21" s="975" t="s">
        <v>615</v>
      </c>
      <c r="L21" s="976"/>
      <c r="M21" s="977"/>
    </row>
    <row r="22" spans="2:13" ht="12.75">
      <c r="B22" s="159"/>
      <c r="K22" s="978" t="s">
        <v>632</v>
      </c>
      <c r="L22" s="979"/>
      <c r="M22" s="980"/>
    </row>
    <row r="23" spans="2:13" ht="13.5" thickBot="1">
      <c r="B23" s="159"/>
      <c r="K23" s="981" t="s">
        <v>681</v>
      </c>
      <c r="L23" s="982"/>
      <c r="M23" s="983"/>
    </row>
    <row r="25" s="182" customFormat="1" ht="12.75">
      <c r="A25" s="181" t="s">
        <v>545</v>
      </c>
    </row>
    <row r="26" ht="13.5" thickBot="1"/>
    <row r="27" spans="2:75" ht="12.75">
      <c r="B27" s="1004" t="s">
        <v>546</v>
      </c>
      <c r="C27" s="1005"/>
      <c r="D27" s="1005"/>
      <c r="E27" s="1005"/>
      <c r="F27" s="1006"/>
      <c r="H27" s="1067" t="s">
        <v>547</v>
      </c>
      <c r="I27" s="1068"/>
      <c r="J27" s="1068"/>
      <c r="K27" s="1068"/>
      <c r="L27" s="1069"/>
      <c r="S27" s="277"/>
      <c r="AD27" s="1061" t="s">
        <v>548</v>
      </c>
      <c r="AE27" s="1062"/>
      <c r="AF27" s="1062"/>
      <c r="AG27" s="1062"/>
      <c r="AH27" s="1063"/>
      <c r="AN27" s="222" t="s">
        <v>779</v>
      </c>
      <c r="AO27" s="1058" t="s">
        <v>659</v>
      </c>
      <c r="AP27" s="1059"/>
      <c r="AQ27" s="1059"/>
      <c r="AR27" s="1059"/>
      <c r="AS27" s="1060"/>
      <c r="AU27" s="1004" t="s">
        <v>550</v>
      </c>
      <c r="AV27" s="1005"/>
      <c r="AW27" s="1005"/>
      <c r="AX27" s="1005"/>
      <c r="AY27" s="1006"/>
      <c r="BA27" s="1004" t="s">
        <v>550</v>
      </c>
      <c r="BB27" s="1005"/>
      <c r="BC27" s="1005"/>
      <c r="BD27" s="1005"/>
      <c r="BE27" s="1006"/>
      <c r="BG27" s="1004" t="s">
        <v>550</v>
      </c>
      <c r="BH27" s="1005"/>
      <c r="BI27" s="1005"/>
      <c r="BJ27" s="1005"/>
      <c r="BK27" s="1006"/>
      <c r="BM27" s="1004" t="s">
        <v>550</v>
      </c>
      <c r="BN27" s="1005"/>
      <c r="BO27" s="1005"/>
      <c r="BP27" s="1005"/>
      <c r="BQ27" s="1006"/>
      <c r="BS27" s="1004" t="s">
        <v>550</v>
      </c>
      <c r="BT27" s="1005"/>
      <c r="BU27" s="1005"/>
      <c r="BV27" s="1005"/>
      <c r="BW27" s="1006"/>
    </row>
    <row r="28" spans="2:75" ht="39" thickBot="1">
      <c r="B28" s="160" t="s">
        <v>246</v>
      </c>
      <c r="C28" s="161" t="s">
        <v>247</v>
      </c>
      <c r="D28" s="161" t="s">
        <v>683</v>
      </c>
      <c r="E28" s="161" t="s">
        <v>624</v>
      </c>
      <c r="F28" s="162" t="s">
        <v>625</v>
      </c>
      <c r="H28" s="238" t="s">
        <v>246</v>
      </c>
      <c r="I28" s="239" t="s">
        <v>247</v>
      </c>
      <c r="J28" s="239" t="s">
        <v>683</v>
      </c>
      <c r="K28" s="239" t="s">
        <v>624</v>
      </c>
      <c r="L28" s="240" t="s">
        <v>625</v>
      </c>
      <c r="S28" s="278"/>
      <c r="AD28" s="455" t="s">
        <v>246</v>
      </c>
      <c r="AE28" s="456" t="s">
        <v>247</v>
      </c>
      <c r="AF28" s="456" t="s">
        <v>492</v>
      </c>
      <c r="AG28" s="456" t="s">
        <v>493</v>
      </c>
      <c r="AH28" s="457" t="s">
        <v>494</v>
      </c>
      <c r="AI28" s="222" t="s">
        <v>232</v>
      </c>
      <c r="AO28" s="280" t="s">
        <v>246</v>
      </c>
      <c r="AP28" s="281" t="s">
        <v>247</v>
      </c>
      <c r="AQ28" s="281" t="s">
        <v>683</v>
      </c>
      <c r="AR28" s="281" t="s">
        <v>624</v>
      </c>
      <c r="AS28" s="282" t="s">
        <v>625</v>
      </c>
      <c r="AU28" s="160" t="s">
        <v>246</v>
      </c>
      <c r="AV28" s="161" t="s">
        <v>247</v>
      </c>
      <c r="AW28" s="161" t="s">
        <v>683</v>
      </c>
      <c r="AX28" s="161" t="s">
        <v>624</v>
      </c>
      <c r="AY28" s="162" t="s">
        <v>625</v>
      </c>
      <c r="BA28" s="160" t="s">
        <v>246</v>
      </c>
      <c r="BB28" s="161" t="s">
        <v>247</v>
      </c>
      <c r="BC28" s="161" t="s">
        <v>683</v>
      </c>
      <c r="BD28" s="161" t="s">
        <v>624</v>
      </c>
      <c r="BE28" s="162" t="s">
        <v>625</v>
      </c>
      <c r="BG28" s="160" t="s">
        <v>246</v>
      </c>
      <c r="BH28" s="161" t="s">
        <v>247</v>
      </c>
      <c r="BI28" s="161" t="s">
        <v>683</v>
      </c>
      <c r="BJ28" s="161" t="s">
        <v>624</v>
      </c>
      <c r="BK28" s="162" t="s">
        <v>625</v>
      </c>
      <c r="BM28" s="160" t="s">
        <v>246</v>
      </c>
      <c r="BN28" s="161" t="s">
        <v>247</v>
      </c>
      <c r="BO28" s="161" t="s">
        <v>683</v>
      </c>
      <c r="BP28" s="161" t="s">
        <v>624</v>
      </c>
      <c r="BQ28" s="162" t="s">
        <v>625</v>
      </c>
      <c r="BS28" s="160" t="s">
        <v>246</v>
      </c>
      <c r="BT28" s="161" t="s">
        <v>247</v>
      </c>
      <c r="BU28" s="161" t="s">
        <v>683</v>
      </c>
      <c r="BV28" s="161" t="s">
        <v>624</v>
      </c>
      <c r="BW28" s="162" t="s">
        <v>625</v>
      </c>
    </row>
    <row r="29" spans="2:75" ht="12.75">
      <c r="B29" s="143" t="s">
        <v>497</v>
      </c>
      <c r="C29" s="795"/>
      <c r="D29" s="795"/>
      <c r="E29" s="795"/>
      <c r="F29" s="796"/>
      <c r="H29" s="230" t="s">
        <v>497</v>
      </c>
      <c r="I29" s="795"/>
      <c r="J29" s="795"/>
      <c r="K29" s="795"/>
      <c r="L29" s="796"/>
      <c r="S29" s="278"/>
      <c r="AD29" s="283" t="s">
        <v>497</v>
      </c>
      <c r="AE29" s="284">
        <f>$I$39*C41*I29*C29</f>
        <v>0</v>
      </c>
      <c r="AF29" s="284">
        <f>$I$39*D41*J29*D29</f>
        <v>0</v>
      </c>
      <c r="AG29" s="285">
        <f>$I$39*E41*K29*E29</f>
        <v>0</v>
      </c>
      <c r="AH29" s="286">
        <f>$I$39*F41*L29*F29</f>
        <v>0</v>
      </c>
      <c r="AO29" s="283" t="s">
        <v>497</v>
      </c>
      <c r="AP29" s="318">
        <v>1</v>
      </c>
      <c r="AQ29" s="318">
        <v>1</v>
      </c>
      <c r="AR29" s="319">
        <v>1</v>
      </c>
      <c r="AS29" s="320">
        <v>1</v>
      </c>
      <c r="AU29" s="143" t="s">
        <v>497</v>
      </c>
      <c r="AV29" s="247">
        <v>0.03</v>
      </c>
      <c r="AW29" s="247">
        <v>0.03</v>
      </c>
      <c r="AX29" s="248">
        <v>0.03</v>
      </c>
      <c r="AY29" s="246">
        <v>0.03</v>
      </c>
      <c r="BA29" s="143" t="s">
        <v>497</v>
      </c>
      <c r="BB29" s="247">
        <v>0.02</v>
      </c>
      <c r="BC29" s="247">
        <v>0.02</v>
      </c>
      <c r="BD29" s="248">
        <v>0.01</v>
      </c>
      <c r="BE29" s="246">
        <v>0.01</v>
      </c>
      <c r="BG29" s="143" t="s">
        <v>497</v>
      </c>
      <c r="BH29" s="247">
        <v>0.02</v>
      </c>
      <c r="BI29" s="247">
        <v>0.02</v>
      </c>
      <c r="BJ29" s="248">
        <v>0.01</v>
      </c>
      <c r="BK29" s="246">
        <v>0.01</v>
      </c>
      <c r="BM29" s="143" t="s">
        <v>497</v>
      </c>
      <c r="BN29" s="193" t="s">
        <v>503</v>
      </c>
      <c r="BO29" s="193" t="s">
        <v>503</v>
      </c>
      <c r="BP29" s="248">
        <v>0.05</v>
      </c>
      <c r="BQ29" s="246">
        <v>0.05</v>
      </c>
      <c r="BS29" s="143" t="s">
        <v>497</v>
      </c>
      <c r="BT29" s="247">
        <v>0.02</v>
      </c>
      <c r="BU29" s="247">
        <v>0.02</v>
      </c>
      <c r="BV29" s="248">
        <v>0.02</v>
      </c>
      <c r="BW29" s="246">
        <v>0.02</v>
      </c>
    </row>
    <row r="30" spans="2:75" ht="12.75">
      <c r="B30" s="154" t="s">
        <v>647</v>
      </c>
      <c r="C30" s="795"/>
      <c r="D30" s="795"/>
      <c r="E30" s="241" t="s">
        <v>503</v>
      </c>
      <c r="F30" s="242" t="s">
        <v>503</v>
      </c>
      <c r="H30" s="230" t="s">
        <v>647</v>
      </c>
      <c r="I30" s="795"/>
      <c r="J30" s="795"/>
      <c r="K30" s="241" t="s">
        <v>503</v>
      </c>
      <c r="L30" s="242" t="s">
        <v>503</v>
      </c>
      <c r="S30" s="279"/>
      <c r="AD30" s="283" t="s">
        <v>498</v>
      </c>
      <c r="AE30" s="284">
        <f>$I$39*C42*I30*C30</f>
        <v>0</v>
      </c>
      <c r="AF30" s="284">
        <f>$I$39*D42*J30*D30</f>
        <v>0</v>
      </c>
      <c r="AG30" s="285" t="s">
        <v>503</v>
      </c>
      <c r="AH30" s="286" t="s">
        <v>503</v>
      </c>
      <c r="AO30" s="283" t="s">
        <v>647</v>
      </c>
      <c r="AP30" s="318">
        <v>1</v>
      </c>
      <c r="AQ30" s="318">
        <v>1</v>
      </c>
      <c r="AR30" s="285" t="s">
        <v>503</v>
      </c>
      <c r="AS30" s="286" t="s">
        <v>503</v>
      </c>
      <c r="AU30" s="154" t="s">
        <v>647</v>
      </c>
      <c r="AV30" s="247">
        <v>0.03</v>
      </c>
      <c r="AW30" s="247">
        <v>0.03</v>
      </c>
      <c r="AX30" s="241" t="s">
        <v>503</v>
      </c>
      <c r="AY30" s="242" t="s">
        <v>503</v>
      </c>
      <c r="BA30" s="154" t="s">
        <v>647</v>
      </c>
      <c r="BB30" s="247">
        <v>0.02</v>
      </c>
      <c r="BC30" s="247">
        <v>0.02</v>
      </c>
      <c r="BD30" s="241" t="s">
        <v>503</v>
      </c>
      <c r="BE30" s="242" t="s">
        <v>503</v>
      </c>
      <c r="BG30" s="154" t="s">
        <v>647</v>
      </c>
      <c r="BH30" s="247">
        <v>0.02</v>
      </c>
      <c r="BI30" s="247">
        <v>0.02</v>
      </c>
      <c r="BJ30" s="241" t="s">
        <v>503</v>
      </c>
      <c r="BK30" s="242" t="s">
        <v>503</v>
      </c>
      <c r="BM30" s="154" t="s">
        <v>647</v>
      </c>
      <c r="BN30" s="186" t="s">
        <v>503</v>
      </c>
      <c r="BO30" s="186" t="s">
        <v>503</v>
      </c>
      <c r="BP30" s="241" t="s">
        <v>503</v>
      </c>
      <c r="BQ30" s="242" t="s">
        <v>503</v>
      </c>
      <c r="BS30" s="154" t="s">
        <v>647</v>
      </c>
      <c r="BT30" s="247">
        <v>0.02</v>
      </c>
      <c r="BU30" s="247">
        <v>0.02</v>
      </c>
      <c r="BV30" s="241" t="s">
        <v>503</v>
      </c>
      <c r="BW30" s="242" t="s">
        <v>503</v>
      </c>
    </row>
    <row r="31" spans="2:75" ht="12.75">
      <c r="B31" s="154" t="s">
        <v>499</v>
      </c>
      <c r="C31" s="241" t="s">
        <v>503</v>
      </c>
      <c r="D31" s="241" t="s">
        <v>503</v>
      </c>
      <c r="E31" s="241" t="s">
        <v>503</v>
      </c>
      <c r="F31" s="242" t="s">
        <v>503</v>
      </c>
      <c r="H31" s="230" t="s">
        <v>499</v>
      </c>
      <c r="I31" s="241" t="s">
        <v>503</v>
      </c>
      <c r="J31" s="241" t="s">
        <v>503</v>
      </c>
      <c r="K31" s="241" t="s">
        <v>503</v>
      </c>
      <c r="L31" s="242" t="s">
        <v>503</v>
      </c>
      <c r="S31" s="279"/>
      <c r="AD31" s="283" t="s">
        <v>499</v>
      </c>
      <c r="AE31" s="284" t="s">
        <v>503</v>
      </c>
      <c r="AF31" s="284" t="s">
        <v>503</v>
      </c>
      <c r="AG31" s="285" t="s">
        <v>503</v>
      </c>
      <c r="AH31" s="286" t="s">
        <v>503</v>
      </c>
      <c r="AO31" s="283" t="s">
        <v>499</v>
      </c>
      <c r="AP31" s="284" t="s">
        <v>503</v>
      </c>
      <c r="AQ31" s="284" t="s">
        <v>503</v>
      </c>
      <c r="AR31" s="285" t="s">
        <v>503</v>
      </c>
      <c r="AS31" s="286" t="s">
        <v>503</v>
      </c>
      <c r="AU31" s="154" t="s">
        <v>499</v>
      </c>
      <c r="AV31" s="247">
        <v>0.03</v>
      </c>
      <c r="AW31" s="247">
        <v>0.03</v>
      </c>
      <c r="AX31" s="241" t="s">
        <v>503</v>
      </c>
      <c r="AY31" s="242" t="s">
        <v>503</v>
      </c>
      <c r="BA31" s="154" t="s">
        <v>499</v>
      </c>
      <c r="BB31" s="247">
        <v>0.02</v>
      </c>
      <c r="BC31" s="247">
        <v>0.02</v>
      </c>
      <c r="BD31" s="241" t="s">
        <v>503</v>
      </c>
      <c r="BE31" s="242" t="s">
        <v>503</v>
      </c>
      <c r="BG31" s="154" t="s">
        <v>499</v>
      </c>
      <c r="BH31" s="247">
        <v>0.02</v>
      </c>
      <c r="BI31" s="247">
        <v>0.02</v>
      </c>
      <c r="BJ31" s="241" t="s">
        <v>503</v>
      </c>
      <c r="BK31" s="242" t="s">
        <v>503</v>
      </c>
      <c r="BM31" s="154" t="s">
        <v>499</v>
      </c>
      <c r="BN31" s="186" t="s">
        <v>503</v>
      </c>
      <c r="BO31" s="186" t="s">
        <v>503</v>
      </c>
      <c r="BP31" s="241" t="s">
        <v>503</v>
      </c>
      <c r="BQ31" s="242" t="s">
        <v>503</v>
      </c>
      <c r="BS31" s="154" t="s">
        <v>499</v>
      </c>
      <c r="BT31" s="247">
        <v>0.02</v>
      </c>
      <c r="BU31" s="247">
        <v>0.02</v>
      </c>
      <c r="BV31" s="241" t="s">
        <v>503</v>
      </c>
      <c r="BW31" s="242" t="s">
        <v>503</v>
      </c>
    </row>
    <row r="32" spans="2:75" ht="12.75">
      <c r="B32" s="154" t="s">
        <v>648</v>
      </c>
      <c r="C32" s="241" t="s">
        <v>503</v>
      </c>
      <c r="D32" s="241" t="s">
        <v>503</v>
      </c>
      <c r="E32" s="241" t="s">
        <v>503</v>
      </c>
      <c r="F32" s="242" t="s">
        <v>503</v>
      </c>
      <c r="H32" s="230" t="s">
        <v>648</v>
      </c>
      <c r="I32" s="241" t="s">
        <v>503</v>
      </c>
      <c r="J32" s="241" t="s">
        <v>503</v>
      </c>
      <c r="K32" s="241" t="s">
        <v>503</v>
      </c>
      <c r="L32" s="242" t="s">
        <v>503</v>
      </c>
      <c r="S32" s="279"/>
      <c r="AD32" s="283" t="s">
        <v>500</v>
      </c>
      <c r="AE32" s="284" t="s">
        <v>503</v>
      </c>
      <c r="AF32" s="284" t="s">
        <v>503</v>
      </c>
      <c r="AG32" s="285" t="s">
        <v>503</v>
      </c>
      <c r="AH32" s="286" t="s">
        <v>503</v>
      </c>
      <c r="AO32" s="283" t="s">
        <v>648</v>
      </c>
      <c r="AP32" s="284" t="s">
        <v>503</v>
      </c>
      <c r="AQ32" s="284" t="s">
        <v>503</v>
      </c>
      <c r="AR32" s="285" t="s">
        <v>503</v>
      </c>
      <c r="AS32" s="286" t="s">
        <v>503</v>
      </c>
      <c r="AU32" s="154" t="s">
        <v>648</v>
      </c>
      <c r="AV32" s="247">
        <v>0.03</v>
      </c>
      <c r="AW32" s="247">
        <v>0.03</v>
      </c>
      <c r="AX32" s="241" t="s">
        <v>503</v>
      </c>
      <c r="AY32" s="242" t="s">
        <v>503</v>
      </c>
      <c r="BA32" s="154" t="s">
        <v>648</v>
      </c>
      <c r="BB32" s="247">
        <v>0.02</v>
      </c>
      <c r="BC32" s="247">
        <v>0.02</v>
      </c>
      <c r="BD32" s="241" t="s">
        <v>503</v>
      </c>
      <c r="BE32" s="242" t="s">
        <v>503</v>
      </c>
      <c r="BG32" s="154" t="s">
        <v>648</v>
      </c>
      <c r="BH32" s="247">
        <v>0.02</v>
      </c>
      <c r="BI32" s="247">
        <v>0.02</v>
      </c>
      <c r="BJ32" s="241" t="s">
        <v>503</v>
      </c>
      <c r="BK32" s="242" t="s">
        <v>503</v>
      </c>
      <c r="BM32" s="154" t="s">
        <v>648</v>
      </c>
      <c r="BN32" s="186" t="s">
        <v>503</v>
      </c>
      <c r="BO32" s="186" t="s">
        <v>503</v>
      </c>
      <c r="BP32" s="241" t="s">
        <v>503</v>
      </c>
      <c r="BQ32" s="242" t="s">
        <v>503</v>
      </c>
      <c r="BS32" s="154" t="s">
        <v>648</v>
      </c>
      <c r="BT32" s="247">
        <v>0.02</v>
      </c>
      <c r="BU32" s="247">
        <v>0.02</v>
      </c>
      <c r="BV32" s="241" t="s">
        <v>503</v>
      </c>
      <c r="BW32" s="242" t="s">
        <v>503</v>
      </c>
    </row>
    <row r="33" spans="2:75" ht="12.75">
      <c r="B33" s="154" t="s">
        <v>501</v>
      </c>
      <c r="C33" s="795"/>
      <c r="D33" s="795"/>
      <c r="E33" s="795"/>
      <c r="F33" s="796"/>
      <c r="H33" s="230" t="s">
        <v>501</v>
      </c>
      <c r="I33" s="795"/>
      <c r="J33" s="795"/>
      <c r="K33" s="795"/>
      <c r="L33" s="796"/>
      <c r="S33" s="279"/>
      <c r="AD33" s="283" t="s">
        <v>501</v>
      </c>
      <c r="AE33" s="284">
        <f>$I$39*C45*I33*C33</f>
        <v>0</v>
      </c>
      <c r="AF33" s="284">
        <f>$I$39*D45*J33*D33</f>
        <v>0</v>
      </c>
      <c r="AG33" s="285">
        <f>$I$39*E45*K33*E33</f>
        <v>0</v>
      </c>
      <c r="AH33" s="286">
        <f>$I$39*F45*L33*F33</f>
        <v>0</v>
      </c>
      <c r="AO33" s="283" t="s">
        <v>501</v>
      </c>
      <c r="AP33" s="318">
        <v>1</v>
      </c>
      <c r="AQ33" s="318">
        <v>1</v>
      </c>
      <c r="AR33" s="319">
        <v>1</v>
      </c>
      <c r="AS33" s="320">
        <v>1</v>
      </c>
      <c r="AU33" s="154" t="s">
        <v>501</v>
      </c>
      <c r="AV33" s="247">
        <v>0.03</v>
      </c>
      <c r="AW33" s="247">
        <v>0.03</v>
      </c>
      <c r="AX33" s="248">
        <v>0.03</v>
      </c>
      <c r="AY33" s="246">
        <v>0.03</v>
      </c>
      <c r="BA33" s="154" t="s">
        <v>501</v>
      </c>
      <c r="BB33" s="247">
        <v>0.02</v>
      </c>
      <c r="BC33" s="247">
        <v>0.02</v>
      </c>
      <c r="BD33" s="248">
        <v>0.01</v>
      </c>
      <c r="BE33" s="246">
        <v>0.01</v>
      </c>
      <c r="BG33" s="154" t="s">
        <v>501</v>
      </c>
      <c r="BH33" s="247">
        <v>0.02</v>
      </c>
      <c r="BI33" s="247">
        <v>0.02</v>
      </c>
      <c r="BJ33" s="248">
        <v>0.01</v>
      </c>
      <c r="BK33" s="246">
        <v>0.01</v>
      </c>
      <c r="BM33" s="154" t="s">
        <v>501</v>
      </c>
      <c r="BN33" s="186" t="s">
        <v>503</v>
      </c>
      <c r="BO33" s="186" t="s">
        <v>503</v>
      </c>
      <c r="BP33" s="248">
        <v>0.05</v>
      </c>
      <c r="BQ33" s="246">
        <v>0.05</v>
      </c>
      <c r="BS33" s="154" t="s">
        <v>501</v>
      </c>
      <c r="BT33" s="247">
        <v>0.02</v>
      </c>
      <c r="BU33" s="247">
        <v>0.02</v>
      </c>
      <c r="BV33" s="248">
        <v>0.02</v>
      </c>
      <c r="BW33" s="246">
        <v>0.02</v>
      </c>
    </row>
    <row r="34" spans="2:75" ht="12.75">
      <c r="B34" s="154" t="s">
        <v>502</v>
      </c>
      <c r="C34" s="241" t="s">
        <v>503</v>
      </c>
      <c r="D34" s="241" t="s">
        <v>503</v>
      </c>
      <c r="E34" s="241" t="s">
        <v>503</v>
      </c>
      <c r="F34" s="242" t="s">
        <v>503</v>
      </c>
      <c r="H34" s="230" t="s">
        <v>502</v>
      </c>
      <c r="I34" s="241" t="s">
        <v>503</v>
      </c>
      <c r="J34" s="241" t="s">
        <v>503</v>
      </c>
      <c r="K34" s="241" t="s">
        <v>503</v>
      </c>
      <c r="L34" s="242" t="s">
        <v>503</v>
      </c>
      <c r="S34" s="279"/>
      <c r="AD34" s="283" t="s">
        <v>502</v>
      </c>
      <c r="AE34" s="284" t="s">
        <v>503</v>
      </c>
      <c r="AF34" s="284" t="s">
        <v>503</v>
      </c>
      <c r="AG34" s="285" t="s">
        <v>503</v>
      </c>
      <c r="AH34" s="286" t="s">
        <v>503</v>
      </c>
      <c r="AO34" s="283" t="s">
        <v>502</v>
      </c>
      <c r="AP34" s="284" t="s">
        <v>503</v>
      </c>
      <c r="AQ34" s="284" t="s">
        <v>503</v>
      </c>
      <c r="AR34" s="285" t="s">
        <v>503</v>
      </c>
      <c r="AS34" s="286" t="s">
        <v>503</v>
      </c>
      <c r="AU34" s="154" t="s">
        <v>502</v>
      </c>
      <c r="AV34" s="247">
        <v>0.03</v>
      </c>
      <c r="AW34" s="247">
        <v>0.03</v>
      </c>
      <c r="AX34" s="241" t="s">
        <v>503</v>
      </c>
      <c r="AY34" s="242" t="s">
        <v>503</v>
      </c>
      <c r="BA34" s="154" t="s">
        <v>502</v>
      </c>
      <c r="BB34" s="247">
        <v>0.02</v>
      </c>
      <c r="BC34" s="247">
        <v>0.02</v>
      </c>
      <c r="BD34" s="241" t="s">
        <v>503</v>
      </c>
      <c r="BE34" s="242" t="s">
        <v>503</v>
      </c>
      <c r="BG34" s="154" t="s">
        <v>502</v>
      </c>
      <c r="BH34" s="247">
        <v>0.02</v>
      </c>
      <c r="BI34" s="247">
        <v>0.02</v>
      </c>
      <c r="BJ34" s="241" t="s">
        <v>503</v>
      </c>
      <c r="BK34" s="242" t="s">
        <v>503</v>
      </c>
      <c r="BM34" s="154" t="s">
        <v>502</v>
      </c>
      <c r="BN34" s="186" t="s">
        <v>503</v>
      </c>
      <c r="BO34" s="186" t="s">
        <v>503</v>
      </c>
      <c r="BP34" s="241" t="s">
        <v>503</v>
      </c>
      <c r="BQ34" s="242" t="s">
        <v>503</v>
      </c>
      <c r="BS34" s="154" t="s">
        <v>502</v>
      </c>
      <c r="BT34" s="247">
        <v>0.02</v>
      </c>
      <c r="BU34" s="247">
        <v>0.02</v>
      </c>
      <c r="BV34" s="241" t="s">
        <v>503</v>
      </c>
      <c r="BW34" s="242" t="s">
        <v>503</v>
      </c>
    </row>
    <row r="35" spans="2:75" ht="12.75">
      <c r="B35" s="154" t="s">
        <v>649</v>
      </c>
      <c r="C35" s="241" t="s">
        <v>503</v>
      </c>
      <c r="D35" s="241" t="s">
        <v>503</v>
      </c>
      <c r="E35" s="241" t="s">
        <v>503</v>
      </c>
      <c r="F35" s="242" t="s">
        <v>503</v>
      </c>
      <c r="H35" s="230" t="s">
        <v>649</v>
      </c>
      <c r="I35" s="241" t="s">
        <v>503</v>
      </c>
      <c r="J35" s="241" t="s">
        <v>503</v>
      </c>
      <c r="K35" s="241" t="s">
        <v>503</v>
      </c>
      <c r="L35" s="242" t="s">
        <v>503</v>
      </c>
      <c r="S35" s="279"/>
      <c r="AD35" s="283" t="s">
        <v>504</v>
      </c>
      <c r="AE35" s="284" t="s">
        <v>503</v>
      </c>
      <c r="AF35" s="284" t="s">
        <v>503</v>
      </c>
      <c r="AG35" s="285" t="s">
        <v>503</v>
      </c>
      <c r="AH35" s="286" t="s">
        <v>503</v>
      </c>
      <c r="AO35" s="283" t="s">
        <v>649</v>
      </c>
      <c r="AP35" s="284" t="s">
        <v>503</v>
      </c>
      <c r="AQ35" s="284" t="s">
        <v>503</v>
      </c>
      <c r="AR35" s="285" t="s">
        <v>503</v>
      </c>
      <c r="AS35" s="286" t="s">
        <v>503</v>
      </c>
      <c r="AU35" s="154" t="s">
        <v>649</v>
      </c>
      <c r="AV35" s="247">
        <v>0.03</v>
      </c>
      <c r="AW35" s="247">
        <v>0.03</v>
      </c>
      <c r="AX35" s="241" t="s">
        <v>503</v>
      </c>
      <c r="AY35" s="242" t="s">
        <v>503</v>
      </c>
      <c r="BA35" s="154" t="s">
        <v>649</v>
      </c>
      <c r="BB35" s="247">
        <v>0.02</v>
      </c>
      <c r="BC35" s="247">
        <v>0.02</v>
      </c>
      <c r="BD35" s="241" t="s">
        <v>503</v>
      </c>
      <c r="BE35" s="242" t="s">
        <v>503</v>
      </c>
      <c r="BG35" s="154" t="s">
        <v>649</v>
      </c>
      <c r="BH35" s="247">
        <v>0.02</v>
      </c>
      <c r="BI35" s="247">
        <v>0.02</v>
      </c>
      <c r="BJ35" s="241" t="s">
        <v>503</v>
      </c>
      <c r="BK35" s="242" t="s">
        <v>503</v>
      </c>
      <c r="BM35" s="154" t="s">
        <v>649</v>
      </c>
      <c r="BN35" s="186" t="s">
        <v>503</v>
      </c>
      <c r="BO35" s="186" t="s">
        <v>503</v>
      </c>
      <c r="BP35" s="241" t="s">
        <v>503</v>
      </c>
      <c r="BQ35" s="242" t="s">
        <v>503</v>
      </c>
      <c r="BS35" s="154" t="s">
        <v>649</v>
      </c>
      <c r="BT35" s="247">
        <v>0.02</v>
      </c>
      <c r="BU35" s="247">
        <v>0.02</v>
      </c>
      <c r="BV35" s="241" t="s">
        <v>503</v>
      </c>
      <c r="BW35" s="242" t="s">
        <v>503</v>
      </c>
    </row>
    <row r="36" spans="2:75" ht="12.75">
      <c r="B36" s="154" t="s">
        <v>70</v>
      </c>
      <c r="C36" s="795"/>
      <c r="D36" s="795"/>
      <c r="E36" s="241" t="s">
        <v>503</v>
      </c>
      <c r="F36" s="796"/>
      <c r="H36" s="230" t="s">
        <v>70</v>
      </c>
      <c r="I36" s="795"/>
      <c r="J36" s="795"/>
      <c r="K36" s="241" t="s">
        <v>503</v>
      </c>
      <c r="L36" s="796"/>
      <c r="S36" s="279"/>
      <c r="AD36" s="283" t="s">
        <v>70</v>
      </c>
      <c r="AE36" s="284">
        <f>$I$39*C48*I36*C36</f>
        <v>0</v>
      </c>
      <c r="AF36" s="284">
        <f>$I$39*D48*J36*D36</f>
        <v>0</v>
      </c>
      <c r="AG36" s="285" t="s">
        <v>503</v>
      </c>
      <c r="AH36" s="286">
        <f>$I$39*F48*L36*F36</f>
        <v>0</v>
      </c>
      <c r="AO36" s="283" t="s">
        <v>70</v>
      </c>
      <c r="AP36" s="318">
        <v>1</v>
      </c>
      <c r="AQ36" s="318">
        <v>1</v>
      </c>
      <c r="AR36" s="285" t="s">
        <v>503</v>
      </c>
      <c r="AS36" s="320">
        <v>1</v>
      </c>
      <c r="AU36" s="154" t="s">
        <v>70</v>
      </c>
      <c r="AV36" s="247">
        <v>0.03</v>
      </c>
      <c r="AW36" s="247">
        <v>0.03</v>
      </c>
      <c r="AX36" s="241" t="s">
        <v>503</v>
      </c>
      <c r="AY36" s="246">
        <v>0.03</v>
      </c>
      <c r="BA36" s="154" t="s">
        <v>70</v>
      </c>
      <c r="BB36" s="247">
        <v>0.02</v>
      </c>
      <c r="BC36" s="247">
        <v>0.02</v>
      </c>
      <c r="BD36" s="241" t="s">
        <v>503</v>
      </c>
      <c r="BE36" s="246">
        <v>0.01</v>
      </c>
      <c r="BG36" s="154" t="s">
        <v>70</v>
      </c>
      <c r="BH36" s="247">
        <v>0.02</v>
      </c>
      <c r="BI36" s="247">
        <v>0.02</v>
      </c>
      <c r="BJ36" s="241" t="s">
        <v>503</v>
      </c>
      <c r="BK36" s="246">
        <v>0.01</v>
      </c>
      <c r="BM36" s="154" t="s">
        <v>70</v>
      </c>
      <c r="BN36" s="186" t="s">
        <v>503</v>
      </c>
      <c r="BO36" s="186" t="s">
        <v>503</v>
      </c>
      <c r="BP36" s="241" t="s">
        <v>503</v>
      </c>
      <c r="BQ36" s="246">
        <v>0.05</v>
      </c>
      <c r="BS36" s="154" t="s">
        <v>70</v>
      </c>
      <c r="BT36" s="247">
        <v>0.02</v>
      </c>
      <c r="BU36" s="247">
        <v>0.02</v>
      </c>
      <c r="BV36" s="241" t="s">
        <v>503</v>
      </c>
      <c r="BW36" s="246">
        <v>0.02</v>
      </c>
    </row>
    <row r="37" spans="2:75" ht="13.5" thickBot="1">
      <c r="B37" s="144" t="s">
        <v>505</v>
      </c>
      <c r="C37" s="243" t="s">
        <v>503</v>
      </c>
      <c r="D37" s="243" t="s">
        <v>503</v>
      </c>
      <c r="E37" s="243" t="s">
        <v>503</v>
      </c>
      <c r="F37" s="244" t="s">
        <v>503</v>
      </c>
      <c r="H37" s="233" t="s">
        <v>505</v>
      </c>
      <c r="I37" s="243" t="s">
        <v>503</v>
      </c>
      <c r="J37" s="243" t="s">
        <v>503</v>
      </c>
      <c r="K37" s="243" t="s">
        <v>503</v>
      </c>
      <c r="L37" s="244" t="s">
        <v>503</v>
      </c>
      <c r="S37" s="279"/>
      <c r="AD37" s="287" t="s">
        <v>505</v>
      </c>
      <c r="AE37" s="288" t="s">
        <v>503</v>
      </c>
      <c r="AF37" s="288" t="s">
        <v>503</v>
      </c>
      <c r="AG37" s="289" t="s">
        <v>503</v>
      </c>
      <c r="AH37" s="290" t="s">
        <v>503</v>
      </c>
      <c r="AO37" s="287" t="s">
        <v>505</v>
      </c>
      <c r="AP37" s="288" t="s">
        <v>503</v>
      </c>
      <c r="AQ37" s="288" t="s">
        <v>503</v>
      </c>
      <c r="AR37" s="289" t="s">
        <v>503</v>
      </c>
      <c r="AS37" s="290" t="s">
        <v>503</v>
      </c>
      <c r="AU37" s="144" t="s">
        <v>505</v>
      </c>
      <c r="AV37" s="249">
        <v>0.03</v>
      </c>
      <c r="AW37" s="249">
        <v>0.03</v>
      </c>
      <c r="AX37" s="243" t="s">
        <v>503</v>
      </c>
      <c r="AY37" s="244" t="s">
        <v>503</v>
      </c>
      <c r="BA37" s="144" t="s">
        <v>505</v>
      </c>
      <c r="BB37" s="249">
        <v>0.02</v>
      </c>
      <c r="BC37" s="249">
        <v>0.02</v>
      </c>
      <c r="BD37" s="243" t="s">
        <v>503</v>
      </c>
      <c r="BE37" s="244" t="s">
        <v>503</v>
      </c>
      <c r="BG37" s="144" t="s">
        <v>505</v>
      </c>
      <c r="BH37" s="249">
        <v>0.02</v>
      </c>
      <c r="BI37" s="249">
        <v>0.02</v>
      </c>
      <c r="BJ37" s="243" t="s">
        <v>503</v>
      </c>
      <c r="BK37" s="244" t="s">
        <v>503</v>
      </c>
      <c r="BM37" s="144" t="s">
        <v>505</v>
      </c>
      <c r="BN37" s="190" t="s">
        <v>503</v>
      </c>
      <c r="BO37" s="190" t="s">
        <v>503</v>
      </c>
      <c r="BP37" s="243" t="s">
        <v>503</v>
      </c>
      <c r="BQ37" s="244" t="s">
        <v>503</v>
      </c>
      <c r="BS37" s="144" t="s">
        <v>505</v>
      </c>
      <c r="BT37" s="249">
        <v>0.02</v>
      </c>
      <c r="BU37" s="249">
        <v>0.02</v>
      </c>
      <c r="BV37" s="243" t="s">
        <v>503</v>
      </c>
      <c r="BW37" s="244" t="s">
        <v>503</v>
      </c>
    </row>
    <row r="38" spans="2:35" ht="13.5" thickBot="1">
      <c r="B38" s="155"/>
      <c r="C38" s="453"/>
      <c r="D38" s="453"/>
      <c r="E38" s="453"/>
      <c r="F38" s="453"/>
      <c r="H38" s="155"/>
      <c r="I38" s="453"/>
      <c r="J38" s="453"/>
      <c r="K38" s="453"/>
      <c r="L38" s="453"/>
      <c r="N38" s="278"/>
      <c r="O38" s="451"/>
      <c r="P38" s="451"/>
      <c r="Q38" s="452"/>
      <c r="R38" s="452"/>
      <c r="S38" s="279"/>
      <c r="AD38" s="222" t="s">
        <v>232</v>
      </c>
      <c r="AI38" s="169">
        <f>SUM(AE29:AH37)</f>
        <v>0</v>
      </c>
    </row>
    <row r="39" spans="2:34" ht="13.5" thickBot="1">
      <c r="B39" s="1058" t="s">
        <v>659</v>
      </c>
      <c r="C39" s="1059"/>
      <c r="D39" s="1059"/>
      <c r="E39" s="1059"/>
      <c r="F39" s="1060"/>
      <c r="H39" s="454" t="s">
        <v>680</v>
      </c>
      <c r="I39" s="797"/>
      <c r="J39" s="453"/>
      <c r="K39" s="453"/>
      <c r="L39" s="453"/>
      <c r="N39" s="278"/>
      <c r="O39" s="451"/>
      <c r="P39" s="451"/>
      <c r="Q39" s="452"/>
      <c r="R39" s="452"/>
      <c r="S39" s="279"/>
      <c r="AD39" s="278"/>
      <c r="AE39" s="451"/>
      <c r="AF39" s="451"/>
      <c r="AG39" s="452"/>
      <c r="AH39" s="452"/>
    </row>
    <row r="40" spans="2:34" ht="38.25">
      <c r="B40" s="280" t="s">
        <v>246</v>
      </c>
      <c r="C40" s="281" t="s">
        <v>247</v>
      </c>
      <c r="D40" s="281" t="s">
        <v>683</v>
      </c>
      <c r="E40" s="281" t="s">
        <v>624</v>
      </c>
      <c r="F40" s="282" t="s">
        <v>625</v>
      </c>
      <c r="H40" s="155"/>
      <c r="I40" s="453"/>
      <c r="J40" s="453"/>
      <c r="K40" s="453"/>
      <c r="L40" s="453"/>
      <c r="N40" s="278"/>
      <c r="O40" s="451"/>
      <c r="P40" s="451"/>
      <c r="Q40" s="452"/>
      <c r="R40" s="452"/>
      <c r="S40" s="279"/>
      <c r="AD40" s="278"/>
      <c r="AE40" s="451"/>
      <c r="AF40" s="451"/>
      <c r="AG40" s="452"/>
      <c r="AH40" s="452"/>
    </row>
    <row r="41" spans="2:34" ht="12.75">
      <c r="B41" s="283" t="s">
        <v>497</v>
      </c>
      <c r="C41" s="318">
        <v>1</v>
      </c>
      <c r="D41" s="318">
        <v>1</v>
      </c>
      <c r="E41" s="319">
        <v>1</v>
      </c>
      <c r="F41" s="320">
        <v>1</v>
      </c>
      <c r="H41" s="155"/>
      <c r="I41" s="453"/>
      <c r="J41" s="453"/>
      <c r="K41" s="453"/>
      <c r="L41" s="453"/>
      <c r="N41" s="278"/>
      <c r="O41" s="451"/>
      <c r="P41" s="451"/>
      <c r="Q41" s="452"/>
      <c r="R41" s="452"/>
      <c r="S41" s="279"/>
      <c r="AD41" s="278"/>
      <c r="AE41" s="451"/>
      <c r="AF41" s="451"/>
      <c r="AG41" s="452"/>
      <c r="AH41" s="452"/>
    </row>
    <row r="42" spans="2:34" ht="12.75">
      <c r="B42" s="283" t="s">
        <v>647</v>
      </c>
      <c r="C42" s="318">
        <v>1</v>
      </c>
      <c r="D42" s="318">
        <v>1</v>
      </c>
      <c r="E42" s="285" t="s">
        <v>503</v>
      </c>
      <c r="F42" s="286" t="s">
        <v>503</v>
      </c>
      <c r="H42" s="155"/>
      <c r="I42" s="453"/>
      <c r="J42" s="453"/>
      <c r="K42" s="453"/>
      <c r="L42" s="453"/>
      <c r="N42" s="278"/>
      <c r="O42" s="451"/>
      <c r="P42" s="451"/>
      <c r="Q42" s="452"/>
      <c r="R42" s="452"/>
      <c r="S42" s="279"/>
      <c r="AD42" s="278"/>
      <c r="AE42" s="451"/>
      <c r="AF42" s="451"/>
      <c r="AG42" s="452"/>
      <c r="AH42" s="452"/>
    </row>
    <row r="43" spans="2:34" ht="12.75">
      <c r="B43" s="283" t="s">
        <v>499</v>
      </c>
      <c r="C43" s="284" t="s">
        <v>503</v>
      </c>
      <c r="D43" s="284" t="s">
        <v>503</v>
      </c>
      <c r="E43" s="285" t="s">
        <v>503</v>
      </c>
      <c r="F43" s="286" t="s">
        <v>503</v>
      </c>
      <c r="H43" s="155"/>
      <c r="I43" s="453"/>
      <c r="J43" s="453"/>
      <c r="K43" s="453"/>
      <c r="L43" s="453"/>
      <c r="N43" s="278"/>
      <c r="O43" s="451"/>
      <c r="P43" s="451"/>
      <c r="Q43" s="452"/>
      <c r="R43" s="452"/>
      <c r="S43" s="279"/>
      <c r="AD43" s="278"/>
      <c r="AE43" s="451"/>
      <c r="AF43" s="451"/>
      <c r="AG43" s="452"/>
      <c r="AH43" s="452"/>
    </row>
    <row r="44" spans="2:34" ht="12.75">
      <c r="B44" s="283" t="s">
        <v>648</v>
      </c>
      <c r="C44" s="284" t="s">
        <v>503</v>
      </c>
      <c r="D44" s="284" t="s">
        <v>503</v>
      </c>
      <c r="E44" s="285" t="s">
        <v>503</v>
      </c>
      <c r="F44" s="286" t="s">
        <v>503</v>
      </c>
      <c r="H44" s="155"/>
      <c r="I44" s="453"/>
      <c r="J44" s="453"/>
      <c r="K44" s="453"/>
      <c r="L44" s="453"/>
      <c r="N44" s="278"/>
      <c r="O44" s="451"/>
      <c r="P44" s="451"/>
      <c r="Q44" s="452"/>
      <c r="R44" s="452"/>
      <c r="S44" s="279"/>
      <c r="AD44" s="278"/>
      <c r="AE44" s="451"/>
      <c r="AF44" s="451"/>
      <c r="AG44" s="452"/>
      <c r="AH44" s="452"/>
    </row>
    <row r="45" spans="2:34" ht="12.75">
      <c r="B45" s="283" t="s">
        <v>501</v>
      </c>
      <c r="C45" s="318">
        <v>1</v>
      </c>
      <c r="D45" s="318">
        <v>1</v>
      </c>
      <c r="E45" s="319">
        <v>1</v>
      </c>
      <c r="F45" s="320">
        <v>1</v>
      </c>
      <c r="H45" s="155"/>
      <c r="I45" s="453"/>
      <c r="J45" s="453"/>
      <c r="K45" s="453"/>
      <c r="L45" s="453"/>
      <c r="N45" s="278"/>
      <c r="O45" s="451"/>
      <c r="P45" s="451"/>
      <c r="Q45" s="452"/>
      <c r="R45" s="452"/>
      <c r="S45" s="279"/>
      <c r="AD45" s="278"/>
      <c r="AE45" s="451"/>
      <c r="AF45" s="451"/>
      <c r="AG45" s="452"/>
      <c r="AH45" s="452"/>
    </row>
    <row r="46" spans="2:34" ht="12.75">
      <c r="B46" s="283" t="s">
        <v>502</v>
      </c>
      <c r="C46" s="284" t="s">
        <v>503</v>
      </c>
      <c r="D46" s="284" t="s">
        <v>503</v>
      </c>
      <c r="E46" s="285" t="s">
        <v>503</v>
      </c>
      <c r="F46" s="286" t="s">
        <v>503</v>
      </c>
      <c r="H46" s="155"/>
      <c r="I46" s="453"/>
      <c r="J46" s="453"/>
      <c r="K46" s="453"/>
      <c r="L46" s="453"/>
      <c r="N46" s="278"/>
      <c r="O46" s="451"/>
      <c r="P46" s="451"/>
      <c r="Q46" s="452"/>
      <c r="R46" s="452"/>
      <c r="S46" s="279"/>
      <c r="AD46" s="278"/>
      <c r="AE46" s="451"/>
      <c r="AF46" s="451"/>
      <c r="AG46" s="452"/>
      <c r="AH46" s="452"/>
    </row>
    <row r="47" spans="2:34" ht="12.75">
      <c r="B47" s="283" t="s">
        <v>649</v>
      </c>
      <c r="C47" s="284" t="s">
        <v>503</v>
      </c>
      <c r="D47" s="284" t="s">
        <v>503</v>
      </c>
      <c r="E47" s="285" t="s">
        <v>503</v>
      </c>
      <c r="F47" s="286" t="s">
        <v>503</v>
      </c>
      <c r="H47" s="155"/>
      <c r="I47" s="453"/>
      <c r="J47" s="453"/>
      <c r="K47" s="453"/>
      <c r="L47" s="453"/>
      <c r="N47" s="278"/>
      <c r="O47" s="451"/>
      <c r="P47" s="451"/>
      <c r="Q47" s="452"/>
      <c r="R47" s="452"/>
      <c r="S47" s="279"/>
      <c r="AD47" s="278"/>
      <c r="AE47" s="451"/>
      <c r="AF47" s="451"/>
      <c r="AG47" s="452"/>
      <c r="AH47" s="452"/>
    </row>
    <row r="48" spans="2:34" ht="12.75">
      <c r="B48" s="283" t="s">
        <v>70</v>
      </c>
      <c r="C48" s="318">
        <v>1</v>
      </c>
      <c r="D48" s="318">
        <v>1</v>
      </c>
      <c r="E48" s="285" t="s">
        <v>503</v>
      </c>
      <c r="F48" s="320">
        <v>1</v>
      </c>
      <c r="H48" s="155"/>
      <c r="I48" s="453"/>
      <c r="J48" s="453"/>
      <c r="K48" s="453"/>
      <c r="L48" s="453"/>
      <c r="N48" s="278"/>
      <c r="O48" s="451"/>
      <c r="P48" s="451"/>
      <c r="Q48" s="452"/>
      <c r="R48" s="452"/>
      <c r="S48" s="279"/>
      <c r="AD48" s="278"/>
      <c r="AE48" s="451"/>
      <c r="AF48" s="451"/>
      <c r="AG48" s="452"/>
      <c r="AH48" s="452"/>
    </row>
    <row r="49" spans="2:24" ht="13.5" thickBot="1">
      <c r="B49" s="287" t="s">
        <v>505</v>
      </c>
      <c r="C49" s="288" t="s">
        <v>503</v>
      </c>
      <c r="D49" s="288" t="s">
        <v>503</v>
      </c>
      <c r="E49" s="289" t="s">
        <v>503</v>
      </c>
      <c r="F49" s="290" t="s">
        <v>503</v>
      </c>
      <c r="N49" s="279"/>
      <c r="O49" s="279"/>
      <c r="P49" s="279"/>
      <c r="Q49" s="279"/>
      <c r="R49" s="279"/>
      <c r="S49" s="279"/>
      <c r="T49" s="279"/>
      <c r="U49" s="279"/>
      <c r="V49" s="279"/>
      <c r="W49" s="279"/>
      <c r="X49" s="279"/>
    </row>
    <row r="50" spans="16:24" ht="12.75">
      <c r="P50" s="279"/>
      <c r="Q50" s="279"/>
      <c r="R50" s="279"/>
      <c r="S50" s="279"/>
      <c r="T50" s="279"/>
      <c r="U50" s="279"/>
      <c r="V50" s="279"/>
      <c r="W50" s="279"/>
      <c r="X50" s="279"/>
    </row>
    <row r="51" s="182" customFormat="1" ht="12.75">
      <c r="A51" s="181" t="s">
        <v>549</v>
      </c>
    </row>
    <row r="52" ht="13.5" thickBot="1"/>
    <row r="53" spans="2:34" ht="12.75">
      <c r="B53" s="1004" t="s">
        <v>920</v>
      </c>
      <c r="C53" s="1005"/>
      <c r="D53" s="1005"/>
      <c r="E53" s="1005"/>
      <c r="F53" s="1006"/>
      <c r="H53" s="1004" t="s">
        <v>550</v>
      </c>
      <c r="I53" s="1005"/>
      <c r="J53" s="1005"/>
      <c r="K53" s="1005"/>
      <c r="L53" s="1006"/>
      <c r="AD53" s="1011" t="s">
        <v>551</v>
      </c>
      <c r="AE53" s="1012"/>
      <c r="AF53" s="1012"/>
      <c r="AG53" s="1012"/>
      <c r="AH53" s="1013"/>
    </row>
    <row r="54" spans="2:34" ht="39" thickBot="1">
      <c r="B54" s="160" t="s">
        <v>246</v>
      </c>
      <c r="C54" s="161" t="s">
        <v>247</v>
      </c>
      <c r="D54" s="161" t="s">
        <v>683</v>
      </c>
      <c r="E54" s="161" t="s">
        <v>624</v>
      </c>
      <c r="F54" s="162" t="s">
        <v>625</v>
      </c>
      <c r="H54" s="160" t="s">
        <v>246</v>
      </c>
      <c r="I54" s="161" t="s">
        <v>247</v>
      </c>
      <c r="J54" s="161" t="s">
        <v>683</v>
      </c>
      <c r="K54" s="161" t="s">
        <v>624</v>
      </c>
      <c r="L54" s="162" t="s">
        <v>625</v>
      </c>
      <c r="AD54" s="149" t="s">
        <v>246</v>
      </c>
      <c r="AE54" s="150" t="s">
        <v>247</v>
      </c>
      <c r="AF54" s="150" t="s">
        <v>492</v>
      </c>
      <c r="AG54" s="150" t="s">
        <v>493</v>
      </c>
      <c r="AH54" s="151" t="s">
        <v>494</v>
      </c>
    </row>
    <row r="55" spans="2:34" ht="12.75">
      <c r="B55" s="143" t="s">
        <v>497</v>
      </c>
      <c r="C55" s="798"/>
      <c r="D55" s="798"/>
      <c r="E55" s="798"/>
      <c r="F55" s="668"/>
      <c r="H55" s="143" t="s">
        <v>497</v>
      </c>
      <c r="I55" s="247">
        <v>0.03</v>
      </c>
      <c r="J55" s="247">
        <v>0.03</v>
      </c>
      <c r="K55" s="248">
        <v>0.03</v>
      </c>
      <c r="L55" s="246">
        <v>0.03</v>
      </c>
      <c r="AD55" s="143" t="s">
        <v>497</v>
      </c>
      <c r="AE55" s="183">
        <f>1-I55*C55</f>
        <v>1</v>
      </c>
      <c r="AF55" s="183">
        <f>1-J55*D55</f>
        <v>1</v>
      </c>
      <c r="AG55" s="183">
        <f>1-K55*E55</f>
        <v>1</v>
      </c>
      <c r="AH55" s="184">
        <f>1-L55*F55</f>
        <v>1</v>
      </c>
    </row>
    <row r="56" spans="2:34" ht="12.75">
      <c r="B56" s="154" t="s">
        <v>647</v>
      </c>
      <c r="C56" s="798"/>
      <c r="D56" s="798"/>
      <c r="E56" s="241" t="s">
        <v>503</v>
      </c>
      <c r="F56" s="242" t="s">
        <v>503</v>
      </c>
      <c r="H56" s="154" t="s">
        <v>647</v>
      </c>
      <c r="I56" s="247">
        <v>0.03</v>
      </c>
      <c r="J56" s="247">
        <v>0.03</v>
      </c>
      <c r="K56" s="241" t="s">
        <v>503</v>
      </c>
      <c r="L56" s="242" t="s">
        <v>503</v>
      </c>
      <c r="AD56" s="154" t="s">
        <v>647</v>
      </c>
      <c r="AE56" s="185">
        <f aca="true" t="shared" si="0" ref="AE56:AF63">1-I56*C56</f>
        <v>1</v>
      </c>
      <c r="AF56" s="185">
        <f t="shared" si="0"/>
        <v>1</v>
      </c>
      <c r="AG56" s="186" t="s">
        <v>503</v>
      </c>
      <c r="AH56" s="187" t="s">
        <v>503</v>
      </c>
    </row>
    <row r="57" spans="2:34" ht="12.75">
      <c r="B57" s="154" t="s">
        <v>499</v>
      </c>
      <c r="C57" s="798"/>
      <c r="D57" s="798"/>
      <c r="E57" s="241" t="s">
        <v>503</v>
      </c>
      <c r="F57" s="242" t="s">
        <v>503</v>
      </c>
      <c r="H57" s="154" t="s">
        <v>499</v>
      </c>
      <c r="I57" s="247">
        <v>0.03</v>
      </c>
      <c r="J57" s="247">
        <v>0.03</v>
      </c>
      <c r="K57" s="241" t="s">
        <v>503</v>
      </c>
      <c r="L57" s="242" t="s">
        <v>503</v>
      </c>
      <c r="AD57" s="154" t="s">
        <v>499</v>
      </c>
      <c r="AE57" s="185">
        <f t="shared" si="0"/>
        <v>1</v>
      </c>
      <c r="AF57" s="185">
        <f t="shared" si="0"/>
        <v>1</v>
      </c>
      <c r="AG57" s="186" t="s">
        <v>503</v>
      </c>
      <c r="AH57" s="187" t="s">
        <v>503</v>
      </c>
    </row>
    <row r="58" spans="2:34" ht="12.75">
      <c r="B58" s="154" t="s">
        <v>648</v>
      </c>
      <c r="C58" s="798"/>
      <c r="D58" s="798"/>
      <c r="E58" s="241" t="s">
        <v>503</v>
      </c>
      <c r="F58" s="242" t="s">
        <v>503</v>
      </c>
      <c r="H58" s="154" t="s">
        <v>648</v>
      </c>
      <c r="I58" s="247">
        <v>0.03</v>
      </c>
      <c r="J58" s="247">
        <v>0.03</v>
      </c>
      <c r="K58" s="241" t="s">
        <v>503</v>
      </c>
      <c r="L58" s="242" t="s">
        <v>503</v>
      </c>
      <c r="AD58" s="154" t="s">
        <v>648</v>
      </c>
      <c r="AE58" s="185">
        <f t="shared" si="0"/>
        <v>1</v>
      </c>
      <c r="AF58" s="185">
        <f t="shared" si="0"/>
        <v>1</v>
      </c>
      <c r="AG58" s="186" t="s">
        <v>503</v>
      </c>
      <c r="AH58" s="187" t="s">
        <v>503</v>
      </c>
    </row>
    <row r="59" spans="2:34" ht="12.75">
      <c r="B59" s="154" t="s">
        <v>501</v>
      </c>
      <c r="C59" s="798"/>
      <c r="D59" s="798"/>
      <c r="E59" s="798"/>
      <c r="F59" s="668"/>
      <c r="H59" s="154" t="s">
        <v>501</v>
      </c>
      <c r="I59" s="247">
        <v>0.03</v>
      </c>
      <c r="J59" s="247">
        <v>0.03</v>
      </c>
      <c r="K59" s="248">
        <v>0.03</v>
      </c>
      <c r="L59" s="246">
        <v>0.03</v>
      </c>
      <c r="AD59" s="154" t="s">
        <v>501</v>
      </c>
      <c r="AE59" s="185">
        <f t="shared" si="0"/>
        <v>1</v>
      </c>
      <c r="AF59" s="185">
        <f t="shared" si="0"/>
        <v>1</v>
      </c>
      <c r="AG59" s="185">
        <f>1-K59*E59</f>
        <v>1</v>
      </c>
      <c r="AH59" s="188">
        <f>1-L59*F59</f>
        <v>1</v>
      </c>
    </row>
    <row r="60" spans="2:34" ht="12.75">
      <c r="B60" s="154" t="s">
        <v>502</v>
      </c>
      <c r="C60" s="798"/>
      <c r="D60" s="798"/>
      <c r="E60" s="241" t="s">
        <v>503</v>
      </c>
      <c r="F60" s="242" t="s">
        <v>503</v>
      </c>
      <c r="H60" s="154" t="s">
        <v>502</v>
      </c>
      <c r="I60" s="247">
        <v>0.03</v>
      </c>
      <c r="J60" s="247">
        <v>0.03</v>
      </c>
      <c r="K60" s="241" t="s">
        <v>503</v>
      </c>
      <c r="L60" s="242" t="s">
        <v>503</v>
      </c>
      <c r="AD60" s="154" t="s">
        <v>502</v>
      </c>
      <c r="AE60" s="185">
        <f t="shared" si="0"/>
        <v>1</v>
      </c>
      <c r="AF60" s="185">
        <f t="shared" si="0"/>
        <v>1</v>
      </c>
      <c r="AG60" s="186" t="s">
        <v>503</v>
      </c>
      <c r="AH60" s="187" t="s">
        <v>503</v>
      </c>
    </row>
    <row r="61" spans="2:34" ht="12.75">
      <c r="B61" s="154" t="s">
        <v>649</v>
      </c>
      <c r="C61" s="798"/>
      <c r="D61" s="798"/>
      <c r="E61" s="241" t="s">
        <v>503</v>
      </c>
      <c r="F61" s="242" t="s">
        <v>503</v>
      </c>
      <c r="H61" s="154" t="s">
        <v>649</v>
      </c>
      <c r="I61" s="247">
        <v>0.03</v>
      </c>
      <c r="J61" s="247">
        <v>0.03</v>
      </c>
      <c r="K61" s="241" t="s">
        <v>503</v>
      </c>
      <c r="L61" s="242" t="s">
        <v>503</v>
      </c>
      <c r="AD61" s="154" t="s">
        <v>649</v>
      </c>
      <c r="AE61" s="185">
        <f t="shared" si="0"/>
        <v>1</v>
      </c>
      <c r="AF61" s="185">
        <f t="shared" si="0"/>
        <v>1</v>
      </c>
      <c r="AG61" s="186" t="s">
        <v>503</v>
      </c>
      <c r="AH61" s="187" t="s">
        <v>503</v>
      </c>
    </row>
    <row r="62" spans="2:34" ht="12.75">
      <c r="B62" s="154" t="s">
        <v>70</v>
      </c>
      <c r="C62" s="798"/>
      <c r="D62" s="798"/>
      <c r="E62" s="241" t="s">
        <v>503</v>
      </c>
      <c r="F62" s="668"/>
      <c r="H62" s="154" t="s">
        <v>70</v>
      </c>
      <c r="I62" s="247">
        <v>0.03</v>
      </c>
      <c r="J62" s="247">
        <v>0.03</v>
      </c>
      <c r="K62" s="241" t="s">
        <v>503</v>
      </c>
      <c r="L62" s="246">
        <v>0.03</v>
      </c>
      <c r="AD62" s="154" t="s">
        <v>70</v>
      </c>
      <c r="AE62" s="185">
        <f t="shared" si="0"/>
        <v>1</v>
      </c>
      <c r="AF62" s="185">
        <f t="shared" si="0"/>
        <v>1</v>
      </c>
      <c r="AG62" s="186" t="s">
        <v>503</v>
      </c>
      <c r="AH62" s="188">
        <f>1-L62*F62</f>
        <v>1</v>
      </c>
    </row>
    <row r="63" spans="2:34" ht="13.5" thickBot="1">
      <c r="B63" s="144" t="s">
        <v>505</v>
      </c>
      <c r="C63" s="799"/>
      <c r="D63" s="799"/>
      <c r="E63" s="243" t="s">
        <v>503</v>
      </c>
      <c r="F63" s="244" t="s">
        <v>503</v>
      </c>
      <c r="H63" s="144" t="s">
        <v>505</v>
      </c>
      <c r="I63" s="249">
        <v>0.03</v>
      </c>
      <c r="J63" s="249">
        <v>0.03</v>
      </c>
      <c r="K63" s="243" t="s">
        <v>503</v>
      </c>
      <c r="L63" s="244" t="s">
        <v>503</v>
      </c>
      <c r="AD63" s="144" t="s">
        <v>505</v>
      </c>
      <c r="AE63" s="189">
        <f t="shared" si="0"/>
        <v>1</v>
      </c>
      <c r="AF63" s="189">
        <f t="shared" si="0"/>
        <v>1</v>
      </c>
      <c r="AG63" s="190" t="s">
        <v>503</v>
      </c>
      <c r="AH63" s="191" t="s">
        <v>503</v>
      </c>
    </row>
    <row r="64" spans="2:35" ht="12.75">
      <c r="B64" s="155"/>
      <c r="C64" s="245"/>
      <c r="D64" s="245"/>
      <c r="E64" s="245"/>
      <c r="F64" s="245"/>
      <c r="H64" s="155"/>
      <c r="I64" s="245"/>
      <c r="J64" s="245"/>
      <c r="K64" s="245"/>
      <c r="L64" s="245"/>
      <c r="AD64" s="222" t="s">
        <v>671</v>
      </c>
      <c r="AI64" s="321">
        <f>1-AVERAGE(AE55:AH63)</f>
        <v>0</v>
      </c>
    </row>
    <row r="66" s="182" customFormat="1" ht="12.75">
      <c r="A66" s="181" t="s">
        <v>552</v>
      </c>
    </row>
    <row r="67" ht="13.5" thickBot="1"/>
    <row r="68" spans="2:34" ht="12.75">
      <c r="B68" s="1004" t="s">
        <v>920</v>
      </c>
      <c r="C68" s="1005"/>
      <c r="D68" s="1005"/>
      <c r="E68" s="1005"/>
      <c r="F68" s="1006"/>
      <c r="H68" s="1004" t="s">
        <v>550</v>
      </c>
      <c r="I68" s="1005"/>
      <c r="J68" s="1005"/>
      <c r="K68" s="1005"/>
      <c r="L68" s="1006"/>
      <c r="AD68" s="1011" t="s">
        <v>551</v>
      </c>
      <c r="AE68" s="1012"/>
      <c r="AF68" s="1012"/>
      <c r="AG68" s="1012"/>
      <c r="AH68" s="1013"/>
    </row>
    <row r="69" spans="2:34" ht="39" thickBot="1">
      <c r="B69" s="160" t="s">
        <v>246</v>
      </c>
      <c r="C69" s="161" t="s">
        <v>247</v>
      </c>
      <c r="D69" s="161" t="s">
        <v>683</v>
      </c>
      <c r="E69" s="161" t="s">
        <v>624</v>
      </c>
      <c r="F69" s="162" t="s">
        <v>625</v>
      </c>
      <c r="H69" s="160" t="s">
        <v>246</v>
      </c>
      <c r="I69" s="161" t="s">
        <v>247</v>
      </c>
      <c r="J69" s="161" t="s">
        <v>683</v>
      </c>
      <c r="K69" s="161" t="s">
        <v>624</v>
      </c>
      <c r="L69" s="162" t="s">
        <v>625</v>
      </c>
      <c r="AD69" s="149" t="s">
        <v>246</v>
      </c>
      <c r="AE69" s="150" t="s">
        <v>247</v>
      </c>
      <c r="AF69" s="150" t="s">
        <v>492</v>
      </c>
      <c r="AG69" s="150" t="s">
        <v>493</v>
      </c>
      <c r="AH69" s="151" t="s">
        <v>494</v>
      </c>
    </row>
    <row r="70" spans="2:34" ht="12.75">
      <c r="B70" s="143" t="s">
        <v>497</v>
      </c>
      <c r="C70" s="798"/>
      <c r="D70" s="798"/>
      <c r="E70" s="798"/>
      <c r="F70" s="668"/>
      <c r="H70" s="143" t="s">
        <v>497</v>
      </c>
      <c r="I70" s="247">
        <v>0.02</v>
      </c>
      <c r="J70" s="247">
        <v>0.02</v>
      </c>
      <c r="K70" s="248">
        <v>0.01</v>
      </c>
      <c r="L70" s="246">
        <v>0.01</v>
      </c>
      <c r="AD70" s="143" t="s">
        <v>497</v>
      </c>
      <c r="AE70" s="183">
        <f>1-I70*C70</f>
        <v>1</v>
      </c>
      <c r="AF70" s="183">
        <f>1-J70*D70</f>
        <v>1</v>
      </c>
      <c r="AG70" s="183">
        <f>1-K70*E70</f>
        <v>1</v>
      </c>
      <c r="AH70" s="184">
        <f>1-L70*F70</f>
        <v>1</v>
      </c>
    </row>
    <row r="71" spans="2:34" ht="12.75">
      <c r="B71" s="154" t="s">
        <v>647</v>
      </c>
      <c r="C71" s="798"/>
      <c r="D71" s="798"/>
      <c r="E71" s="241" t="s">
        <v>503</v>
      </c>
      <c r="F71" s="242" t="s">
        <v>503</v>
      </c>
      <c r="H71" s="154" t="s">
        <v>647</v>
      </c>
      <c r="I71" s="247">
        <v>0.02</v>
      </c>
      <c r="J71" s="247">
        <v>0.02</v>
      </c>
      <c r="K71" s="241" t="s">
        <v>503</v>
      </c>
      <c r="L71" s="242" t="s">
        <v>503</v>
      </c>
      <c r="AD71" s="154" t="s">
        <v>647</v>
      </c>
      <c r="AE71" s="185">
        <f aca="true" t="shared" si="1" ref="AE71:AF78">1-I71*C71</f>
        <v>1</v>
      </c>
      <c r="AF71" s="185">
        <f t="shared" si="1"/>
        <v>1</v>
      </c>
      <c r="AG71" s="186" t="s">
        <v>503</v>
      </c>
      <c r="AH71" s="187" t="s">
        <v>503</v>
      </c>
    </row>
    <row r="72" spans="2:34" ht="12.75">
      <c r="B72" s="154" t="s">
        <v>499</v>
      </c>
      <c r="C72" s="798"/>
      <c r="D72" s="798"/>
      <c r="E72" s="241" t="s">
        <v>503</v>
      </c>
      <c r="F72" s="242" t="s">
        <v>503</v>
      </c>
      <c r="H72" s="154" t="s">
        <v>499</v>
      </c>
      <c r="I72" s="247">
        <v>0.02</v>
      </c>
      <c r="J72" s="247">
        <v>0.02</v>
      </c>
      <c r="K72" s="241" t="s">
        <v>503</v>
      </c>
      <c r="L72" s="242" t="s">
        <v>503</v>
      </c>
      <c r="AD72" s="154" t="s">
        <v>499</v>
      </c>
      <c r="AE72" s="185">
        <f t="shared" si="1"/>
        <v>1</v>
      </c>
      <c r="AF72" s="185">
        <f t="shared" si="1"/>
        <v>1</v>
      </c>
      <c r="AG72" s="186" t="s">
        <v>503</v>
      </c>
      <c r="AH72" s="187" t="s">
        <v>503</v>
      </c>
    </row>
    <row r="73" spans="2:34" ht="12.75">
      <c r="B73" s="154" t="s">
        <v>648</v>
      </c>
      <c r="C73" s="798"/>
      <c r="D73" s="798"/>
      <c r="E73" s="241" t="s">
        <v>503</v>
      </c>
      <c r="F73" s="242" t="s">
        <v>503</v>
      </c>
      <c r="H73" s="154" t="s">
        <v>648</v>
      </c>
      <c r="I73" s="247">
        <v>0.02</v>
      </c>
      <c r="J73" s="247">
        <v>0.02</v>
      </c>
      <c r="K73" s="241" t="s">
        <v>503</v>
      </c>
      <c r="L73" s="242" t="s">
        <v>503</v>
      </c>
      <c r="AD73" s="154" t="s">
        <v>648</v>
      </c>
      <c r="AE73" s="185">
        <f t="shared" si="1"/>
        <v>1</v>
      </c>
      <c r="AF73" s="185">
        <f t="shared" si="1"/>
        <v>1</v>
      </c>
      <c r="AG73" s="186" t="s">
        <v>503</v>
      </c>
      <c r="AH73" s="187" t="s">
        <v>503</v>
      </c>
    </row>
    <row r="74" spans="2:34" ht="12.75">
      <c r="B74" s="154" t="s">
        <v>501</v>
      </c>
      <c r="C74" s="798"/>
      <c r="D74" s="798"/>
      <c r="E74" s="798"/>
      <c r="F74" s="668"/>
      <c r="H74" s="154" t="s">
        <v>501</v>
      </c>
      <c r="I74" s="247">
        <v>0.02</v>
      </c>
      <c r="J74" s="247">
        <v>0.02</v>
      </c>
      <c r="K74" s="248">
        <v>0.01</v>
      </c>
      <c r="L74" s="246">
        <v>0.01</v>
      </c>
      <c r="AD74" s="154" t="s">
        <v>501</v>
      </c>
      <c r="AE74" s="185">
        <f t="shared" si="1"/>
        <v>1</v>
      </c>
      <c r="AF74" s="185">
        <f t="shared" si="1"/>
        <v>1</v>
      </c>
      <c r="AG74" s="185">
        <f>1-K74*E74</f>
        <v>1</v>
      </c>
      <c r="AH74" s="188">
        <f>1-L74*F74</f>
        <v>1</v>
      </c>
    </row>
    <row r="75" spans="2:34" ht="12.75">
      <c r="B75" s="154" t="s">
        <v>502</v>
      </c>
      <c r="C75" s="798"/>
      <c r="D75" s="798"/>
      <c r="E75" s="241" t="s">
        <v>503</v>
      </c>
      <c r="F75" s="242" t="s">
        <v>503</v>
      </c>
      <c r="H75" s="154" t="s">
        <v>502</v>
      </c>
      <c r="I75" s="247">
        <v>0.02</v>
      </c>
      <c r="J75" s="247">
        <v>0.02</v>
      </c>
      <c r="K75" s="241" t="s">
        <v>503</v>
      </c>
      <c r="L75" s="242" t="s">
        <v>503</v>
      </c>
      <c r="AD75" s="154" t="s">
        <v>502</v>
      </c>
      <c r="AE75" s="185">
        <f t="shared" si="1"/>
        <v>1</v>
      </c>
      <c r="AF75" s="185">
        <f t="shared" si="1"/>
        <v>1</v>
      </c>
      <c r="AG75" s="186" t="s">
        <v>503</v>
      </c>
      <c r="AH75" s="187" t="s">
        <v>503</v>
      </c>
    </row>
    <row r="76" spans="2:34" ht="12.75">
      <c r="B76" s="154" t="s">
        <v>649</v>
      </c>
      <c r="C76" s="798"/>
      <c r="D76" s="798"/>
      <c r="E76" s="241" t="s">
        <v>503</v>
      </c>
      <c r="F76" s="242" t="s">
        <v>503</v>
      </c>
      <c r="H76" s="154" t="s">
        <v>649</v>
      </c>
      <c r="I76" s="247">
        <v>0.02</v>
      </c>
      <c r="J76" s="247">
        <v>0.02</v>
      </c>
      <c r="K76" s="241" t="s">
        <v>503</v>
      </c>
      <c r="L76" s="242" t="s">
        <v>503</v>
      </c>
      <c r="AD76" s="154" t="s">
        <v>649</v>
      </c>
      <c r="AE76" s="185">
        <f t="shared" si="1"/>
        <v>1</v>
      </c>
      <c r="AF76" s="185">
        <f t="shared" si="1"/>
        <v>1</v>
      </c>
      <c r="AG76" s="186" t="s">
        <v>503</v>
      </c>
      <c r="AH76" s="187" t="s">
        <v>503</v>
      </c>
    </row>
    <row r="77" spans="2:34" ht="12.75">
      <c r="B77" s="154" t="s">
        <v>70</v>
      </c>
      <c r="C77" s="798"/>
      <c r="D77" s="798"/>
      <c r="E77" s="241" t="s">
        <v>503</v>
      </c>
      <c r="F77" s="668"/>
      <c r="H77" s="154" t="s">
        <v>70</v>
      </c>
      <c r="I77" s="247">
        <v>0.02</v>
      </c>
      <c r="J77" s="247">
        <v>0.02</v>
      </c>
      <c r="K77" s="241" t="s">
        <v>503</v>
      </c>
      <c r="L77" s="246">
        <v>0.01</v>
      </c>
      <c r="AD77" s="154" t="s">
        <v>70</v>
      </c>
      <c r="AE77" s="185">
        <f t="shared" si="1"/>
        <v>1</v>
      </c>
      <c r="AF77" s="185">
        <f t="shared" si="1"/>
        <v>1</v>
      </c>
      <c r="AG77" s="186" t="s">
        <v>503</v>
      </c>
      <c r="AH77" s="188">
        <f>1-L77*F77</f>
        <v>1</v>
      </c>
    </row>
    <row r="78" spans="2:34" ht="13.5" thickBot="1">
      <c r="B78" s="144" t="s">
        <v>505</v>
      </c>
      <c r="C78" s="799"/>
      <c r="D78" s="799"/>
      <c r="E78" s="243" t="s">
        <v>503</v>
      </c>
      <c r="F78" s="244" t="s">
        <v>503</v>
      </c>
      <c r="H78" s="144" t="s">
        <v>505</v>
      </c>
      <c r="I78" s="249">
        <v>0.02</v>
      </c>
      <c r="J78" s="249">
        <v>0.02</v>
      </c>
      <c r="K78" s="243" t="s">
        <v>503</v>
      </c>
      <c r="L78" s="244" t="s">
        <v>503</v>
      </c>
      <c r="AD78" s="144" t="s">
        <v>505</v>
      </c>
      <c r="AE78" s="189">
        <f t="shared" si="1"/>
        <v>1</v>
      </c>
      <c r="AF78" s="189">
        <f t="shared" si="1"/>
        <v>1</v>
      </c>
      <c r="AG78" s="189" t="s">
        <v>503</v>
      </c>
      <c r="AH78" s="192" t="s">
        <v>503</v>
      </c>
    </row>
    <row r="79" spans="30:35" ht="12.75">
      <c r="AD79" s="222" t="s">
        <v>671</v>
      </c>
      <c r="AI79" s="321">
        <f>1-AVERAGE(AE70:AH78)</f>
        <v>0</v>
      </c>
    </row>
    <row r="81" s="182" customFormat="1" ht="12.75">
      <c r="A81" s="181" t="s">
        <v>553</v>
      </c>
    </row>
    <row r="82" ht="13.5" thickBot="1"/>
    <row r="83" spans="2:34" ht="12.75">
      <c r="B83" s="1004" t="s">
        <v>920</v>
      </c>
      <c r="C83" s="1005"/>
      <c r="D83" s="1005"/>
      <c r="E83" s="1005"/>
      <c r="F83" s="1006"/>
      <c r="H83" s="1004" t="s">
        <v>550</v>
      </c>
      <c r="I83" s="1005"/>
      <c r="J83" s="1005"/>
      <c r="K83" s="1005"/>
      <c r="L83" s="1006"/>
      <c r="AD83" s="1011" t="s">
        <v>551</v>
      </c>
      <c r="AE83" s="1012"/>
      <c r="AF83" s="1012"/>
      <c r="AG83" s="1012"/>
      <c r="AH83" s="1013"/>
    </row>
    <row r="84" spans="2:34" ht="39" thickBot="1">
      <c r="B84" s="160" t="s">
        <v>246</v>
      </c>
      <c r="C84" s="161" t="s">
        <v>247</v>
      </c>
      <c r="D84" s="161" t="s">
        <v>683</v>
      </c>
      <c r="E84" s="161" t="s">
        <v>624</v>
      </c>
      <c r="F84" s="162" t="s">
        <v>625</v>
      </c>
      <c r="H84" s="160" t="s">
        <v>246</v>
      </c>
      <c r="I84" s="161" t="s">
        <v>247</v>
      </c>
      <c r="J84" s="161" t="s">
        <v>683</v>
      </c>
      <c r="K84" s="161" t="s">
        <v>624</v>
      </c>
      <c r="L84" s="162" t="s">
        <v>625</v>
      </c>
      <c r="AD84" s="149" t="s">
        <v>246</v>
      </c>
      <c r="AE84" s="150" t="s">
        <v>247</v>
      </c>
      <c r="AF84" s="150" t="s">
        <v>492</v>
      </c>
      <c r="AG84" s="150" t="s">
        <v>493</v>
      </c>
      <c r="AH84" s="151" t="s">
        <v>494</v>
      </c>
    </row>
    <row r="85" spans="2:34" ht="12.75">
      <c r="B85" s="143" t="s">
        <v>497</v>
      </c>
      <c r="C85" s="798"/>
      <c r="D85" s="798"/>
      <c r="E85" s="798"/>
      <c r="F85" s="668"/>
      <c r="H85" s="143" t="s">
        <v>497</v>
      </c>
      <c r="I85" s="247">
        <v>0.02</v>
      </c>
      <c r="J85" s="247">
        <v>0.02</v>
      </c>
      <c r="K85" s="248">
        <v>0.01</v>
      </c>
      <c r="L85" s="246">
        <v>0.01</v>
      </c>
      <c r="AD85" s="143" t="s">
        <v>497</v>
      </c>
      <c r="AE85" s="183">
        <f>1-I85*C85</f>
        <v>1</v>
      </c>
      <c r="AF85" s="183">
        <f>1-J85*D85</f>
        <v>1</v>
      </c>
      <c r="AG85" s="183">
        <f>1-K85*E85</f>
        <v>1</v>
      </c>
      <c r="AH85" s="184">
        <f>1-L85*F85</f>
        <v>1</v>
      </c>
    </row>
    <row r="86" spans="2:34" ht="12.75">
      <c r="B86" s="154" t="s">
        <v>647</v>
      </c>
      <c r="C86" s="798"/>
      <c r="D86" s="798"/>
      <c r="E86" s="241" t="s">
        <v>503</v>
      </c>
      <c r="F86" s="242" t="s">
        <v>503</v>
      </c>
      <c r="H86" s="154" t="s">
        <v>647</v>
      </c>
      <c r="I86" s="247">
        <v>0.02</v>
      </c>
      <c r="J86" s="247">
        <v>0.02</v>
      </c>
      <c r="K86" s="241" t="s">
        <v>503</v>
      </c>
      <c r="L86" s="242" t="s">
        <v>503</v>
      </c>
      <c r="AD86" s="154" t="s">
        <v>647</v>
      </c>
      <c r="AE86" s="185">
        <f aca="true" t="shared" si="2" ref="AE86:AF93">1-I86*C86</f>
        <v>1</v>
      </c>
      <c r="AF86" s="185">
        <f t="shared" si="2"/>
        <v>1</v>
      </c>
      <c r="AG86" s="186" t="s">
        <v>503</v>
      </c>
      <c r="AH86" s="187" t="s">
        <v>503</v>
      </c>
    </row>
    <row r="87" spans="2:34" ht="12.75">
      <c r="B87" s="154" t="s">
        <v>499</v>
      </c>
      <c r="C87" s="798"/>
      <c r="D87" s="798"/>
      <c r="E87" s="241" t="s">
        <v>503</v>
      </c>
      <c r="F87" s="242" t="s">
        <v>503</v>
      </c>
      <c r="H87" s="154" t="s">
        <v>499</v>
      </c>
      <c r="I87" s="247">
        <v>0.02</v>
      </c>
      <c r="J87" s="247">
        <v>0.02</v>
      </c>
      <c r="K87" s="241" t="s">
        <v>503</v>
      </c>
      <c r="L87" s="242" t="s">
        <v>503</v>
      </c>
      <c r="AD87" s="154" t="s">
        <v>499</v>
      </c>
      <c r="AE87" s="185">
        <f t="shared" si="2"/>
        <v>1</v>
      </c>
      <c r="AF87" s="185">
        <f t="shared" si="2"/>
        <v>1</v>
      </c>
      <c r="AG87" s="186" t="s">
        <v>503</v>
      </c>
      <c r="AH87" s="187" t="s">
        <v>503</v>
      </c>
    </row>
    <row r="88" spans="2:34" ht="12.75">
      <c r="B88" s="154" t="s">
        <v>648</v>
      </c>
      <c r="C88" s="798"/>
      <c r="D88" s="798"/>
      <c r="E88" s="241" t="s">
        <v>503</v>
      </c>
      <c r="F88" s="242" t="s">
        <v>503</v>
      </c>
      <c r="H88" s="154" t="s">
        <v>648</v>
      </c>
      <c r="I88" s="247">
        <v>0.02</v>
      </c>
      <c r="J88" s="247">
        <v>0.02</v>
      </c>
      <c r="K88" s="241" t="s">
        <v>503</v>
      </c>
      <c r="L88" s="242" t="s">
        <v>503</v>
      </c>
      <c r="AD88" s="154" t="s">
        <v>648</v>
      </c>
      <c r="AE88" s="185">
        <f t="shared" si="2"/>
        <v>1</v>
      </c>
      <c r="AF88" s="185">
        <f t="shared" si="2"/>
        <v>1</v>
      </c>
      <c r="AG88" s="186" t="s">
        <v>503</v>
      </c>
      <c r="AH88" s="187" t="s">
        <v>503</v>
      </c>
    </row>
    <row r="89" spans="2:34" ht="12.75">
      <c r="B89" s="154" t="s">
        <v>501</v>
      </c>
      <c r="C89" s="798"/>
      <c r="D89" s="798"/>
      <c r="E89" s="798"/>
      <c r="F89" s="668"/>
      <c r="H89" s="154" t="s">
        <v>501</v>
      </c>
      <c r="I89" s="247">
        <v>0.02</v>
      </c>
      <c r="J89" s="247">
        <v>0.02</v>
      </c>
      <c r="K89" s="248">
        <v>0.01</v>
      </c>
      <c r="L89" s="246">
        <v>0.01</v>
      </c>
      <c r="AD89" s="154" t="s">
        <v>501</v>
      </c>
      <c r="AE89" s="185">
        <f t="shared" si="2"/>
        <v>1</v>
      </c>
      <c r="AF89" s="185">
        <f t="shared" si="2"/>
        <v>1</v>
      </c>
      <c r="AG89" s="185">
        <f>1-K89*E89</f>
        <v>1</v>
      </c>
      <c r="AH89" s="188">
        <f>1-L89*F89</f>
        <v>1</v>
      </c>
    </row>
    <row r="90" spans="2:34" ht="12.75">
      <c r="B90" s="154" t="s">
        <v>502</v>
      </c>
      <c r="C90" s="798"/>
      <c r="D90" s="798"/>
      <c r="E90" s="241" t="s">
        <v>503</v>
      </c>
      <c r="F90" s="242" t="s">
        <v>503</v>
      </c>
      <c r="H90" s="154" t="s">
        <v>502</v>
      </c>
      <c r="I90" s="247">
        <v>0.02</v>
      </c>
      <c r="J90" s="247">
        <v>0.02</v>
      </c>
      <c r="K90" s="241" t="s">
        <v>503</v>
      </c>
      <c r="L90" s="242" t="s">
        <v>503</v>
      </c>
      <c r="AD90" s="154" t="s">
        <v>502</v>
      </c>
      <c r="AE90" s="185">
        <f t="shared" si="2"/>
        <v>1</v>
      </c>
      <c r="AF90" s="185">
        <f t="shared" si="2"/>
        <v>1</v>
      </c>
      <c r="AG90" s="186" t="s">
        <v>503</v>
      </c>
      <c r="AH90" s="187" t="s">
        <v>503</v>
      </c>
    </row>
    <row r="91" spans="2:34" ht="12.75">
      <c r="B91" s="154" t="s">
        <v>649</v>
      </c>
      <c r="C91" s="798"/>
      <c r="D91" s="798"/>
      <c r="E91" s="241" t="s">
        <v>503</v>
      </c>
      <c r="F91" s="242" t="s">
        <v>503</v>
      </c>
      <c r="H91" s="154" t="s">
        <v>649</v>
      </c>
      <c r="I91" s="247">
        <v>0.02</v>
      </c>
      <c r="J91" s="247">
        <v>0.02</v>
      </c>
      <c r="K91" s="241" t="s">
        <v>503</v>
      </c>
      <c r="L91" s="242" t="s">
        <v>503</v>
      </c>
      <c r="AD91" s="154" t="s">
        <v>649</v>
      </c>
      <c r="AE91" s="185">
        <f t="shared" si="2"/>
        <v>1</v>
      </c>
      <c r="AF91" s="185">
        <f t="shared" si="2"/>
        <v>1</v>
      </c>
      <c r="AG91" s="186" t="s">
        <v>503</v>
      </c>
      <c r="AH91" s="187" t="s">
        <v>503</v>
      </c>
    </row>
    <row r="92" spans="2:34" ht="12.75">
      <c r="B92" s="154" t="s">
        <v>70</v>
      </c>
      <c r="C92" s="798"/>
      <c r="D92" s="798"/>
      <c r="E92" s="241" t="s">
        <v>503</v>
      </c>
      <c r="F92" s="668"/>
      <c r="H92" s="154" t="s">
        <v>70</v>
      </c>
      <c r="I92" s="247">
        <v>0.02</v>
      </c>
      <c r="J92" s="247">
        <v>0.02</v>
      </c>
      <c r="K92" s="241" t="s">
        <v>503</v>
      </c>
      <c r="L92" s="246">
        <v>0.01</v>
      </c>
      <c r="AD92" s="154" t="s">
        <v>70</v>
      </c>
      <c r="AE92" s="185">
        <f t="shared" si="2"/>
        <v>1</v>
      </c>
      <c r="AF92" s="185">
        <f t="shared" si="2"/>
        <v>1</v>
      </c>
      <c r="AG92" s="186" t="s">
        <v>503</v>
      </c>
      <c r="AH92" s="188">
        <f>1-L92*F92</f>
        <v>1</v>
      </c>
    </row>
    <row r="93" spans="2:34" ht="13.5" thickBot="1">
      <c r="B93" s="144" t="s">
        <v>505</v>
      </c>
      <c r="C93" s="799"/>
      <c r="D93" s="799"/>
      <c r="E93" s="243" t="s">
        <v>503</v>
      </c>
      <c r="F93" s="244" t="s">
        <v>503</v>
      </c>
      <c r="H93" s="144" t="s">
        <v>505</v>
      </c>
      <c r="I93" s="249">
        <v>0.02</v>
      </c>
      <c r="J93" s="249">
        <v>0.02</v>
      </c>
      <c r="K93" s="243" t="s">
        <v>503</v>
      </c>
      <c r="L93" s="244" t="s">
        <v>503</v>
      </c>
      <c r="AD93" s="144" t="s">
        <v>505</v>
      </c>
      <c r="AE93" s="189">
        <f t="shared" si="2"/>
        <v>1</v>
      </c>
      <c r="AF93" s="189">
        <f t="shared" si="2"/>
        <v>1</v>
      </c>
      <c r="AG93" s="190" t="s">
        <v>503</v>
      </c>
      <c r="AH93" s="191" t="s">
        <v>503</v>
      </c>
    </row>
    <row r="94" spans="30:35" ht="12.75">
      <c r="AD94" s="222" t="s">
        <v>671</v>
      </c>
      <c r="AI94" s="321">
        <f>1-AVERAGE(AE85:AH93)</f>
        <v>0</v>
      </c>
    </row>
    <row r="96" s="182" customFormat="1" ht="12.75">
      <c r="A96" s="181" t="s">
        <v>554</v>
      </c>
    </row>
    <row r="97" ht="13.5" thickBot="1"/>
    <row r="98" spans="2:34" ht="12.75">
      <c r="B98" s="1004" t="s">
        <v>920</v>
      </c>
      <c r="C98" s="1005"/>
      <c r="D98" s="1005"/>
      <c r="E98" s="1005"/>
      <c r="F98" s="1006"/>
      <c r="H98" s="1004" t="s">
        <v>550</v>
      </c>
      <c r="I98" s="1005"/>
      <c r="J98" s="1005"/>
      <c r="K98" s="1005"/>
      <c r="L98" s="1006"/>
      <c r="AD98" s="1011" t="s">
        <v>551</v>
      </c>
      <c r="AE98" s="1012"/>
      <c r="AF98" s="1012"/>
      <c r="AG98" s="1012"/>
      <c r="AH98" s="1013"/>
    </row>
    <row r="99" spans="2:34" ht="39" thickBot="1">
      <c r="B99" s="160" t="s">
        <v>246</v>
      </c>
      <c r="C99" s="161" t="s">
        <v>247</v>
      </c>
      <c r="D99" s="161" t="s">
        <v>683</v>
      </c>
      <c r="E99" s="161" t="s">
        <v>624</v>
      </c>
      <c r="F99" s="162" t="s">
        <v>625</v>
      </c>
      <c r="H99" s="160" t="s">
        <v>246</v>
      </c>
      <c r="I99" s="161" t="s">
        <v>247</v>
      </c>
      <c r="J99" s="161" t="s">
        <v>683</v>
      </c>
      <c r="K99" s="161" t="s">
        <v>624</v>
      </c>
      <c r="L99" s="162" t="s">
        <v>625</v>
      </c>
      <c r="AD99" s="149" t="s">
        <v>246</v>
      </c>
      <c r="AE99" s="150" t="s">
        <v>247</v>
      </c>
      <c r="AF99" s="150" t="s">
        <v>492</v>
      </c>
      <c r="AG99" s="150" t="s">
        <v>493</v>
      </c>
      <c r="AH99" s="151" t="s">
        <v>494</v>
      </c>
    </row>
    <row r="100" spans="2:34" ht="12.75">
      <c r="B100" s="143" t="s">
        <v>497</v>
      </c>
      <c r="C100" s="193" t="s">
        <v>503</v>
      </c>
      <c r="D100" s="193" t="s">
        <v>503</v>
      </c>
      <c r="E100" s="798"/>
      <c r="F100" s="668"/>
      <c r="H100" s="143" t="s">
        <v>497</v>
      </c>
      <c r="I100" s="193" t="s">
        <v>503</v>
      </c>
      <c r="J100" s="193" t="s">
        <v>503</v>
      </c>
      <c r="K100" s="248">
        <v>0.05</v>
      </c>
      <c r="L100" s="246">
        <v>0.05</v>
      </c>
      <c r="AD100" s="143" t="s">
        <v>497</v>
      </c>
      <c r="AE100" s="183">
        <v>1</v>
      </c>
      <c r="AF100" s="183">
        <v>1</v>
      </c>
      <c r="AG100" s="183">
        <f>1-K100*E100</f>
        <v>1</v>
      </c>
      <c r="AH100" s="184">
        <f>1-L100*F100</f>
        <v>1</v>
      </c>
    </row>
    <row r="101" spans="2:34" ht="12.75">
      <c r="B101" s="154" t="s">
        <v>647</v>
      </c>
      <c r="C101" s="186" t="s">
        <v>503</v>
      </c>
      <c r="D101" s="186" t="s">
        <v>503</v>
      </c>
      <c r="E101" s="241" t="s">
        <v>503</v>
      </c>
      <c r="F101" s="242" t="s">
        <v>503</v>
      </c>
      <c r="H101" s="154" t="s">
        <v>647</v>
      </c>
      <c r="I101" s="186" t="s">
        <v>503</v>
      </c>
      <c r="J101" s="186" t="s">
        <v>503</v>
      </c>
      <c r="K101" s="241" t="s">
        <v>503</v>
      </c>
      <c r="L101" s="242" t="s">
        <v>503</v>
      </c>
      <c r="AD101" s="154" t="s">
        <v>647</v>
      </c>
      <c r="AE101" s="185">
        <v>1</v>
      </c>
      <c r="AF101" s="185">
        <v>1</v>
      </c>
      <c r="AG101" s="186" t="s">
        <v>503</v>
      </c>
      <c r="AH101" s="187" t="s">
        <v>503</v>
      </c>
    </row>
    <row r="102" spans="2:34" ht="12.75">
      <c r="B102" s="154" t="s">
        <v>499</v>
      </c>
      <c r="C102" s="186" t="s">
        <v>503</v>
      </c>
      <c r="D102" s="186" t="s">
        <v>503</v>
      </c>
      <c r="E102" s="241" t="s">
        <v>503</v>
      </c>
      <c r="F102" s="242" t="s">
        <v>503</v>
      </c>
      <c r="H102" s="154" t="s">
        <v>499</v>
      </c>
      <c r="I102" s="186" t="s">
        <v>503</v>
      </c>
      <c r="J102" s="186" t="s">
        <v>503</v>
      </c>
      <c r="K102" s="241" t="s">
        <v>503</v>
      </c>
      <c r="L102" s="242" t="s">
        <v>503</v>
      </c>
      <c r="AD102" s="154" t="s">
        <v>499</v>
      </c>
      <c r="AE102" s="185">
        <v>1</v>
      </c>
      <c r="AF102" s="185">
        <v>1</v>
      </c>
      <c r="AG102" s="186" t="s">
        <v>503</v>
      </c>
      <c r="AH102" s="187" t="s">
        <v>503</v>
      </c>
    </row>
    <row r="103" spans="2:34" ht="12.75">
      <c r="B103" s="154" t="s">
        <v>648</v>
      </c>
      <c r="C103" s="186" t="s">
        <v>503</v>
      </c>
      <c r="D103" s="186" t="s">
        <v>503</v>
      </c>
      <c r="E103" s="241" t="s">
        <v>503</v>
      </c>
      <c r="F103" s="242" t="s">
        <v>503</v>
      </c>
      <c r="H103" s="154" t="s">
        <v>648</v>
      </c>
      <c r="I103" s="186" t="s">
        <v>503</v>
      </c>
      <c r="J103" s="186" t="s">
        <v>503</v>
      </c>
      <c r="K103" s="241" t="s">
        <v>503</v>
      </c>
      <c r="L103" s="242" t="s">
        <v>503</v>
      </c>
      <c r="AD103" s="154" t="s">
        <v>648</v>
      </c>
      <c r="AE103" s="185">
        <v>1</v>
      </c>
      <c r="AF103" s="185">
        <v>1</v>
      </c>
      <c r="AG103" s="186" t="s">
        <v>503</v>
      </c>
      <c r="AH103" s="187" t="s">
        <v>503</v>
      </c>
    </row>
    <row r="104" spans="2:34" ht="12.75">
      <c r="B104" s="154" t="s">
        <v>501</v>
      </c>
      <c r="C104" s="186" t="s">
        <v>503</v>
      </c>
      <c r="D104" s="186" t="s">
        <v>503</v>
      </c>
      <c r="E104" s="798"/>
      <c r="F104" s="668"/>
      <c r="H104" s="154" t="s">
        <v>501</v>
      </c>
      <c r="I104" s="186" t="s">
        <v>503</v>
      </c>
      <c r="J104" s="186" t="s">
        <v>503</v>
      </c>
      <c r="K104" s="248">
        <v>0.05</v>
      </c>
      <c r="L104" s="246">
        <v>0.05</v>
      </c>
      <c r="AD104" s="154" t="s">
        <v>501</v>
      </c>
      <c r="AE104" s="185">
        <v>1</v>
      </c>
      <c r="AF104" s="185">
        <v>1</v>
      </c>
      <c r="AG104" s="185">
        <f>1-K104*E104</f>
        <v>1</v>
      </c>
      <c r="AH104" s="188">
        <f>1-L104*F104</f>
        <v>1</v>
      </c>
    </row>
    <row r="105" spans="2:34" ht="12.75">
      <c r="B105" s="154" t="s">
        <v>502</v>
      </c>
      <c r="C105" s="186" t="s">
        <v>503</v>
      </c>
      <c r="D105" s="186" t="s">
        <v>503</v>
      </c>
      <c r="E105" s="241" t="s">
        <v>503</v>
      </c>
      <c r="F105" s="242" t="s">
        <v>503</v>
      </c>
      <c r="H105" s="154" t="s">
        <v>502</v>
      </c>
      <c r="I105" s="186" t="s">
        <v>503</v>
      </c>
      <c r="J105" s="186" t="s">
        <v>503</v>
      </c>
      <c r="K105" s="241" t="s">
        <v>503</v>
      </c>
      <c r="L105" s="242" t="s">
        <v>503</v>
      </c>
      <c r="AD105" s="154" t="s">
        <v>502</v>
      </c>
      <c r="AE105" s="185">
        <v>1</v>
      </c>
      <c r="AF105" s="185">
        <v>1</v>
      </c>
      <c r="AG105" s="186" t="s">
        <v>503</v>
      </c>
      <c r="AH105" s="187" t="s">
        <v>503</v>
      </c>
    </row>
    <row r="106" spans="2:34" ht="12.75">
      <c r="B106" s="154" t="s">
        <v>649</v>
      </c>
      <c r="C106" s="186" t="s">
        <v>503</v>
      </c>
      <c r="D106" s="186" t="s">
        <v>503</v>
      </c>
      <c r="E106" s="241" t="s">
        <v>503</v>
      </c>
      <c r="F106" s="242" t="s">
        <v>503</v>
      </c>
      <c r="H106" s="154" t="s">
        <v>649</v>
      </c>
      <c r="I106" s="186" t="s">
        <v>503</v>
      </c>
      <c r="J106" s="186" t="s">
        <v>503</v>
      </c>
      <c r="K106" s="241" t="s">
        <v>503</v>
      </c>
      <c r="L106" s="242" t="s">
        <v>503</v>
      </c>
      <c r="AD106" s="154" t="s">
        <v>649</v>
      </c>
      <c r="AE106" s="185">
        <v>1</v>
      </c>
      <c r="AF106" s="185">
        <v>1</v>
      </c>
      <c r="AG106" s="186" t="s">
        <v>503</v>
      </c>
      <c r="AH106" s="187" t="s">
        <v>503</v>
      </c>
    </row>
    <row r="107" spans="2:34" ht="12.75">
      <c r="B107" s="154" t="s">
        <v>70</v>
      </c>
      <c r="C107" s="186" t="s">
        <v>503</v>
      </c>
      <c r="D107" s="186" t="s">
        <v>503</v>
      </c>
      <c r="E107" s="241" t="s">
        <v>503</v>
      </c>
      <c r="F107" s="668"/>
      <c r="H107" s="154" t="s">
        <v>70</v>
      </c>
      <c r="I107" s="186" t="s">
        <v>503</v>
      </c>
      <c r="J107" s="186" t="s">
        <v>503</v>
      </c>
      <c r="K107" s="241" t="s">
        <v>503</v>
      </c>
      <c r="L107" s="246">
        <v>0.05</v>
      </c>
      <c r="AD107" s="154" t="s">
        <v>70</v>
      </c>
      <c r="AE107" s="185">
        <v>1</v>
      </c>
      <c r="AF107" s="185">
        <v>1</v>
      </c>
      <c r="AG107" s="186" t="s">
        <v>503</v>
      </c>
      <c r="AH107" s="188">
        <f>1-L107*F107</f>
        <v>1</v>
      </c>
    </row>
    <row r="108" spans="2:34" ht="13.5" thickBot="1">
      <c r="B108" s="144" t="s">
        <v>505</v>
      </c>
      <c r="C108" s="190" t="s">
        <v>503</v>
      </c>
      <c r="D108" s="190" t="s">
        <v>503</v>
      </c>
      <c r="E108" s="243" t="s">
        <v>503</v>
      </c>
      <c r="F108" s="244" t="s">
        <v>503</v>
      </c>
      <c r="H108" s="144" t="s">
        <v>505</v>
      </c>
      <c r="I108" s="190" t="s">
        <v>503</v>
      </c>
      <c r="J108" s="190" t="s">
        <v>503</v>
      </c>
      <c r="K108" s="243" t="s">
        <v>503</v>
      </c>
      <c r="L108" s="244" t="s">
        <v>503</v>
      </c>
      <c r="AD108" s="144" t="s">
        <v>505</v>
      </c>
      <c r="AE108" s="189">
        <v>1</v>
      </c>
      <c r="AF108" s="189">
        <v>1</v>
      </c>
      <c r="AG108" s="190" t="s">
        <v>503</v>
      </c>
      <c r="AH108" s="191" t="s">
        <v>503</v>
      </c>
    </row>
    <row r="109" spans="8:35" ht="12.75">
      <c r="H109" s="140" t="s">
        <v>555</v>
      </c>
      <c r="AD109" s="222" t="s">
        <v>671</v>
      </c>
      <c r="AI109" s="321">
        <f>1-AVERAGE(AG100:AH108)</f>
        <v>0</v>
      </c>
    </row>
    <row r="111" s="182" customFormat="1" ht="12.75">
      <c r="A111" s="181" t="s">
        <v>556</v>
      </c>
    </row>
    <row r="112" ht="13.5" thickBot="1"/>
    <row r="113" spans="2:34" ht="12.75">
      <c r="B113" s="1004" t="s">
        <v>920</v>
      </c>
      <c r="C113" s="1005"/>
      <c r="D113" s="1005"/>
      <c r="E113" s="1005"/>
      <c r="F113" s="1006"/>
      <c r="H113" s="1004" t="s">
        <v>550</v>
      </c>
      <c r="I113" s="1005"/>
      <c r="J113" s="1005"/>
      <c r="K113" s="1005"/>
      <c r="L113" s="1006"/>
      <c r="AD113" s="1011" t="s">
        <v>551</v>
      </c>
      <c r="AE113" s="1012"/>
      <c r="AF113" s="1012"/>
      <c r="AG113" s="1012"/>
      <c r="AH113" s="1013"/>
    </row>
    <row r="114" spans="2:34" ht="39" thickBot="1">
      <c r="B114" s="160" t="s">
        <v>246</v>
      </c>
      <c r="C114" s="161" t="s">
        <v>247</v>
      </c>
      <c r="D114" s="161" t="s">
        <v>683</v>
      </c>
      <c r="E114" s="161" t="s">
        <v>624</v>
      </c>
      <c r="F114" s="162" t="s">
        <v>625</v>
      </c>
      <c r="H114" s="160" t="s">
        <v>246</v>
      </c>
      <c r="I114" s="161" t="s">
        <v>247</v>
      </c>
      <c r="J114" s="161" t="s">
        <v>683</v>
      </c>
      <c r="K114" s="161" t="s">
        <v>624</v>
      </c>
      <c r="L114" s="162" t="s">
        <v>625</v>
      </c>
      <c r="AD114" s="149" t="s">
        <v>246</v>
      </c>
      <c r="AE114" s="150" t="s">
        <v>247</v>
      </c>
      <c r="AF114" s="150" t="s">
        <v>492</v>
      </c>
      <c r="AG114" s="150" t="s">
        <v>493</v>
      </c>
      <c r="AH114" s="151" t="s">
        <v>494</v>
      </c>
    </row>
    <row r="115" spans="2:34" ht="12.75">
      <c r="B115" s="143" t="s">
        <v>497</v>
      </c>
      <c r="C115" s="798"/>
      <c r="D115" s="798"/>
      <c r="E115" s="798"/>
      <c r="F115" s="668"/>
      <c r="H115" s="143" t="s">
        <v>497</v>
      </c>
      <c r="I115" s="247">
        <v>0.02</v>
      </c>
      <c r="J115" s="247">
        <v>0.02</v>
      </c>
      <c r="K115" s="248">
        <v>0.02</v>
      </c>
      <c r="L115" s="246">
        <v>0.02</v>
      </c>
      <c r="AD115" s="143" t="s">
        <v>497</v>
      </c>
      <c r="AE115" s="183">
        <f>1-I115*C115</f>
        <v>1</v>
      </c>
      <c r="AF115" s="183">
        <f>1-J115*D115</f>
        <v>1</v>
      </c>
      <c r="AG115" s="183">
        <f>1-K115*E115</f>
        <v>1</v>
      </c>
      <c r="AH115" s="184">
        <f>1-L115*F115</f>
        <v>1</v>
      </c>
    </row>
    <row r="116" spans="2:34" ht="12.75">
      <c r="B116" s="154" t="s">
        <v>647</v>
      </c>
      <c r="C116" s="798"/>
      <c r="D116" s="798"/>
      <c r="E116" s="241" t="s">
        <v>503</v>
      </c>
      <c r="F116" s="242" t="s">
        <v>503</v>
      </c>
      <c r="H116" s="154" t="s">
        <v>647</v>
      </c>
      <c r="I116" s="247">
        <v>0.02</v>
      </c>
      <c r="J116" s="247">
        <v>0.02</v>
      </c>
      <c r="K116" s="241" t="s">
        <v>503</v>
      </c>
      <c r="L116" s="242" t="s">
        <v>503</v>
      </c>
      <c r="AD116" s="154" t="s">
        <v>647</v>
      </c>
      <c r="AE116" s="185">
        <f aca="true" t="shared" si="3" ref="AE116:AF123">1-I116*C116</f>
        <v>1</v>
      </c>
      <c r="AF116" s="185">
        <f t="shared" si="3"/>
        <v>1</v>
      </c>
      <c r="AG116" s="186" t="s">
        <v>503</v>
      </c>
      <c r="AH116" s="187" t="s">
        <v>503</v>
      </c>
    </row>
    <row r="117" spans="2:34" ht="12.75">
      <c r="B117" s="154" t="s">
        <v>499</v>
      </c>
      <c r="C117" s="798"/>
      <c r="D117" s="798"/>
      <c r="E117" s="241" t="s">
        <v>503</v>
      </c>
      <c r="F117" s="242" t="s">
        <v>503</v>
      </c>
      <c r="H117" s="154" t="s">
        <v>499</v>
      </c>
      <c r="I117" s="247">
        <v>0.02</v>
      </c>
      <c r="J117" s="247">
        <v>0.02</v>
      </c>
      <c r="K117" s="241" t="s">
        <v>503</v>
      </c>
      <c r="L117" s="242" t="s">
        <v>503</v>
      </c>
      <c r="AD117" s="154" t="s">
        <v>499</v>
      </c>
      <c r="AE117" s="185">
        <f t="shared" si="3"/>
        <v>1</v>
      </c>
      <c r="AF117" s="185">
        <f t="shared" si="3"/>
        <v>1</v>
      </c>
      <c r="AG117" s="186" t="s">
        <v>503</v>
      </c>
      <c r="AH117" s="187" t="s">
        <v>503</v>
      </c>
    </row>
    <row r="118" spans="2:34" ht="12.75">
      <c r="B118" s="154" t="s">
        <v>648</v>
      </c>
      <c r="C118" s="798"/>
      <c r="D118" s="798"/>
      <c r="E118" s="241" t="s">
        <v>503</v>
      </c>
      <c r="F118" s="242" t="s">
        <v>503</v>
      </c>
      <c r="H118" s="154" t="s">
        <v>648</v>
      </c>
      <c r="I118" s="247">
        <v>0.02</v>
      </c>
      <c r="J118" s="247">
        <v>0.02</v>
      </c>
      <c r="K118" s="241" t="s">
        <v>503</v>
      </c>
      <c r="L118" s="242" t="s">
        <v>503</v>
      </c>
      <c r="AD118" s="154" t="s">
        <v>648</v>
      </c>
      <c r="AE118" s="185">
        <f t="shared" si="3"/>
        <v>1</v>
      </c>
      <c r="AF118" s="185">
        <f t="shared" si="3"/>
        <v>1</v>
      </c>
      <c r="AG118" s="186" t="s">
        <v>503</v>
      </c>
      <c r="AH118" s="187" t="s">
        <v>503</v>
      </c>
    </row>
    <row r="119" spans="2:34" ht="12.75">
      <c r="B119" s="154" t="s">
        <v>501</v>
      </c>
      <c r="C119" s="798"/>
      <c r="D119" s="798"/>
      <c r="E119" s="798"/>
      <c r="F119" s="668"/>
      <c r="H119" s="154" t="s">
        <v>501</v>
      </c>
      <c r="I119" s="247">
        <v>0.02</v>
      </c>
      <c r="J119" s="247">
        <v>0.02</v>
      </c>
      <c r="K119" s="248">
        <v>0.02</v>
      </c>
      <c r="L119" s="246">
        <v>0.02</v>
      </c>
      <c r="AD119" s="154" t="s">
        <v>501</v>
      </c>
      <c r="AE119" s="185">
        <f t="shared" si="3"/>
        <v>1</v>
      </c>
      <c r="AF119" s="185">
        <f t="shared" si="3"/>
        <v>1</v>
      </c>
      <c r="AG119" s="185">
        <f>1-K119*E119</f>
        <v>1</v>
      </c>
      <c r="AH119" s="188">
        <f>1-L119*F119</f>
        <v>1</v>
      </c>
    </row>
    <row r="120" spans="2:34" ht="12.75">
      <c r="B120" s="154" t="s">
        <v>502</v>
      </c>
      <c r="C120" s="798"/>
      <c r="D120" s="798"/>
      <c r="E120" s="241" t="s">
        <v>503</v>
      </c>
      <c r="F120" s="242" t="s">
        <v>503</v>
      </c>
      <c r="H120" s="154" t="s">
        <v>502</v>
      </c>
      <c r="I120" s="247">
        <v>0.02</v>
      </c>
      <c r="J120" s="247">
        <v>0.02</v>
      </c>
      <c r="K120" s="241" t="s">
        <v>503</v>
      </c>
      <c r="L120" s="242" t="s">
        <v>503</v>
      </c>
      <c r="AD120" s="154" t="s">
        <v>502</v>
      </c>
      <c r="AE120" s="185">
        <f t="shared" si="3"/>
        <v>1</v>
      </c>
      <c r="AF120" s="185">
        <f t="shared" si="3"/>
        <v>1</v>
      </c>
      <c r="AG120" s="186" t="s">
        <v>503</v>
      </c>
      <c r="AH120" s="187" t="s">
        <v>503</v>
      </c>
    </row>
    <row r="121" spans="2:34" ht="12.75">
      <c r="B121" s="154" t="s">
        <v>649</v>
      </c>
      <c r="C121" s="798"/>
      <c r="D121" s="798"/>
      <c r="E121" s="241" t="s">
        <v>503</v>
      </c>
      <c r="F121" s="242" t="s">
        <v>503</v>
      </c>
      <c r="H121" s="154" t="s">
        <v>649</v>
      </c>
      <c r="I121" s="247">
        <v>0.02</v>
      </c>
      <c r="J121" s="247">
        <v>0.02</v>
      </c>
      <c r="K121" s="241" t="s">
        <v>503</v>
      </c>
      <c r="L121" s="242" t="s">
        <v>503</v>
      </c>
      <c r="AD121" s="154" t="s">
        <v>649</v>
      </c>
      <c r="AE121" s="185">
        <f t="shared" si="3"/>
        <v>1</v>
      </c>
      <c r="AF121" s="185">
        <f t="shared" si="3"/>
        <v>1</v>
      </c>
      <c r="AG121" s="186" t="s">
        <v>503</v>
      </c>
      <c r="AH121" s="187" t="s">
        <v>503</v>
      </c>
    </row>
    <row r="122" spans="2:34" ht="12.75">
      <c r="B122" s="154" t="s">
        <v>70</v>
      </c>
      <c r="C122" s="798"/>
      <c r="D122" s="798"/>
      <c r="E122" s="241" t="s">
        <v>503</v>
      </c>
      <c r="F122" s="668"/>
      <c r="H122" s="154" t="s">
        <v>70</v>
      </c>
      <c r="I122" s="247">
        <v>0.02</v>
      </c>
      <c r="J122" s="247">
        <v>0.02</v>
      </c>
      <c r="K122" s="241" t="s">
        <v>503</v>
      </c>
      <c r="L122" s="246">
        <v>0.02</v>
      </c>
      <c r="AD122" s="154" t="s">
        <v>70</v>
      </c>
      <c r="AE122" s="185">
        <f t="shared" si="3"/>
        <v>1</v>
      </c>
      <c r="AF122" s="185">
        <f t="shared" si="3"/>
        <v>1</v>
      </c>
      <c r="AG122" s="186" t="s">
        <v>503</v>
      </c>
      <c r="AH122" s="188">
        <f>1-L122*F122</f>
        <v>1</v>
      </c>
    </row>
    <row r="123" spans="2:34" ht="13.5" thickBot="1">
      <c r="B123" s="144" t="s">
        <v>505</v>
      </c>
      <c r="C123" s="799"/>
      <c r="D123" s="799"/>
      <c r="E123" s="243" t="s">
        <v>503</v>
      </c>
      <c r="F123" s="244" t="s">
        <v>503</v>
      </c>
      <c r="H123" s="144" t="s">
        <v>505</v>
      </c>
      <c r="I123" s="249">
        <v>0.02</v>
      </c>
      <c r="J123" s="249">
        <v>0.02</v>
      </c>
      <c r="K123" s="243" t="s">
        <v>503</v>
      </c>
      <c r="L123" s="244" t="s">
        <v>503</v>
      </c>
      <c r="AD123" s="144" t="s">
        <v>505</v>
      </c>
      <c r="AE123" s="189">
        <f t="shared" si="3"/>
        <v>1</v>
      </c>
      <c r="AF123" s="189">
        <f t="shared" si="3"/>
        <v>1</v>
      </c>
      <c r="AG123" s="190" t="s">
        <v>503</v>
      </c>
      <c r="AH123" s="191" t="s">
        <v>503</v>
      </c>
    </row>
    <row r="124" spans="30:35" ht="12.75">
      <c r="AD124" s="222" t="s">
        <v>671</v>
      </c>
      <c r="AI124" s="321">
        <f>1-AVERAGE(AG115:AH123)</f>
        <v>0</v>
      </c>
    </row>
    <row r="126" ht="13.5" thickBot="1"/>
    <row r="127" spans="30:34" ht="12.75">
      <c r="AD127" s="1064" t="s">
        <v>557</v>
      </c>
      <c r="AE127" s="1065"/>
      <c r="AF127" s="1065"/>
      <c r="AG127" s="1065"/>
      <c r="AH127" s="1066"/>
    </row>
    <row r="128" spans="30:34" ht="26.25" thickBot="1">
      <c r="AD128" s="149" t="s">
        <v>246</v>
      </c>
      <c r="AE128" s="150" t="s">
        <v>247</v>
      </c>
      <c r="AF128" s="150" t="s">
        <v>492</v>
      </c>
      <c r="AG128" s="150" t="s">
        <v>493</v>
      </c>
      <c r="AH128" s="151" t="s">
        <v>494</v>
      </c>
    </row>
    <row r="129" spans="30:34" ht="12.75">
      <c r="AD129" s="143" t="s">
        <v>497</v>
      </c>
      <c r="AE129" s="193">
        <f>(1-AE55*AE70*AE85*AE100*AE115)</f>
        <v>0</v>
      </c>
      <c r="AF129" s="193">
        <f>(1-AF55*AF70*AF85*AF100*AF115)</f>
        <v>0</v>
      </c>
      <c r="AG129" s="183">
        <f>(1-AG55*AG70*AG85*AG100*AG115)</f>
        <v>0</v>
      </c>
      <c r="AH129" s="184">
        <f>(1-AH55*AH70*AH85*AH100*AH115)</f>
        <v>0</v>
      </c>
    </row>
    <row r="130" spans="30:34" ht="12.75">
      <c r="AD130" s="154" t="s">
        <v>647</v>
      </c>
      <c r="AE130" s="186">
        <f aca="true" t="shared" si="4" ref="AE130:AF137">(1-AE56*AE71*AE86*AE101*AE116)</f>
        <v>0</v>
      </c>
      <c r="AF130" s="186">
        <f t="shared" si="4"/>
        <v>0</v>
      </c>
      <c r="AG130" s="186" t="s">
        <v>503</v>
      </c>
      <c r="AH130" s="187" t="s">
        <v>503</v>
      </c>
    </row>
    <row r="131" spans="30:34" ht="12.75">
      <c r="AD131" s="154" t="s">
        <v>499</v>
      </c>
      <c r="AE131" s="186">
        <f t="shared" si="4"/>
        <v>0</v>
      </c>
      <c r="AF131" s="186">
        <f t="shared" si="4"/>
        <v>0</v>
      </c>
      <c r="AG131" s="186" t="s">
        <v>503</v>
      </c>
      <c r="AH131" s="187" t="s">
        <v>503</v>
      </c>
    </row>
    <row r="132" spans="30:34" ht="12.75">
      <c r="AD132" s="154" t="s">
        <v>648</v>
      </c>
      <c r="AE132" s="186">
        <f t="shared" si="4"/>
        <v>0</v>
      </c>
      <c r="AF132" s="186">
        <f t="shared" si="4"/>
        <v>0</v>
      </c>
      <c r="AG132" s="186" t="s">
        <v>503</v>
      </c>
      <c r="AH132" s="187" t="s">
        <v>503</v>
      </c>
    </row>
    <row r="133" spans="30:34" ht="12.75">
      <c r="AD133" s="154" t="s">
        <v>501</v>
      </c>
      <c r="AE133" s="186">
        <f t="shared" si="4"/>
        <v>0</v>
      </c>
      <c r="AF133" s="186">
        <f t="shared" si="4"/>
        <v>0</v>
      </c>
      <c r="AG133" s="185">
        <f>(1-AG59*AG74*AG89*AG104*AG119)</f>
        <v>0</v>
      </c>
      <c r="AH133" s="188">
        <f>(1-AH59*AH74*AH89*AH104*AH119)</f>
        <v>0</v>
      </c>
    </row>
    <row r="134" spans="30:34" ht="12.75">
      <c r="AD134" s="154" t="s">
        <v>502</v>
      </c>
      <c r="AE134" s="186">
        <f t="shared" si="4"/>
        <v>0</v>
      </c>
      <c r="AF134" s="186">
        <f t="shared" si="4"/>
        <v>0</v>
      </c>
      <c r="AG134" s="186" t="s">
        <v>503</v>
      </c>
      <c r="AH134" s="187" t="s">
        <v>503</v>
      </c>
    </row>
    <row r="135" spans="30:34" ht="12.75">
      <c r="AD135" s="154" t="s">
        <v>649</v>
      </c>
      <c r="AE135" s="186">
        <f t="shared" si="4"/>
        <v>0</v>
      </c>
      <c r="AF135" s="186">
        <f t="shared" si="4"/>
        <v>0</v>
      </c>
      <c r="AG135" s="186" t="s">
        <v>503</v>
      </c>
      <c r="AH135" s="187" t="s">
        <v>503</v>
      </c>
    </row>
    <row r="136" spans="30:34" ht="12.75">
      <c r="AD136" s="154" t="s">
        <v>70</v>
      </c>
      <c r="AE136" s="186">
        <f t="shared" si="4"/>
        <v>0</v>
      </c>
      <c r="AF136" s="186">
        <f t="shared" si="4"/>
        <v>0</v>
      </c>
      <c r="AG136" s="186" t="s">
        <v>503</v>
      </c>
      <c r="AH136" s="188">
        <f>(1-AH62*AH77*AH92*AH107*AH122)</f>
        <v>0</v>
      </c>
    </row>
    <row r="137" spans="30:34" ht="13.5" thickBot="1">
      <c r="AD137" s="144" t="s">
        <v>505</v>
      </c>
      <c r="AE137" s="190">
        <f t="shared" si="4"/>
        <v>0</v>
      </c>
      <c r="AF137" s="190">
        <f t="shared" si="4"/>
        <v>0</v>
      </c>
      <c r="AG137" s="190" t="s">
        <v>503</v>
      </c>
      <c r="AH137" s="191" t="s">
        <v>503</v>
      </c>
    </row>
  </sheetData>
  <sheetProtection/>
  <mergeCells count="30">
    <mergeCell ref="B53:F53"/>
    <mergeCell ref="H53:L53"/>
    <mergeCell ref="AD53:AH53"/>
    <mergeCell ref="B27:F27"/>
    <mergeCell ref="H27:L27"/>
    <mergeCell ref="B68:F68"/>
    <mergeCell ref="H68:L68"/>
    <mergeCell ref="AD68:AH68"/>
    <mergeCell ref="AD127:AH127"/>
    <mergeCell ref="B98:F98"/>
    <mergeCell ref="H98:L98"/>
    <mergeCell ref="AD98:AH98"/>
    <mergeCell ref="B113:F113"/>
    <mergeCell ref="B83:F83"/>
    <mergeCell ref="H83:L83"/>
    <mergeCell ref="AD83:AH83"/>
    <mergeCell ref="H113:L113"/>
    <mergeCell ref="AD113:AH113"/>
    <mergeCell ref="K20:M20"/>
    <mergeCell ref="K21:M21"/>
    <mergeCell ref="K22:M22"/>
    <mergeCell ref="K23:M23"/>
    <mergeCell ref="B39:F39"/>
    <mergeCell ref="AD27:AH27"/>
    <mergeCell ref="BM27:BQ27"/>
    <mergeCell ref="BS27:BW27"/>
    <mergeCell ref="AO27:AS27"/>
    <mergeCell ref="AU27:AY27"/>
    <mergeCell ref="BA27:BE27"/>
    <mergeCell ref="BG27:BK27"/>
  </mergeCells>
  <conditionalFormatting sqref="AE129:AH137 AE115:AH123 AE100:AH108 AE85:AH93 AE70:AH78 AE55:AH63 B41:E41 AD29:AG29 L120:L121 I115:J123 K115:L118 K34:K36 L34:L35 I100:J108 F75:F76 L60:L61 K75:K77 E108:F108 E123:F123 K93:L93 K100:L103 C55:D64 E90:E92 I29:L32 I34:J35 C37:F38 E34:E36 F34:F35 C29:F32 C34:D35 E55:F58 E63:F64 E60:E62 F60:F61 C70:D78 E70:F73 E78:F78 E75:E77 I64:L64 I55:J63 K55:L58 K63:L63 K60:K62 L75:L76 I70:J78 K70:L73 K78:L78 K90:K92 L90:L91 I85:J93 K85:L88 F90:F91 C85:D93 E85:F88 E93:F93 C100:D108 E105:E107 F105:F106 E100:F103 K108:L108 K105:K107 L105:L106 E120:E122 F120:F121 C115:D123 E115:F118 K123:L123 K120:K122 J37:L48 I37:I38 I40:I48 AO29:AR29 AY34:AY35 AV29:AW37 AX29:AY32 AX37:AY37 AX34:AX36 BD34:BD36 BE34:BE35 BB29:BC37 BD29:BE32 BD37:BE37 BJ37:BK37 BJ34:BJ36 BK34:BK35 BH29:BI37 BJ29:BK32 BN29:BO37 BP29:BQ32 BP37:BQ37 BP34:BP36 BQ34:BQ35 BW34:BW35 BT29:BU37 BV29:BW32 BV37:BW37 BV34:BV36">
    <cfRule type="expression" priority="1" dxfId="43" stopIfTrue="1">
      <formula>#REF!=0</formula>
    </cfRule>
    <cfRule type="expression" priority="2" dxfId="44" stopIfTrue="1">
      <formula>#REF!&lt;&gt;0</formula>
    </cfRule>
  </conditionalFormatting>
  <conditionalFormatting sqref="L36 L122 I36:J36 F36 C36:D36 F62 F77 L62 L77 L92 F92 F107 L107 F122 AY36 BE36 BK36 BQ36 BW36">
    <cfRule type="expression" priority="7" dxfId="43" stopIfTrue="1">
      <formula>#REF!=0</formula>
    </cfRule>
    <cfRule type="expression" priority="8" dxfId="44" stopIfTrue="1">
      <formula>#REF!&lt;&gt;0</formula>
    </cfRule>
  </conditionalFormatting>
  <conditionalFormatting sqref="E119:F119 I33:L33 K119:L119 C33:F33 E59:F59 E74:F74 K59:L59 K74:L74 K89:L89 E89:F89 E104:F104 K104:L104 AX33:AY33 BD33:BE33 BJ33:BK33 BP33:BQ33 BV33:BW33">
    <cfRule type="expression" priority="5" dxfId="43" stopIfTrue="1">
      <formula>#REF!=0</formula>
    </cfRule>
    <cfRule type="expression" priority="6" dxfId="44" stopIfTrue="1">
      <formula>#REF!&lt;&gt;0</formula>
    </cfRule>
  </conditionalFormatting>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5">
    <tabColor indexed="42"/>
  </sheetPr>
  <dimension ref="B12:P340"/>
  <sheetViews>
    <sheetView zoomScalePageLayoutView="0" workbookViewId="0" topLeftCell="A249">
      <selection activeCell="M263" sqref="M263"/>
    </sheetView>
  </sheetViews>
  <sheetFormatPr defaultColWidth="9.140625" defaultRowHeight="15"/>
  <cols>
    <col min="1" max="1" width="9.140625" style="3" customWidth="1"/>
    <col min="2" max="2" width="30.421875" style="3" customWidth="1"/>
    <col min="3" max="3" width="11.00390625" style="3" bestFit="1" customWidth="1"/>
    <col min="4" max="4" width="8.28125" style="3" bestFit="1" customWidth="1"/>
    <col min="5" max="5" width="6.140625" style="3" bestFit="1" customWidth="1"/>
    <col min="6" max="6" width="4.421875" style="3" bestFit="1" customWidth="1"/>
    <col min="7" max="7" width="7.140625" style="3" bestFit="1" customWidth="1"/>
    <col min="8" max="8" width="7.8515625" style="3" bestFit="1" customWidth="1"/>
    <col min="9" max="9" width="9.140625" style="3" customWidth="1"/>
    <col min="10" max="10" width="27.00390625" style="3" customWidth="1"/>
    <col min="11" max="11" width="20.00390625" style="3" customWidth="1"/>
    <col min="12" max="12" width="11.57421875" style="3" customWidth="1"/>
    <col min="13" max="13" width="11.140625" style="3" customWidth="1"/>
    <col min="14" max="14" width="14.421875" style="3" customWidth="1"/>
    <col min="15" max="15" width="12.00390625" style="3" customWidth="1"/>
    <col min="16" max="16384" width="9.140625" style="3" customWidth="1"/>
  </cols>
  <sheetData>
    <row r="1" ht="11.25"/>
    <row r="2" ht="11.25"/>
    <row r="3" ht="11.25"/>
    <row r="4" ht="11.25"/>
    <row r="5" ht="11.25"/>
    <row r="6" ht="15" customHeight="1"/>
    <row r="7" ht="15" customHeight="1"/>
    <row r="8" ht="15" customHeight="1"/>
    <row r="9" ht="15" customHeight="1"/>
    <row r="10" ht="15" customHeight="1"/>
    <row r="11" ht="15" customHeight="1"/>
    <row r="12" spans="2:8" ht="15" customHeight="1">
      <c r="B12" s="4" t="s">
        <v>782</v>
      </c>
      <c r="C12" s="4"/>
      <c r="D12" s="4"/>
      <c r="E12" s="4"/>
      <c r="F12" s="4"/>
      <c r="G12" s="4"/>
      <c r="H12" s="4"/>
    </row>
    <row r="13" ht="12" thickBot="1"/>
    <row r="14" spans="2:15" ht="15" customHeight="1">
      <c r="B14" s="1073" t="s">
        <v>61</v>
      </c>
      <c r="C14" s="1074"/>
      <c r="D14" s="1074"/>
      <c r="E14" s="1074"/>
      <c r="F14" s="1074"/>
      <c r="G14" s="1074"/>
      <c r="H14" s="1075"/>
      <c r="K14" s="1079" t="s">
        <v>483</v>
      </c>
      <c r="L14" s="1080"/>
      <c r="N14" s="1073" t="s">
        <v>912</v>
      </c>
      <c r="O14" s="1075"/>
    </row>
    <row r="15" spans="2:15" ht="11.25">
      <c r="B15" s="6" t="s">
        <v>17</v>
      </c>
      <c r="C15" s="7" t="s">
        <v>50</v>
      </c>
      <c r="D15" s="7" t="s">
        <v>57</v>
      </c>
      <c r="E15" s="7" t="s">
        <v>52</v>
      </c>
      <c r="F15" s="7" t="s">
        <v>18</v>
      </c>
      <c r="G15" s="7" t="s">
        <v>67</v>
      </c>
      <c r="H15" s="8" t="s">
        <v>49</v>
      </c>
      <c r="K15" s="1" t="s">
        <v>60</v>
      </c>
      <c r="L15" s="2" t="s">
        <v>221</v>
      </c>
      <c r="N15" s="6"/>
      <c r="O15" s="8"/>
    </row>
    <row r="16" spans="2:15" ht="11.25">
      <c r="B16" s="9"/>
      <c r="C16" s="10"/>
      <c r="D16" s="10" t="s">
        <v>58</v>
      </c>
      <c r="E16" s="10" t="s">
        <v>54</v>
      </c>
      <c r="F16" s="11" t="s">
        <v>71</v>
      </c>
      <c r="G16" s="11" t="s">
        <v>51</v>
      </c>
      <c r="H16" s="12" t="s">
        <v>71</v>
      </c>
      <c r="K16" s="48" t="s">
        <v>61</v>
      </c>
      <c r="L16" s="49">
        <v>10150</v>
      </c>
      <c r="N16" s="6" t="s">
        <v>17</v>
      </c>
      <c r="O16" s="8" t="s">
        <v>570</v>
      </c>
    </row>
    <row r="17" spans="2:15" ht="11.25">
      <c r="B17" s="13" t="s">
        <v>55</v>
      </c>
      <c r="C17" s="14">
        <v>0</v>
      </c>
      <c r="D17" s="14">
        <v>0</v>
      </c>
      <c r="E17" s="14">
        <v>0</v>
      </c>
      <c r="F17" s="14">
        <v>0</v>
      </c>
      <c r="G17" s="14">
        <v>0</v>
      </c>
      <c r="H17" s="15">
        <v>0</v>
      </c>
      <c r="K17" s="48" t="s">
        <v>74</v>
      </c>
      <c r="L17" s="49">
        <v>8810</v>
      </c>
      <c r="N17" s="13" t="s">
        <v>55</v>
      </c>
      <c r="O17" s="15">
        <v>0</v>
      </c>
    </row>
    <row r="18" spans="2:15" ht="11.25">
      <c r="B18" s="16" t="s">
        <v>19</v>
      </c>
      <c r="C18" s="17">
        <v>2270003010</v>
      </c>
      <c r="D18" s="18">
        <v>384</v>
      </c>
      <c r="E18" s="18">
        <v>50.71385532137202</v>
      </c>
      <c r="F18" s="19">
        <v>0.21</v>
      </c>
      <c r="G18" s="20">
        <v>693.6755966051762</v>
      </c>
      <c r="H18" s="21">
        <v>61253</v>
      </c>
      <c r="K18" s="48" t="s">
        <v>75</v>
      </c>
      <c r="L18" s="49">
        <v>8810</v>
      </c>
      <c r="N18" s="16" t="s">
        <v>19</v>
      </c>
      <c r="O18" s="295" t="s">
        <v>61</v>
      </c>
    </row>
    <row r="19" spans="2:15" ht="11.25">
      <c r="B19" s="16" t="s">
        <v>20</v>
      </c>
      <c r="C19" s="17">
        <v>2270006015</v>
      </c>
      <c r="D19" s="18">
        <v>815</v>
      </c>
      <c r="E19" s="18">
        <v>82.37033580800076</v>
      </c>
      <c r="F19" s="19">
        <v>0.43</v>
      </c>
      <c r="G19" s="20">
        <v>581.1739864874148</v>
      </c>
      <c r="H19" s="21">
        <v>83917</v>
      </c>
      <c r="K19" s="48" t="s">
        <v>237</v>
      </c>
      <c r="L19" s="49">
        <v>8810</v>
      </c>
      <c r="N19" s="16" t="s">
        <v>20</v>
      </c>
      <c r="O19" s="295" t="str">
        <f>IF(H60&gt;H101,"Gas 2-Stroke","Gas 4-Stroke")</f>
        <v>Gas 4-Stroke</v>
      </c>
    </row>
    <row r="20" spans="2:15" ht="11.25">
      <c r="B20" s="16" t="s">
        <v>21</v>
      </c>
      <c r="C20" s="17">
        <v>2270002033</v>
      </c>
      <c r="D20" s="18">
        <v>466</v>
      </c>
      <c r="E20" s="18">
        <v>185.79587958984933</v>
      </c>
      <c r="F20" s="19">
        <v>0.43</v>
      </c>
      <c r="G20" s="20">
        <v>555.4659486038297</v>
      </c>
      <c r="H20" s="21">
        <v>34914</v>
      </c>
      <c r="K20" s="48" t="s">
        <v>238</v>
      </c>
      <c r="L20" s="49">
        <v>8810</v>
      </c>
      <c r="N20" s="16" t="s">
        <v>21</v>
      </c>
      <c r="O20" s="295" t="s">
        <v>75</v>
      </c>
    </row>
    <row r="21" spans="2:15" ht="11.25">
      <c r="B21" s="16" t="s">
        <v>22</v>
      </c>
      <c r="C21" s="17">
        <v>2270002042</v>
      </c>
      <c r="D21" s="18">
        <v>275</v>
      </c>
      <c r="E21" s="18">
        <v>20.799406950948974</v>
      </c>
      <c r="F21" s="19">
        <v>0.43</v>
      </c>
      <c r="G21" s="20">
        <v>586.2889689713601</v>
      </c>
      <c r="H21" s="21">
        <v>20285</v>
      </c>
      <c r="K21" s="48" t="s">
        <v>70</v>
      </c>
      <c r="L21" s="49">
        <v>54500</v>
      </c>
      <c r="M21" s="3" t="s">
        <v>663</v>
      </c>
      <c r="N21" s="16" t="s">
        <v>22</v>
      </c>
      <c r="O21" s="295" t="s">
        <v>75</v>
      </c>
    </row>
    <row r="22" spans="2:15" ht="11.25">
      <c r="B22" s="16" t="s">
        <v>23</v>
      </c>
      <c r="C22" s="17">
        <v>2270002039</v>
      </c>
      <c r="D22" s="18">
        <v>580</v>
      </c>
      <c r="E22" s="18">
        <v>46.68543396226415</v>
      </c>
      <c r="F22" s="19">
        <v>0.59</v>
      </c>
      <c r="G22" s="20">
        <v>591.6624705945824</v>
      </c>
      <c r="H22" s="21">
        <v>4770</v>
      </c>
      <c r="K22" s="48" t="s">
        <v>69</v>
      </c>
      <c r="L22" s="49">
        <v>5740</v>
      </c>
      <c r="N22" s="16" t="s">
        <v>23</v>
      </c>
      <c r="O22" s="295" t="str">
        <f>IF(H63&gt;H104,"Gas 2-Stroke","Gas 4-Stroke")</f>
        <v>Gas 2-Stroke</v>
      </c>
    </row>
    <row r="23" spans="2:15" ht="11.25">
      <c r="B23" s="16" t="s">
        <v>24</v>
      </c>
      <c r="C23" s="17">
        <v>2270002045</v>
      </c>
      <c r="D23" s="18">
        <v>990</v>
      </c>
      <c r="E23" s="18">
        <v>198.97779393847094</v>
      </c>
      <c r="F23" s="19">
        <v>0.43</v>
      </c>
      <c r="G23" s="20">
        <v>537.6641083096794</v>
      </c>
      <c r="H23" s="21">
        <v>26264</v>
      </c>
      <c r="K23" s="136" t="s">
        <v>83</v>
      </c>
      <c r="L23" s="137">
        <f>L16</f>
        <v>10150</v>
      </c>
      <c r="N23" s="16" t="s">
        <v>24</v>
      </c>
      <c r="O23" s="295" t="s">
        <v>61</v>
      </c>
    </row>
    <row r="24" spans="2:15" ht="12" thickBot="1">
      <c r="B24" s="16" t="s">
        <v>25</v>
      </c>
      <c r="C24" s="17">
        <v>2270002075</v>
      </c>
      <c r="D24" s="18">
        <v>855</v>
      </c>
      <c r="E24" s="18">
        <v>856.7697368421052</v>
      </c>
      <c r="F24" s="19">
        <v>0.59</v>
      </c>
      <c r="G24" s="20">
        <v>534.7205607443332</v>
      </c>
      <c r="H24" s="21">
        <v>2052</v>
      </c>
      <c r="K24" s="46" t="s">
        <v>819</v>
      </c>
      <c r="L24" s="47">
        <f>VLOOKUP(State_Selected,States_Data,4,FALSE)</f>
        <v>623.7751878374099</v>
      </c>
      <c r="M24" s="3" t="s">
        <v>229</v>
      </c>
      <c r="N24" s="16" t="s">
        <v>25</v>
      </c>
      <c r="O24" s="295" t="s">
        <v>61</v>
      </c>
    </row>
    <row r="25" spans="2:15" ht="11.25">
      <c r="B25" s="16" t="s">
        <v>26</v>
      </c>
      <c r="C25" s="17">
        <v>2270002054</v>
      </c>
      <c r="D25" s="18">
        <v>955</v>
      </c>
      <c r="E25" s="18">
        <v>142.73804862764757</v>
      </c>
      <c r="F25" s="19">
        <v>0.43</v>
      </c>
      <c r="G25" s="20">
        <v>565.4217152050203</v>
      </c>
      <c r="H25" s="21">
        <v>7979</v>
      </c>
      <c r="N25" s="16" t="s">
        <v>26</v>
      </c>
      <c r="O25" s="295" t="str">
        <f>IF(H66&gt;H107,"Gas 2-Stroke","Gas 4-Stroke")</f>
        <v>Gas 4-Stroke</v>
      </c>
    </row>
    <row r="26" spans="2:15" ht="11.25">
      <c r="B26" s="16" t="s">
        <v>27</v>
      </c>
      <c r="C26" s="17">
        <v>2270002078</v>
      </c>
      <c r="D26" s="18">
        <v>566</v>
      </c>
      <c r="E26" s="18">
        <v>35.699275949367085</v>
      </c>
      <c r="F26" s="19">
        <v>0.21</v>
      </c>
      <c r="G26" s="20">
        <v>691.0721409041414</v>
      </c>
      <c r="H26" s="21">
        <v>1975</v>
      </c>
      <c r="N26" s="16" t="s">
        <v>27</v>
      </c>
      <c r="O26" s="295" t="s">
        <v>75</v>
      </c>
    </row>
    <row r="27" spans="2:15" ht="12.75">
      <c r="B27" s="16" t="s">
        <v>28</v>
      </c>
      <c r="C27" s="17">
        <v>2270002036</v>
      </c>
      <c r="D27" s="18">
        <v>1092</v>
      </c>
      <c r="E27" s="18">
        <v>178.35910929569292</v>
      </c>
      <c r="F27" s="19">
        <v>0.59</v>
      </c>
      <c r="G27" s="20">
        <v>548.7113976983828</v>
      </c>
      <c r="H27" s="21">
        <v>103435</v>
      </c>
      <c r="K27" s="135" t="s">
        <v>464</v>
      </c>
      <c r="L27" s="135" t="s">
        <v>465</v>
      </c>
      <c r="N27" s="16" t="s">
        <v>28</v>
      </c>
      <c r="O27" s="295" t="s">
        <v>61</v>
      </c>
    </row>
    <row r="28" spans="2:15" ht="15">
      <c r="B28" s="16" t="s">
        <v>29</v>
      </c>
      <c r="C28" s="17">
        <v>2270003020</v>
      </c>
      <c r="D28" s="18">
        <v>1700</v>
      </c>
      <c r="E28" s="18">
        <v>97.17140034167113</v>
      </c>
      <c r="F28" s="19">
        <v>0.59</v>
      </c>
      <c r="G28" s="20">
        <v>581.3053705228679</v>
      </c>
      <c r="H28" s="21">
        <v>39219</v>
      </c>
      <c r="K28" t="s">
        <v>466</v>
      </c>
      <c r="L28"/>
      <c r="N28" s="16" t="s">
        <v>29</v>
      </c>
      <c r="O28" s="295" t="s">
        <v>69</v>
      </c>
    </row>
    <row r="29" spans="2:15" ht="15">
      <c r="B29" s="16" t="s">
        <v>11</v>
      </c>
      <c r="C29" s="17">
        <v>2270006005</v>
      </c>
      <c r="D29" s="18">
        <v>338</v>
      </c>
      <c r="E29" s="18">
        <v>56.94872629304536</v>
      </c>
      <c r="F29" s="19">
        <v>0.43</v>
      </c>
      <c r="G29" s="20">
        <v>581.5463748861464</v>
      </c>
      <c r="H29" s="21">
        <v>445228</v>
      </c>
      <c r="K29" t="s">
        <v>467</v>
      </c>
      <c r="L29" t="s">
        <v>468</v>
      </c>
      <c r="N29" s="16" t="s">
        <v>11</v>
      </c>
      <c r="O29" s="295" t="str">
        <f>IF(H70&gt;H111,"Gas 2-Stroke","Gas 4-Stroke")</f>
        <v>Gas 4-Stroke</v>
      </c>
    </row>
    <row r="30" spans="2:15" ht="15">
      <c r="B30" s="16" t="s">
        <v>12</v>
      </c>
      <c r="C30" s="17">
        <v>2270002048</v>
      </c>
      <c r="D30" s="18">
        <v>962</v>
      </c>
      <c r="E30" s="18">
        <v>207.88202579022777</v>
      </c>
      <c r="F30" s="19">
        <v>0.59</v>
      </c>
      <c r="G30" s="20">
        <v>536.9185353198637</v>
      </c>
      <c r="H30" s="21">
        <v>34199</v>
      </c>
      <c r="K30" t="s">
        <v>469</v>
      </c>
      <c r="L30" t="s">
        <v>470</v>
      </c>
      <c r="N30" s="16" t="s">
        <v>12</v>
      </c>
      <c r="O30" s="295" t="s">
        <v>61</v>
      </c>
    </row>
    <row r="31" spans="2:15" ht="15">
      <c r="B31" s="16" t="s">
        <v>30</v>
      </c>
      <c r="C31" s="17">
        <v>2270002075</v>
      </c>
      <c r="D31" s="18">
        <v>855</v>
      </c>
      <c r="E31" s="18">
        <v>856.7697368421052</v>
      </c>
      <c r="F31" s="19">
        <v>0.59</v>
      </c>
      <c r="G31" s="20">
        <v>534.7205607443332</v>
      </c>
      <c r="H31" s="21">
        <v>2052</v>
      </c>
      <c r="K31" t="s">
        <v>471</v>
      </c>
      <c r="L31" t="s">
        <v>470</v>
      </c>
      <c r="N31" s="16" t="s">
        <v>30</v>
      </c>
      <c r="O31" s="295" t="s">
        <v>61</v>
      </c>
    </row>
    <row r="32" spans="2:15" ht="15">
      <c r="B32" s="16" t="s">
        <v>31</v>
      </c>
      <c r="C32" s="17">
        <v>2270002051</v>
      </c>
      <c r="D32" s="18">
        <v>1641</v>
      </c>
      <c r="E32" s="18">
        <v>858.2894372232539</v>
      </c>
      <c r="F32" s="19">
        <v>0.59</v>
      </c>
      <c r="G32" s="20">
        <v>534.7205607443332</v>
      </c>
      <c r="H32" s="21">
        <v>14002</v>
      </c>
      <c r="K32" t="s">
        <v>472</v>
      </c>
      <c r="L32" t="s">
        <v>473</v>
      </c>
      <c r="N32" s="16" t="s">
        <v>31</v>
      </c>
      <c r="O32" s="295" t="s">
        <v>61</v>
      </c>
    </row>
    <row r="33" spans="2:15" ht="15">
      <c r="B33" s="16" t="s">
        <v>32</v>
      </c>
      <c r="C33" s="17">
        <v>2270002081</v>
      </c>
      <c r="D33" s="18">
        <v>606</v>
      </c>
      <c r="E33" s="18">
        <v>319.0232308845577</v>
      </c>
      <c r="F33" s="19">
        <v>0.59</v>
      </c>
      <c r="G33" s="20">
        <v>541.3561435275172</v>
      </c>
      <c r="H33" s="21">
        <v>12006</v>
      </c>
      <c r="K33" t="s">
        <v>474</v>
      </c>
      <c r="L33" t="s">
        <v>475</v>
      </c>
      <c r="N33" s="16" t="s">
        <v>32</v>
      </c>
      <c r="O33" s="295" t="s">
        <v>61</v>
      </c>
    </row>
    <row r="34" spans="2:15" ht="15">
      <c r="B34" s="16" t="s">
        <v>53</v>
      </c>
      <c r="C34" s="17">
        <v>2270003040</v>
      </c>
      <c r="D34" s="18">
        <v>878</v>
      </c>
      <c r="E34" s="18">
        <v>91.76064390599241</v>
      </c>
      <c r="F34" s="19">
        <v>0.43</v>
      </c>
      <c r="G34" s="20">
        <v>563.0252189274704</v>
      </c>
      <c r="H34" s="21">
        <v>52166</v>
      </c>
      <c r="K34" t="s">
        <v>476</v>
      </c>
      <c r="L34" t="s">
        <v>473</v>
      </c>
      <c r="N34" s="16" t="s">
        <v>53</v>
      </c>
      <c r="O34" s="295" t="str">
        <f>IF(H75&gt;H116,"Gas 2-Stroke","Gas 4-Stroke")</f>
        <v>Gas 4-Stroke</v>
      </c>
    </row>
    <row r="35" spans="2:15" ht="15">
      <c r="B35" s="16" t="s">
        <v>33</v>
      </c>
      <c r="C35" s="17">
        <v>2270003050</v>
      </c>
      <c r="D35" s="18">
        <v>421</v>
      </c>
      <c r="E35" s="18">
        <v>121.87004129793512</v>
      </c>
      <c r="F35" s="19">
        <v>0.21</v>
      </c>
      <c r="G35" s="20">
        <v>653.7701645079047</v>
      </c>
      <c r="H35" s="21">
        <v>5085</v>
      </c>
      <c r="K35" t="s">
        <v>477</v>
      </c>
      <c r="L35" t="s">
        <v>473</v>
      </c>
      <c r="N35" s="16" t="s">
        <v>33</v>
      </c>
      <c r="O35" s="295" t="s">
        <v>61</v>
      </c>
    </row>
    <row r="36" spans="2:15" ht="15">
      <c r="B36" s="16" t="s">
        <v>34</v>
      </c>
      <c r="C36" s="17">
        <v>2270002003</v>
      </c>
      <c r="D36" s="18">
        <v>821</v>
      </c>
      <c r="E36" s="18">
        <v>114.55409904823357</v>
      </c>
      <c r="F36" s="19">
        <v>0.59</v>
      </c>
      <c r="G36" s="20">
        <v>563.7145408568256</v>
      </c>
      <c r="H36" s="21">
        <v>18597</v>
      </c>
      <c r="K36" t="s">
        <v>478</v>
      </c>
      <c r="L36" t="s">
        <v>473</v>
      </c>
      <c r="N36" s="16" t="s">
        <v>34</v>
      </c>
      <c r="O36" s="295" t="s">
        <v>61</v>
      </c>
    </row>
    <row r="37" spans="2:15" ht="11.25">
      <c r="B37" s="16" t="s">
        <v>35</v>
      </c>
      <c r="C37" s="17">
        <v>2270002021</v>
      </c>
      <c r="D37" s="18">
        <v>622</v>
      </c>
      <c r="E37" s="18">
        <v>74.35238135696079</v>
      </c>
      <c r="F37" s="19">
        <v>0.59</v>
      </c>
      <c r="G37" s="20">
        <v>575.8553419457126</v>
      </c>
      <c r="H37" s="21">
        <v>8239</v>
      </c>
      <c r="N37" s="16" t="s">
        <v>35</v>
      </c>
      <c r="O37" s="295" t="str">
        <f>IF(H78&gt;H119,"Gas 2-Stroke","Gas 4-Stroke")</f>
        <v>Gas 4-Stroke</v>
      </c>
    </row>
    <row r="38" spans="2:15" ht="11.25">
      <c r="B38" s="16" t="s">
        <v>36</v>
      </c>
      <c r="C38" s="17">
        <v>2270002009</v>
      </c>
      <c r="D38" s="18">
        <v>484</v>
      </c>
      <c r="E38" s="18">
        <v>6.892198967727298</v>
      </c>
      <c r="F38" s="19">
        <v>0.43</v>
      </c>
      <c r="G38" s="20">
        <v>588.0281006111112</v>
      </c>
      <c r="H38" s="21">
        <v>17631</v>
      </c>
      <c r="N38" s="16" t="s">
        <v>36</v>
      </c>
      <c r="O38" s="295" t="str">
        <f>IF(H79&gt;H120,"Gas 2-Stroke","Gas 4-Stroke")</f>
        <v>Gas 4-Stroke</v>
      </c>
    </row>
    <row r="39" spans="2:15" ht="11.25">
      <c r="B39" s="16" t="s">
        <v>37</v>
      </c>
      <c r="C39" s="17">
        <v>2270006030</v>
      </c>
      <c r="D39" s="18">
        <v>145</v>
      </c>
      <c r="E39" s="18">
        <v>52.62569356673407</v>
      </c>
      <c r="F39" s="19">
        <v>0.43</v>
      </c>
      <c r="G39" s="20">
        <v>579.3381909565048</v>
      </c>
      <c r="H39" s="21">
        <v>31648</v>
      </c>
      <c r="N39" s="16" t="s">
        <v>37</v>
      </c>
      <c r="O39" s="295" t="s">
        <v>75</v>
      </c>
    </row>
    <row r="40" spans="2:15" ht="11.25">
      <c r="B40" s="16" t="s">
        <v>38</v>
      </c>
      <c r="C40" s="17">
        <v>2270006010</v>
      </c>
      <c r="D40" s="18">
        <v>403</v>
      </c>
      <c r="E40" s="18">
        <v>49.94776004334055</v>
      </c>
      <c r="F40" s="19">
        <v>0.43</v>
      </c>
      <c r="G40" s="20">
        <v>581.942265776624</v>
      </c>
      <c r="H40" s="21">
        <v>95984</v>
      </c>
      <c r="N40" s="16" t="s">
        <v>38</v>
      </c>
      <c r="O40" s="295" t="str">
        <f>IF(H81&gt;H122,"Gas 2-Stroke","Gas 4-Stroke")</f>
        <v>Gas 4-Stroke</v>
      </c>
    </row>
    <row r="41" spans="2:15" ht="11.25">
      <c r="B41" s="16" t="s">
        <v>13</v>
      </c>
      <c r="C41" s="17">
        <v>2270002015</v>
      </c>
      <c r="D41" s="18">
        <v>760</v>
      </c>
      <c r="E41" s="18">
        <v>90.61277383778152</v>
      </c>
      <c r="F41" s="19">
        <v>0.59</v>
      </c>
      <c r="G41" s="20">
        <v>574.2679142816014</v>
      </c>
      <c r="H41" s="21">
        <v>69092</v>
      </c>
      <c r="N41" s="16" t="s">
        <v>13</v>
      </c>
      <c r="O41" s="295" t="s">
        <v>61</v>
      </c>
    </row>
    <row r="42" spans="2:15" ht="11.25">
      <c r="B42" s="16" t="s">
        <v>39</v>
      </c>
      <c r="C42" s="17">
        <v>2270002057</v>
      </c>
      <c r="D42" s="18">
        <v>662</v>
      </c>
      <c r="E42" s="18">
        <v>94.01294286397324</v>
      </c>
      <c r="F42" s="19">
        <v>0.59</v>
      </c>
      <c r="G42" s="20">
        <v>576.867328927983</v>
      </c>
      <c r="H42" s="21">
        <v>96209</v>
      </c>
      <c r="N42" s="16" t="s">
        <v>39</v>
      </c>
      <c r="O42" s="295" t="s">
        <v>61</v>
      </c>
    </row>
    <row r="43" spans="2:15" ht="11.25">
      <c r="B43" s="16" t="s">
        <v>40</v>
      </c>
      <c r="C43" s="17">
        <v>2270002063</v>
      </c>
      <c r="D43" s="18">
        <v>899</v>
      </c>
      <c r="E43" s="953">
        <v>241.9882587992152</v>
      </c>
      <c r="F43" s="954">
        <v>0.59</v>
      </c>
      <c r="G43" s="133">
        <f>G44</f>
        <v>547.3533955282948</v>
      </c>
      <c r="H43" s="955">
        <v>1</v>
      </c>
      <c r="N43" s="16" t="s">
        <v>40</v>
      </c>
      <c r="O43" s="295" t="s">
        <v>61</v>
      </c>
    </row>
    <row r="44" spans="2:15" ht="11.25">
      <c r="B44" s="16" t="s">
        <v>14</v>
      </c>
      <c r="C44" s="17">
        <v>2270002060</v>
      </c>
      <c r="D44" s="18">
        <v>761</v>
      </c>
      <c r="E44" s="18">
        <v>241.9882587992152</v>
      </c>
      <c r="F44" s="19">
        <v>0.59</v>
      </c>
      <c r="G44" s="20">
        <v>547.3533955282948</v>
      </c>
      <c r="H44" s="21">
        <v>143223</v>
      </c>
      <c r="N44" s="16" t="s">
        <v>14</v>
      </c>
      <c r="O44" s="295" t="s">
        <v>61</v>
      </c>
    </row>
    <row r="45" spans="2:15" ht="11.25">
      <c r="B45" s="16" t="s">
        <v>15</v>
      </c>
      <c r="C45" s="17">
        <v>2270002018</v>
      </c>
      <c r="D45" s="18">
        <v>914</v>
      </c>
      <c r="E45" s="18">
        <v>393.40671116054875</v>
      </c>
      <c r="F45" s="19">
        <v>0.59</v>
      </c>
      <c r="G45" s="20">
        <v>534.7487767720812</v>
      </c>
      <c r="H45" s="21">
        <v>18879</v>
      </c>
      <c r="N45" s="16" t="s">
        <v>15</v>
      </c>
      <c r="O45" s="295" t="s">
        <v>61</v>
      </c>
    </row>
    <row r="46" spans="2:15" ht="11.25">
      <c r="B46" s="16" t="s">
        <v>41</v>
      </c>
      <c r="C46" s="17">
        <v>2270002027</v>
      </c>
      <c r="D46" s="18">
        <v>535</v>
      </c>
      <c r="E46" s="18">
        <v>20.33024075319435</v>
      </c>
      <c r="F46" s="19">
        <v>0.43</v>
      </c>
      <c r="G46" s="20">
        <v>587.0087103621247</v>
      </c>
      <c r="H46" s="21">
        <v>44610</v>
      </c>
      <c r="N46" s="16" t="s">
        <v>41</v>
      </c>
      <c r="O46" s="295" t="s">
        <v>61</v>
      </c>
    </row>
    <row r="47" spans="2:15" ht="11.25">
      <c r="B47" s="16" t="s">
        <v>42</v>
      </c>
      <c r="C47" s="17">
        <v>2270002072</v>
      </c>
      <c r="D47" s="18">
        <v>818</v>
      </c>
      <c r="E47" s="18">
        <v>49.72490886868769</v>
      </c>
      <c r="F47" s="19">
        <v>0.21</v>
      </c>
      <c r="G47" s="20">
        <v>693.6888337996006</v>
      </c>
      <c r="H47" s="21">
        <v>420547</v>
      </c>
      <c r="N47" s="16" t="s">
        <v>42</v>
      </c>
      <c r="O47" s="295" t="s">
        <v>61</v>
      </c>
    </row>
    <row r="48" spans="2:15" ht="11.25">
      <c r="B48" s="16" t="s">
        <v>43</v>
      </c>
      <c r="C48" s="17">
        <v>2270002024</v>
      </c>
      <c r="D48" s="18">
        <v>561</v>
      </c>
      <c r="E48" s="18">
        <v>70.83639931740615</v>
      </c>
      <c r="F48" s="19">
        <v>0.59</v>
      </c>
      <c r="G48" s="20">
        <v>586.9896687677466</v>
      </c>
      <c r="H48" s="21">
        <v>2344</v>
      </c>
      <c r="N48" s="16" t="s">
        <v>43</v>
      </c>
      <c r="O48" s="295" t="s">
        <v>75</v>
      </c>
    </row>
    <row r="49" spans="2:15" ht="11.25">
      <c r="B49" s="16" t="s">
        <v>44</v>
      </c>
      <c r="C49" s="17">
        <v>2270003030</v>
      </c>
      <c r="D49" s="18">
        <v>1220</v>
      </c>
      <c r="E49" s="18">
        <v>91.43824811133199</v>
      </c>
      <c r="F49" s="19">
        <v>0.43</v>
      </c>
      <c r="G49" s="20">
        <v>564.5159233320254</v>
      </c>
      <c r="H49" s="21">
        <v>37725</v>
      </c>
      <c r="N49" s="16" t="s">
        <v>44</v>
      </c>
      <c r="O49" s="295" t="s">
        <v>61</v>
      </c>
    </row>
    <row r="50" spans="2:15" ht="11.25">
      <c r="B50" s="16" t="s">
        <v>16</v>
      </c>
      <c r="C50" s="17">
        <v>2270002066</v>
      </c>
      <c r="D50" s="18">
        <v>1135</v>
      </c>
      <c r="E50" s="18">
        <v>94.98538811576137</v>
      </c>
      <c r="F50" s="19">
        <v>0.21</v>
      </c>
      <c r="G50" s="20">
        <v>672.6805966710663</v>
      </c>
      <c r="H50" s="21">
        <v>309637</v>
      </c>
      <c r="N50" s="16" t="s">
        <v>16</v>
      </c>
      <c r="O50" s="295" t="s">
        <v>61</v>
      </c>
    </row>
    <row r="51" spans="2:15" ht="11.25">
      <c r="B51" s="16" t="s">
        <v>45</v>
      </c>
      <c r="C51" s="17">
        <v>2270002030</v>
      </c>
      <c r="D51" s="18">
        <v>593</v>
      </c>
      <c r="E51" s="18">
        <v>72.4111379493067</v>
      </c>
      <c r="F51" s="19">
        <v>0.59</v>
      </c>
      <c r="G51" s="20">
        <v>587.9101457741033</v>
      </c>
      <c r="H51" s="21">
        <v>45292</v>
      </c>
      <c r="N51" s="16" t="s">
        <v>45</v>
      </c>
      <c r="O51" s="295" t="s">
        <v>61</v>
      </c>
    </row>
    <row r="52" spans="2:15" ht="11.25">
      <c r="B52" s="16" t="s">
        <v>47</v>
      </c>
      <c r="C52" s="17">
        <v>2270002051</v>
      </c>
      <c r="D52" s="18">
        <v>1641</v>
      </c>
      <c r="E52" s="18">
        <v>858.2894372232539</v>
      </c>
      <c r="F52" s="19">
        <v>0.59</v>
      </c>
      <c r="G52" s="20">
        <v>534.7205607443332</v>
      </c>
      <c r="H52" s="21">
        <v>14002</v>
      </c>
      <c r="N52" s="16" t="s">
        <v>47</v>
      </c>
      <c r="O52" s="295" t="s">
        <v>61</v>
      </c>
    </row>
    <row r="53" spans="2:15" ht="12" thickBot="1">
      <c r="B53" s="22" t="s">
        <v>46</v>
      </c>
      <c r="C53" s="23">
        <v>2270006025</v>
      </c>
      <c r="D53" s="24">
        <v>643</v>
      </c>
      <c r="E53" s="24">
        <v>42.535101080942674</v>
      </c>
      <c r="F53" s="25">
        <v>0.21</v>
      </c>
      <c r="G53" s="26">
        <v>693.5025012906365</v>
      </c>
      <c r="H53" s="27">
        <v>179658</v>
      </c>
      <c r="N53" s="22" t="s">
        <v>46</v>
      </c>
      <c r="O53" s="296" t="s">
        <v>61</v>
      </c>
    </row>
    <row r="54" ht="12" thickBot="1"/>
    <row r="55" spans="2:11" ht="15" customHeight="1">
      <c r="B55" s="1073" t="s">
        <v>62</v>
      </c>
      <c r="C55" s="1074"/>
      <c r="D55" s="1074"/>
      <c r="E55" s="1074"/>
      <c r="F55" s="1074"/>
      <c r="G55" s="1074"/>
      <c r="H55" s="1075"/>
      <c r="J55" s="1079" t="s">
        <v>86</v>
      </c>
      <c r="K55" s="1080"/>
    </row>
    <row r="56" spans="2:11" ht="11.25">
      <c r="B56" s="6" t="s">
        <v>17</v>
      </c>
      <c r="C56" s="7" t="s">
        <v>50</v>
      </c>
      <c r="D56" s="7" t="s">
        <v>57</v>
      </c>
      <c r="E56" s="7" t="s">
        <v>52</v>
      </c>
      <c r="F56" s="7" t="s">
        <v>18</v>
      </c>
      <c r="G56" s="7" t="s">
        <v>67</v>
      </c>
      <c r="H56" s="8" t="s">
        <v>49</v>
      </c>
      <c r="J56" s="40"/>
      <c r="K56" s="41"/>
    </row>
    <row r="57" spans="2:12" ht="11.25">
      <c r="B57" s="9"/>
      <c r="C57" s="10"/>
      <c r="D57" s="10" t="s">
        <v>58</v>
      </c>
      <c r="E57" s="10" t="s">
        <v>54</v>
      </c>
      <c r="F57" s="11" t="s">
        <v>71</v>
      </c>
      <c r="G57" s="11" t="s">
        <v>51</v>
      </c>
      <c r="H57" s="12" t="s">
        <v>71</v>
      </c>
      <c r="J57" s="42" t="s">
        <v>87</v>
      </c>
      <c r="K57" s="43" t="s">
        <v>88</v>
      </c>
      <c r="L57" s="297" t="s">
        <v>598</v>
      </c>
    </row>
    <row r="58" spans="2:12" ht="11.25">
      <c r="B58" s="13" t="s">
        <v>55</v>
      </c>
      <c r="C58" s="14">
        <v>0</v>
      </c>
      <c r="D58" s="14">
        <v>0</v>
      </c>
      <c r="E58" s="14">
        <v>0</v>
      </c>
      <c r="F58" s="14">
        <v>0</v>
      </c>
      <c r="G58" s="14">
        <v>0</v>
      </c>
      <c r="H58" s="15">
        <v>0</v>
      </c>
      <c r="J58" s="35" t="s">
        <v>55</v>
      </c>
      <c r="K58" s="44">
        <v>0</v>
      </c>
      <c r="L58" s="3" t="s">
        <v>324</v>
      </c>
    </row>
    <row r="59" spans="2:12" ht="11.25">
      <c r="B59" s="16" t="s">
        <v>19</v>
      </c>
      <c r="C59" s="17">
        <v>2260003010</v>
      </c>
      <c r="D59" s="18">
        <v>361</v>
      </c>
      <c r="E59" s="18">
        <v>0</v>
      </c>
      <c r="F59" s="19">
        <v>0</v>
      </c>
      <c r="G59" s="20">
        <v>0</v>
      </c>
      <c r="H59" s="21">
        <v>0</v>
      </c>
      <c r="J59" s="35" t="s">
        <v>811</v>
      </c>
      <c r="K59" s="44">
        <v>0.0375</v>
      </c>
      <c r="L59" s="3" t="s">
        <v>909</v>
      </c>
    </row>
    <row r="60" spans="2:12" ht="11.25">
      <c r="B60" s="16" t="s">
        <v>20</v>
      </c>
      <c r="C60" s="17">
        <v>2260006015</v>
      </c>
      <c r="D60" s="18">
        <v>484</v>
      </c>
      <c r="E60" s="18">
        <v>2.209</v>
      </c>
      <c r="F60" s="19">
        <v>0.56</v>
      </c>
      <c r="G60" s="20">
        <v>1093.8165479999998</v>
      </c>
      <c r="H60" s="21">
        <v>59</v>
      </c>
      <c r="J60" s="35" t="s">
        <v>89</v>
      </c>
      <c r="K60" s="44">
        <v>0.15</v>
      </c>
      <c r="L60" s="3" t="s">
        <v>791</v>
      </c>
    </row>
    <row r="61" spans="2:16" ht="12.75">
      <c r="B61" s="16" t="s">
        <v>21</v>
      </c>
      <c r="C61" s="17">
        <v>2260002033</v>
      </c>
      <c r="D61" s="18">
        <v>107</v>
      </c>
      <c r="E61" s="18">
        <v>0</v>
      </c>
      <c r="F61" s="19">
        <v>0</v>
      </c>
      <c r="G61" s="20">
        <v>0</v>
      </c>
      <c r="H61" s="21">
        <v>0</v>
      </c>
      <c r="J61" s="35" t="s">
        <v>85</v>
      </c>
      <c r="K61" s="44">
        <v>0.79</v>
      </c>
      <c r="M61" s="789"/>
      <c r="N61" s="789"/>
      <c r="O61" s="789"/>
      <c r="P61" s="789"/>
    </row>
    <row r="62" spans="2:16" ht="12.75">
      <c r="B62" s="16" t="s">
        <v>22</v>
      </c>
      <c r="C62" s="17">
        <v>2260002042</v>
      </c>
      <c r="D62" s="18">
        <v>84</v>
      </c>
      <c r="E62" s="18">
        <v>0</v>
      </c>
      <c r="F62" s="19">
        <v>0</v>
      </c>
      <c r="G62" s="20">
        <v>0</v>
      </c>
      <c r="H62" s="21">
        <v>0</v>
      </c>
      <c r="J62" s="35" t="s">
        <v>90</v>
      </c>
      <c r="K62" s="44">
        <v>0.02</v>
      </c>
      <c r="L62" s="788"/>
      <c r="M62" s="789"/>
      <c r="N62" s="789"/>
      <c r="O62" s="789"/>
      <c r="P62" s="789"/>
    </row>
    <row r="63" spans="2:12" ht="12.75">
      <c r="B63" s="16" t="s">
        <v>23</v>
      </c>
      <c r="C63" s="17">
        <v>2260002039</v>
      </c>
      <c r="D63" s="18">
        <v>610</v>
      </c>
      <c r="E63" s="18">
        <v>4.077069864927806</v>
      </c>
      <c r="F63" s="19">
        <v>0.78</v>
      </c>
      <c r="G63" s="20">
        <v>800.4233032125845</v>
      </c>
      <c r="H63" s="21">
        <v>66557</v>
      </c>
      <c r="J63" s="35" t="s">
        <v>91</v>
      </c>
      <c r="K63" s="44">
        <v>0.06</v>
      </c>
      <c r="L63" s="788"/>
    </row>
    <row r="64" spans="2:11" ht="11.25">
      <c r="B64" s="16" t="s">
        <v>24</v>
      </c>
      <c r="C64" s="17">
        <v>2260002045</v>
      </c>
      <c r="D64" s="18">
        <v>415</v>
      </c>
      <c r="E64" s="18">
        <v>0</v>
      </c>
      <c r="F64" s="19">
        <v>0</v>
      </c>
      <c r="G64" s="20">
        <v>0</v>
      </c>
      <c r="H64" s="21">
        <v>0</v>
      </c>
      <c r="J64" s="35" t="s">
        <v>92</v>
      </c>
      <c r="K64" s="44">
        <v>0.31</v>
      </c>
    </row>
    <row r="65" spans="2:11" ht="11.25">
      <c r="B65" s="16" t="s">
        <v>25</v>
      </c>
      <c r="C65" s="17">
        <v>2260002075</v>
      </c>
      <c r="D65" s="18">
        <v>155</v>
      </c>
      <c r="E65" s="18">
        <v>0</v>
      </c>
      <c r="F65" s="19">
        <v>0</v>
      </c>
      <c r="G65" s="20">
        <v>0</v>
      </c>
      <c r="H65" s="21">
        <v>0</v>
      </c>
      <c r="J65" s="35" t="s">
        <v>93</v>
      </c>
      <c r="K65" s="44">
        <v>0.75</v>
      </c>
    </row>
    <row r="66" spans="2:11" ht="11.25">
      <c r="B66" s="16" t="s">
        <v>26</v>
      </c>
      <c r="C66" s="17">
        <v>2260002054</v>
      </c>
      <c r="D66" s="18">
        <v>241</v>
      </c>
      <c r="E66" s="18">
        <v>1.8</v>
      </c>
      <c r="F66" s="19">
        <v>0.85</v>
      </c>
      <c r="G66" s="20">
        <v>1093.8165479999998</v>
      </c>
      <c r="H66" s="21">
        <v>1405</v>
      </c>
      <c r="J66" s="35" t="s">
        <v>84</v>
      </c>
      <c r="K66" s="786">
        <v>0.05</v>
      </c>
    </row>
    <row r="67" spans="2:11" ht="12" thickBot="1">
      <c r="B67" s="16" t="s">
        <v>27</v>
      </c>
      <c r="C67" s="17">
        <v>2260002078</v>
      </c>
      <c r="D67" s="18">
        <v>127</v>
      </c>
      <c r="E67" s="18">
        <v>0</v>
      </c>
      <c r="F67" s="19">
        <v>0</v>
      </c>
      <c r="G67" s="20">
        <v>0</v>
      </c>
      <c r="H67" s="21">
        <v>0</v>
      </c>
      <c r="J67" s="45" t="s">
        <v>213</v>
      </c>
      <c r="K67" s="787">
        <v>0.05</v>
      </c>
    </row>
    <row r="68" spans="2:8" ht="11.25">
      <c r="B68" s="16" t="s">
        <v>28</v>
      </c>
      <c r="C68" s="17">
        <v>2260002036</v>
      </c>
      <c r="D68" s="18">
        <v>378</v>
      </c>
      <c r="E68" s="18">
        <v>0</v>
      </c>
      <c r="F68" s="19">
        <v>0</v>
      </c>
      <c r="G68" s="20">
        <v>0</v>
      </c>
      <c r="H68" s="21">
        <v>0</v>
      </c>
    </row>
    <row r="69" spans="2:8" ht="12" thickBot="1">
      <c r="B69" s="16" t="s">
        <v>29</v>
      </c>
      <c r="C69" s="17">
        <v>2260003020</v>
      </c>
      <c r="D69" s="18">
        <v>1800</v>
      </c>
      <c r="E69" s="18">
        <v>0</v>
      </c>
      <c r="F69" s="19">
        <v>0</v>
      </c>
      <c r="G69" s="20">
        <v>0</v>
      </c>
      <c r="H69" s="21">
        <v>0</v>
      </c>
    </row>
    <row r="70" spans="2:12" ht="12.75">
      <c r="B70" s="16" t="s">
        <v>11</v>
      </c>
      <c r="C70" s="17">
        <v>2260006005</v>
      </c>
      <c r="D70" s="18">
        <v>115</v>
      </c>
      <c r="E70" s="18">
        <v>1.6295783291439276</v>
      </c>
      <c r="F70" s="19">
        <v>0.68</v>
      </c>
      <c r="G70" s="20">
        <v>1093.8165479999998</v>
      </c>
      <c r="H70" s="21">
        <v>104629</v>
      </c>
      <c r="J70" s="961" t="s">
        <v>614</v>
      </c>
      <c r="K70" s="962"/>
      <c r="L70" s="963"/>
    </row>
    <row r="71" spans="2:12" ht="12.75">
      <c r="B71" s="16" t="s">
        <v>12</v>
      </c>
      <c r="C71" s="17">
        <v>2260002048</v>
      </c>
      <c r="D71" s="18">
        <v>504</v>
      </c>
      <c r="E71" s="18">
        <v>0</v>
      </c>
      <c r="F71" s="19">
        <v>0</v>
      </c>
      <c r="G71" s="20">
        <v>0</v>
      </c>
      <c r="H71" s="21">
        <v>0</v>
      </c>
      <c r="J71" s="975" t="s">
        <v>615</v>
      </c>
      <c r="K71" s="976"/>
      <c r="L71" s="977"/>
    </row>
    <row r="72" spans="2:12" ht="12.75">
      <c r="B72" s="16" t="s">
        <v>30</v>
      </c>
      <c r="C72" s="17">
        <v>2260002075</v>
      </c>
      <c r="D72" s="18">
        <v>155</v>
      </c>
      <c r="E72" s="18">
        <v>0</v>
      </c>
      <c r="F72" s="19">
        <v>0</v>
      </c>
      <c r="G72" s="20">
        <v>0</v>
      </c>
      <c r="H72" s="21">
        <v>0</v>
      </c>
      <c r="J72" s="1076" t="s">
        <v>632</v>
      </c>
      <c r="K72" s="1077"/>
      <c r="L72" s="1078"/>
    </row>
    <row r="73" spans="2:12" ht="13.5" thickBot="1">
      <c r="B73" s="16" t="s">
        <v>31</v>
      </c>
      <c r="C73" s="17">
        <v>2260002051</v>
      </c>
      <c r="D73" s="18">
        <v>450</v>
      </c>
      <c r="E73" s="18">
        <v>0</v>
      </c>
      <c r="F73" s="19">
        <v>0</v>
      </c>
      <c r="G73" s="20">
        <v>0</v>
      </c>
      <c r="H73" s="21">
        <v>0</v>
      </c>
      <c r="J73" s="981" t="s">
        <v>681</v>
      </c>
      <c r="K73" s="982"/>
      <c r="L73" s="983"/>
    </row>
    <row r="74" spans="2:8" ht="11.25">
      <c r="B74" s="16" t="s">
        <v>32</v>
      </c>
      <c r="C74" s="17">
        <v>2260002081</v>
      </c>
      <c r="D74" s="18">
        <v>371</v>
      </c>
      <c r="E74" s="18">
        <v>0</v>
      </c>
      <c r="F74" s="19">
        <v>0</v>
      </c>
      <c r="G74" s="20">
        <v>0</v>
      </c>
      <c r="H74" s="21">
        <v>0</v>
      </c>
    </row>
    <row r="75" spans="2:8" ht="11.25">
      <c r="B75" s="16" t="s">
        <v>53</v>
      </c>
      <c r="C75" s="17">
        <v>2260003040</v>
      </c>
      <c r="D75" s="18">
        <v>713</v>
      </c>
      <c r="E75" s="18">
        <v>2.044</v>
      </c>
      <c r="F75" s="19">
        <v>0.54</v>
      </c>
      <c r="G75" s="20">
        <v>1093.8165479999998</v>
      </c>
      <c r="H75" s="21">
        <v>156</v>
      </c>
    </row>
    <row r="76" spans="2:8" ht="11.25">
      <c r="B76" s="16" t="s">
        <v>33</v>
      </c>
      <c r="C76" s="17">
        <v>2260003050</v>
      </c>
      <c r="D76" s="18">
        <v>386</v>
      </c>
      <c r="E76" s="18">
        <v>0</v>
      </c>
      <c r="F76" s="19">
        <v>0</v>
      </c>
      <c r="G76" s="20">
        <v>0</v>
      </c>
      <c r="H76" s="21">
        <v>0</v>
      </c>
    </row>
    <row r="77" spans="2:8" ht="11.25">
      <c r="B77" s="16" t="s">
        <v>34</v>
      </c>
      <c r="C77" s="17">
        <v>2260002003</v>
      </c>
      <c r="D77" s="18">
        <v>392</v>
      </c>
      <c r="E77" s="18">
        <v>0</v>
      </c>
      <c r="F77" s="19">
        <v>0</v>
      </c>
      <c r="G77" s="20">
        <v>0</v>
      </c>
      <c r="H77" s="21">
        <v>0</v>
      </c>
    </row>
    <row r="78" spans="2:8" ht="11.25">
      <c r="B78" s="16" t="s">
        <v>35</v>
      </c>
      <c r="C78" s="17">
        <v>2260002021</v>
      </c>
      <c r="D78" s="18">
        <v>175</v>
      </c>
      <c r="E78" s="18">
        <v>1.823</v>
      </c>
      <c r="F78" s="19">
        <v>0.59</v>
      </c>
      <c r="G78" s="20">
        <v>1093.8165479999998</v>
      </c>
      <c r="H78" s="21">
        <v>13997</v>
      </c>
    </row>
    <row r="79" spans="2:8" ht="11.25">
      <c r="B79" s="16" t="s">
        <v>36</v>
      </c>
      <c r="C79" s="17">
        <v>2260002009</v>
      </c>
      <c r="D79" s="18">
        <v>166</v>
      </c>
      <c r="E79" s="18">
        <v>1.649</v>
      </c>
      <c r="F79" s="19">
        <v>0.55</v>
      </c>
      <c r="G79" s="20">
        <v>1093.8165479999998</v>
      </c>
      <c r="H79" s="21">
        <v>14614</v>
      </c>
    </row>
    <row r="80" spans="2:8" ht="11.25">
      <c r="B80" s="16" t="s">
        <v>37</v>
      </c>
      <c r="C80" s="17">
        <v>2260006030</v>
      </c>
      <c r="D80" s="18">
        <v>115</v>
      </c>
      <c r="E80" s="18">
        <v>0</v>
      </c>
      <c r="F80" s="19">
        <v>0</v>
      </c>
      <c r="G80" s="20">
        <v>0</v>
      </c>
      <c r="H80" s="21">
        <v>0</v>
      </c>
    </row>
    <row r="81" spans="2:8" ht="11.25">
      <c r="B81" s="16" t="s">
        <v>38</v>
      </c>
      <c r="C81" s="17">
        <v>2260006010</v>
      </c>
      <c r="D81" s="18">
        <v>221</v>
      </c>
      <c r="E81" s="18">
        <v>1.657780122528528</v>
      </c>
      <c r="F81" s="19">
        <v>0.69</v>
      </c>
      <c r="G81" s="20">
        <v>1093.581119051469</v>
      </c>
      <c r="H81" s="21">
        <v>357631</v>
      </c>
    </row>
    <row r="82" spans="2:8" ht="11.25">
      <c r="B82" s="16" t="s">
        <v>13</v>
      </c>
      <c r="C82" s="17">
        <v>2260002015</v>
      </c>
      <c r="D82" s="18">
        <v>621</v>
      </c>
      <c r="E82" s="18">
        <v>0</v>
      </c>
      <c r="F82" s="19">
        <v>0</v>
      </c>
      <c r="G82" s="20">
        <v>0</v>
      </c>
      <c r="H82" s="21">
        <v>0</v>
      </c>
    </row>
    <row r="83" spans="2:8" ht="11.25">
      <c r="B83" s="16" t="s">
        <v>39</v>
      </c>
      <c r="C83" s="17">
        <v>2260002057</v>
      </c>
      <c r="D83" s="18">
        <v>413</v>
      </c>
      <c r="E83" s="18">
        <v>0</v>
      </c>
      <c r="F83" s="19">
        <v>0</v>
      </c>
      <c r="G83" s="20">
        <v>0</v>
      </c>
      <c r="H83" s="21">
        <v>0</v>
      </c>
    </row>
    <row r="84" spans="2:8" ht="11.25">
      <c r="B84" s="16" t="s">
        <v>40</v>
      </c>
      <c r="C84" s="17">
        <v>2260002063</v>
      </c>
      <c r="D84" s="18">
        <v>900</v>
      </c>
      <c r="E84" s="18">
        <v>0</v>
      </c>
      <c r="F84" s="19">
        <v>0</v>
      </c>
      <c r="G84" s="20">
        <v>0</v>
      </c>
      <c r="H84" s="21">
        <v>0</v>
      </c>
    </row>
    <row r="85" spans="2:8" ht="11.25">
      <c r="B85" s="16" t="s">
        <v>14</v>
      </c>
      <c r="C85" s="17">
        <v>2260002060</v>
      </c>
      <c r="D85" s="18">
        <v>512</v>
      </c>
      <c r="E85" s="18">
        <v>0</v>
      </c>
      <c r="F85" s="19">
        <v>0</v>
      </c>
      <c r="G85" s="20">
        <v>0</v>
      </c>
      <c r="H85" s="21">
        <v>0</v>
      </c>
    </row>
    <row r="86" spans="2:8" ht="11.25">
      <c r="B86" s="16" t="s">
        <v>15</v>
      </c>
      <c r="C86" s="17">
        <v>2260002018</v>
      </c>
      <c r="D86" s="18">
        <v>540</v>
      </c>
      <c r="E86" s="18">
        <v>0</v>
      </c>
      <c r="F86" s="19">
        <v>0</v>
      </c>
      <c r="G86" s="20">
        <v>0</v>
      </c>
      <c r="H86" s="21">
        <v>0</v>
      </c>
    </row>
    <row r="87" spans="2:8" ht="11.25">
      <c r="B87" s="16" t="s">
        <v>41</v>
      </c>
      <c r="C87" s="17">
        <v>2260002027</v>
      </c>
      <c r="D87" s="18">
        <v>318</v>
      </c>
      <c r="E87" s="18">
        <v>2.2</v>
      </c>
      <c r="F87" s="19">
        <v>0.72</v>
      </c>
      <c r="G87" s="20">
        <v>1093.8165479999998</v>
      </c>
      <c r="H87" s="21">
        <v>38</v>
      </c>
    </row>
    <row r="88" spans="2:8" ht="11.25">
      <c r="B88" s="16" t="s">
        <v>42</v>
      </c>
      <c r="C88" s="17">
        <v>2260002072</v>
      </c>
      <c r="D88" s="18">
        <v>310</v>
      </c>
      <c r="E88" s="18">
        <v>0</v>
      </c>
      <c r="F88" s="19">
        <v>0</v>
      </c>
      <c r="G88" s="20">
        <v>0</v>
      </c>
      <c r="H88" s="21">
        <v>0</v>
      </c>
    </row>
    <row r="89" spans="2:8" ht="11.25">
      <c r="B89" s="16" t="s">
        <v>43</v>
      </c>
      <c r="C89" s="17">
        <v>2260002024</v>
      </c>
      <c r="D89" s="18">
        <v>488</v>
      </c>
      <c r="E89" s="18">
        <v>0</v>
      </c>
      <c r="F89" s="19">
        <v>0</v>
      </c>
      <c r="G89" s="20">
        <v>0</v>
      </c>
      <c r="H89" s="21">
        <v>0</v>
      </c>
    </row>
    <row r="90" spans="2:8" ht="11.25">
      <c r="B90" s="16" t="s">
        <v>44</v>
      </c>
      <c r="C90" s="17">
        <v>2260003030</v>
      </c>
      <c r="D90" s="18">
        <v>516</v>
      </c>
      <c r="E90" s="18">
        <v>1.276</v>
      </c>
      <c r="F90" s="19">
        <v>0.71</v>
      </c>
      <c r="G90" s="20">
        <v>1093.8165479999998</v>
      </c>
      <c r="H90" s="21">
        <v>3298</v>
      </c>
    </row>
    <row r="91" spans="2:8" ht="11.25">
      <c r="B91" s="16" t="s">
        <v>16</v>
      </c>
      <c r="C91" s="17">
        <v>2260002066</v>
      </c>
      <c r="D91" s="18">
        <v>870</v>
      </c>
      <c r="E91" s="18">
        <v>0</v>
      </c>
      <c r="F91" s="19">
        <v>0</v>
      </c>
      <c r="G91" s="20">
        <v>0</v>
      </c>
      <c r="H91" s="21">
        <v>0</v>
      </c>
    </row>
    <row r="92" spans="2:8" ht="11.25">
      <c r="B92" s="16" t="s">
        <v>45</v>
      </c>
      <c r="C92" s="17">
        <v>2260002030</v>
      </c>
      <c r="D92" s="18">
        <v>402</v>
      </c>
      <c r="E92" s="18">
        <v>0</v>
      </c>
      <c r="F92" s="19">
        <v>0</v>
      </c>
      <c r="G92" s="20">
        <v>0</v>
      </c>
      <c r="H92" s="21">
        <v>0</v>
      </c>
    </row>
    <row r="93" spans="2:8" ht="11.25">
      <c r="B93" s="16" t="s">
        <v>47</v>
      </c>
      <c r="C93" s="17">
        <v>2260002051</v>
      </c>
      <c r="D93" s="18">
        <v>450</v>
      </c>
      <c r="E93" s="18">
        <v>0</v>
      </c>
      <c r="F93" s="19">
        <v>0</v>
      </c>
      <c r="G93" s="20">
        <v>0</v>
      </c>
      <c r="H93" s="21">
        <v>0</v>
      </c>
    </row>
    <row r="94" spans="2:8" ht="12" thickBot="1">
      <c r="B94" s="22" t="s">
        <v>46</v>
      </c>
      <c r="C94" s="23">
        <v>2260006025</v>
      </c>
      <c r="D94" s="24">
        <v>408</v>
      </c>
      <c r="E94" s="24">
        <v>0</v>
      </c>
      <c r="F94" s="25">
        <v>0</v>
      </c>
      <c r="G94" s="26">
        <v>0</v>
      </c>
      <c r="H94" s="27">
        <v>0</v>
      </c>
    </row>
    <row r="95" ht="12" thickBot="1"/>
    <row r="96" spans="2:8" ht="15" customHeight="1">
      <c r="B96" s="1073" t="s">
        <v>63</v>
      </c>
      <c r="C96" s="1074"/>
      <c r="D96" s="1074"/>
      <c r="E96" s="1074"/>
      <c r="F96" s="1074"/>
      <c r="G96" s="1074"/>
      <c r="H96" s="1075"/>
    </row>
    <row r="97" spans="2:8" ht="11.25">
      <c r="B97" s="6" t="s">
        <v>17</v>
      </c>
      <c r="C97" s="7" t="s">
        <v>50</v>
      </c>
      <c r="D97" s="7" t="s">
        <v>57</v>
      </c>
      <c r="E97" s="7" t="s">
        <v>52</v>
      </c>
      <c r="F97" s="7" t="s">
        <v>18</v>
      </c>
      <c r="G97" s="7" t="s">
        <v>67</v>
      </c>
      <c r="H97" s="8" t="s">
        <v>49</v>
      </c>
    </row>
    <row r="98" spans="2:8" ht="11.25">
      <c r="B98" s="9"/>
      <c r="C98" s="10">
        <v>0</v>
      </c>
      <c r="D98" s="10" t="s">
        <v>58</v>
      </c>
      <c r="E98" s="10" t="s">
        <v>54</v>
      </c>
      <c r="F98" s="11" t="s">
        <v>71</v>
      </c>
      <c r="G98" s="11" t="s">
        <v>51</v>
      </c>
      <c r="H98" s="12" t="s">
        <v>71</v>
      </c>
    </row>
    <row r="99" spans="2:8" ht="11.25">
      <c r="B99" s="13" t="s">
        <v>55</v>
      </c>
      <c r="C99" s="14">
        <v>0</v>
      </c>
      <c r="D99" s="14">
        <v>0</v>
      </c>
      <c r="E99" s="14">
        <v>0</v>
      </c>
      <c r="F99" s="14">
        <v>0</v>
      </c>
      <c r="G99" s="14">
        <v>0</v>
      </c>
      <c r="H99" s="15">
        <v>0</v>
      </c>
    </row>
    <row r="100" spans="2:8" ht="11.25">
      <c r="B100" s="16" t="s">
        <v>19</v>
      </c>
      <c r="C100" s="17">
        <v>2265003010</v>
      </c>
      <c r="D100" s="18">
        <v>361</v>
      </c>
      <c r="E100" s="18">
        <v>36.484264596376065</v>
      </c>
      <c r="F100" s="19">
        <v>0.46</v>
      </c>
      <c r="G100" s="20">
        <v>963.0007460208565</v>
      </c>
      <c r="H100" s="21">
        <v>36259</v>
      </c>
    </row>
    <row r="101" spans="2:8" ht="11.25">
      <c r="B101" s="16" t="s">
        <v>20</v>
      </c>
      <c r="C101" s="17">
        <v>2265006015</v>
      </c>
      <c r="D101" s="18">
        <v>484</v>
      </c>
      <c r="E101" s="18">
        <v>12.094242753085812</v>
      </c>
      <c r="F101" s="19">
        <v>0.56</v>
      </c>
      <c r="G101" s="20">
        <v>1147.905394100519</v>
      </c>
      <c r="H101" s="21">
        <v>121362</v>
      </c>
    </row>
    <row r="102" spans="2:8" ht="11.25">
      <c r="B102" s="16" t="s">
        <v>21</v>
      </c>
      <c r="C102" s="17">
        <v>2265002033</v>
      </c>
      <c r="D102" s="18">
        <v>107</v>
      </c>
      <c r="E102" s="18">
        <v>3.6157726426587398</v>
      </c>
      <c r="F102" s="19">
        <v>0.79</v>
      </c>
      <c r="G102" s="20">
        <v>1142.6475798709848</v>
      </c>
      <c r="H102" s="21">
        <v>102605</v>
      </c>
    </row>
    <row r="103" spans="2:8" ht="11.25">
      <c r="B103" s="16" t="s">
        <v>22</v>
      </c>
      <c r="C103" s="17">
        <v>2265002042</v>
      </c>
      <c r="D103" s="18">
        <v>84</v>
      </c>
      <c r="E103" s="18">
        <v>7.459801764104417</v>
      </c>
      <c r="F103" s="19">
        <v>0.59</v>
      </c>
      <c r="G103" s="20">
        <v>1184.148259396456</v>
      </c>
      <c r="H103" s="21">
        <v>243523</v>
      </c>
    </row>
    <row r="104" spans="2:8" ht="11.25">
      <c r="B104" s="16" t="s">
        <v>23</v>
      </c>
      <c r="C104" s="17">
        <v>2265002039</v>
      </c>
      <c r="D104" s="18">
        <v>610</v>
      </c>
      <c r="E104" s="18">
        <v>11.329398061576551</v>
      </c>
      <c r="F104" s="19">
        <v>0.78</v>
      </c>
      <c r="G104" s="20">
        <v>1134.9168474484638</v>
      </c>
      <c r="H104" s="21">
        <v>37969</v>
      </c>
    </row>
    <row r="105" spans="2:8" ht="11.25">
      <c r="B105" s="16" t="s">
        <v>24</v>
      </c>
      <c r="C105" s="17">
        <v>2265002045</v>
      </c>
      <c r="D105" s="18">
        <v>415</v>
      </c>
      <c r="E105" s="18">
        <v>49.27420038535646</v>
      </c>
      <c r="F105" s="19">
        <v>0.47</v>
      </c>
      <c r="G105" s="20">
        <v>962.8235910295183</v>
      </c>
      <c r="H105" s="21">
        <v>1038</v>
      </c>
    </row>
    <row r="106" spans="2:8" ht="11.25">
      <c r="B106" s="16" t="s">
        <v>25</v>
      </c>
      <c r="C106" s="17">
        <v>2265002075</v>
      </c>
      <c r="D106" s="18">
        <v>155</v>
      </c>
      <c r="E106" s="18">
        <v>0</v>
      </c>
      <c r="F106" s="19">
        <v>0</v>
      </c>
      <c r="G106" s="20">
        <v>0</v>
      </c>
      <c r="H106" s="21">
        <v>0</v>
      </c>
    </row>
    <row r="107" spans="2:8" ht="11.25">
      <c r="B107" s="16" t="s">
        <v>26</v>
      </c>
      <c r="C107" s="17">
        <v>2265002054</v>
      </c>
      <c r="D107" s="18">
        <v>241</v>
      </c>
      <c r="E107" s="18">
        <v>9.473132084025993</v>
      </c>
      <c r="F107" s="19">
        <v>0.85</v>
      </c>
      <c r="G107" s="20">
        <v>1160.6222309666616</v>
      </c>
      <c r="H107" s="21">
        <v>6617</v>
      </c>
    </row>
    <row r="108" spans="2:8" ht="11.25">
      <c r="B108" s="16" t="s">
        <v>27</v>
      </c>
      <c r="C108" s="17">
        <v>2265002078</v>
      </c>
      <c r="D108" s="18">
        <v>127</v>
      </c>
      <c r="E108" s="18">
        <v>9.59933112235992</v>
      </c>
      <c r="F108" s="19">
        <v>0.41</v>
      </c>
      <c r="G108" s="20">
        <v>1185.5134273402994</v>
      </c>
      <c r="H108" s="21">
        <v>28645</v>
      </c>
    </row>
    <row r="109" spans="2:8" ht="11.25">
      <c r="B109" s="16" t="s">
        <v>28</v>
      </c>
      <c r="C109" s="17">
        <v>2265002036</v>
      </c>
      <c r="D109" s="18">
        <v>378</v>
      </c>
      <c r="E109" s="18">
        <v>0</v>
      </c>
      <c r="F109" s="19">
        <v>0</v>
      </c>
      <c r="G109" s="20">
        <v>0</v>
      </c>
      <c r="H109" s="21">
        <v>0</v>
      </c>
    </row>
    <row r="110" spans="2:8" ht="11.25">
      <c r="B110" s="16" t="s">
        <v>29</v>
      </c>
      <c r="C110" s="17">
        <v>2265003020</v>
      </c>
      <c r="D110" s="18">
        <v>1800</v>
      </c>
      <c r="E110" s="18">
        <v>73.80440704040541</v>
      </c>
      <c r="F110" s="19">
        <v>0.3</v>
      </c>
      <c r="G110" s="20">
        <v>699.3916395180308</v>
      </c>
      <c r="H110" s="21">
        <v>22101</v>
      </c>
    </row>
    <row r="111" spans="2:8" ht="11.25">
      <c r="B111" s="16" t="s">
        <v>11</v>
      </c>
      <c r="C111" s="17">
        <v>2265006005</v>
      </c>
      <c r="D111" s="18">
        <v>115</v>
      </c>
      <c r="E111" s="18">
        <v>10.463865048608895</v>
      </c>
      <c r="F111" s="19">
        <v>0.68</v>
      </c>
      <c r="G111" s="20">
        <v>1166.377545158188</v>
      </c>
      <c r="H111" s="21">
        <v>3320277</v>
      </c>
    </row>
    <row r="112" spans="2:8" ht="11.25">
      <c r="B112" s="16" t="s">
        <v>12</v>
      </c>
      <c r="C112" s="17">
        <v>2265002048</v>
      </c>
      <c r="D112" s="18">
        <v>504</v>
      </c>
      <c r="E112" s="18">
        <v>0</v>
      </c>
      <c r="F112" s="19">
        <v>0</v>
      </c>
      <c r="G112" s="20">
        <v>0</v>
      </c>
      <c r="H112" s="21">
        <v>0</v>
      </c>
    </row>
    <row r="113" spans="2:8" ht="11.25">
      <c r="B113" s="16" t="s">
        <v>30</v>
      </c>
      <c r="C113" s="17">
        <v>2265002075</v>
      </c>
      <c r="D113" s="18">
        <v>155</v>
      </c>
      <c r="E113" s="18">
        <v>0</v>
      </c>
      <c r="F113" s="19">
        <v>0</v>
      </c>
      <c r="G113" s="20">
        <v>0</v>
      </c>
      <c r="H113" s="21">
        <v>0</v>
      </c>
    </row>
    <row r="114" spans="2:8" ht="11.25">
      <c r="B114" s="16" t="s">
        <v>31</v>
      </c>
      <c r="C114" s="17">
        <v>2265002051</v>
      </c>
      <c r="D114" s="18">
        <v>450</v>
      </c>
      <c r="E114" s="18">
        <v>0</v>
      </c>
      <c r="F114" s="19">
        <v>0</v>
      </c>
      <c r="G114" s="20">
        <v>0</v>
      </c>
      <c r="H114" s="21">
        <v>0</v>
      </c>
    </row>
    <row r="115" spans="2:8" ht="11.25">
      <c r="B115" s="16" t="s">
        <v>32</v>
      </c>
      <c r="C115" s="17">
        <v>2265002081</v>
      </c>
      <c r="D115" s="18">
        <v>371</v>
      </c>
      <c r="E115" s="18">
        <v>122.64856477889838</v>
      </c>
      <c r="F115" s="19">
        <v>0.48</v>
      </c>
      <c r="G115" s="20">
        <v>848.1336129073699</v>
      </c>
      <c r="H115" s="21">
        <v>644.5</v>
      </c>
    </row>
    <row r="116" spans="2:8" ht="11.25">
      <c r="B116" s="16" t="s">
        <v>53</v>
      </c>
      <c r="C116" s="17">
        <v>2265003040</v>
      </c>
      <c r="D116" s="18">
        <v>713</v>
      </c>
      <c r="E116" s="18">
        <v>7.41143689342225</v>
      </c>
      <c r="F116" s="19">
        <v>0.54</v>
      </c>
      <c r="G116" s="20">
        <v>1184.6480880516322</v>
      </c>
      <c r="H116" s="21">
        <v>88921</v>
      </c>
    </row>
    <row r="117" spans="2:8" ht="11.25">
      <c r="B117" s="16" t="s">
        <v>33</v>
      </c>
      <c r="C117" s="17">
        <v>2265003050</v>
      </c>
      <c r="D117" s="18">
        <v>386</v>
      </c>
      <c r="E117" s="18">
        <v>41.64822844929945</v>
      </c>
      <c r="F117" s="19">
        <v>0.53</v>
      </c>
      <c r="G117" s="20">
        <v>1027.3773059861505</v>
      </c>
      <c r="H117" s="21">
        <v>2105.5</v>
      </c>
    </row>
    <row r="118" spans="2:8" ht="11.25">
      <c r="B118" s="16" t="s">
        <v>34</v>
      </c>
      <c r="C118" s="17">
        <v>2265002003</v>
      </c>
      <c r="D118" s="18">
        <v>392</v>
      </c>
      <c r="E118" s="18">
        <v>14.50932402426462</v>
      </c>
      <c r="F118" s="19">
        <v>0.66</v>
      </c>
      <c r="G118" s="20">
        <v>1121.1090541607416</v>
      </c>
      <c r="H118" s="21">
        <v>8737</v>
      </c>
    </row>
    <row r="119" spans="2:8" ht="11.25">
      <c r="B119" s="16" t="s">
        <v>35</v>
      </c>
      <c r="C119" s="17">
        <v>2265002021</v>
      </c>
      <c r="D119" s="18">
        <v>175</v>
      </c>
      <c r="E119" s="18">
        <v>9.480068829009278</v>
      </c>
      <c r="F119" s="19">
        <v>0.59</v>
      </c>
      <c r="G119" s="20">
        <v>1171.3840330134192</v>
      </c>
      <c r="H119" s="21">
        <v>105842</v>
      </c>
    </row>
    <row r="120" spans="2:8" ht="11.25">
      <c r="B120" s="16" t="s">
        <v>36</v>
      </c>
      <c r="C120" s="17">
        <v>2265002009</v>
      </c>
      <c r="D120" s="18">
        <v>166</v>
      </c>
      <c r="E120" s="18">
        <v>5.602103368406466</v>
      </c>
      <c r="F120" s="19">
        <v>0.55</v>
      </c>
      <c r="G120" s="20">
        <v>1192.7117214918387</v>
      </c>
      <c r="H120" s="21">
        <v>101027</v>
      </c>
    </row>
    <row r="121" spans="2:8" ht="11.25">
      <c r="B121" s="16" t="s">
        <v>37</v>
      </c>
      <c r="C121" s="17">
        <v>2265006030</v>
      </c>
      <c r="D121" s="18">
        <v>115</v>
      </c>
      <c r="E121" s="18">
        <v>7.4695728158368</v>
      </c>
      <c r="F121" s="19">
        <v>0.85</v>
      </c>
      <c r="G121" s="20">
        <v>1181.3590086028835</v>
      </c>
      <c r="H121" s="21">
        <v>1603051</v>
      </c>
    </row>
    <row r="122" spans="2:8" ht="11.25">
      <c r="B122" s="16" t="s">
        <v>38</v>
      </c>
      <c r="C122" s="17">
        <v>2265006010</v>
      </c>
      <c r="D122" s="18">
        <v>221</v>
      </c>
      <c r="E122" s="18">
        <v>7.67844930961541</v>
      </c>
      <c r="F122" s="19">
        <v>0.69</v>
      </c>
      <c r="G122" s="20">
        <v>1172.0935959319859</v>
      </c>
      <c r="H122" s="21">
        <v>584312</v>
      </c>
    </row>
    <row r="123" spans="2:8" ht="11.25">
      <c r="B123" s="16" t="s">
        <v>13</v>
      </c>
      <c r="C123" s="17">
        <v>2265002015</v>
      </c>
      <c r="D123" s="18">
        <v>621</v>
      </c>
      <c r="E123" s="18">
        <v>15.258677536597677</v>
      </c>
      <c r="F123" s="19">
        <v>0.62</v>
      </c>
      <c r="G123" s="20">
        <v>1118.4074450984672</v>
      </c>
      <c r="H123" s="21">
        <v>9905</v>
      </c>
    </row>
    <row r="124" spans="2:8" ht="11.25">
      <c r="B124" s="16" t="s">
        <v>39</v>
      </c>
      <c r="C124" s="17">
        <v>2265002057</v>
      </c>
      <c r="D124" s="18">
        <v>413</v>
      </c>
      <c r="E124" s="18">
        <v>64.47924102564103</v>
      </c>
      <c r="F124" s="19">
        <v>0.63</v>
      </c>
      <c r="G124" s="20">
        <v>760.1113330876716</v>
      </c>
      <c r="H124" s="21">
        <v>975</v>
      </c>
    </row>
    <row r="125" spans="2:8" ht="11.25">
      <c r="B125" s="16" t="s">
        <v>40</v>
      </c>
      <c r="C125" s="17">
        <v>2265002063</v>
      </c>
      <c r="D125" s="18">
        <v>900</v>
      </c>
      <c r="E125" s="18">
        <v>0</v>
      </c>
      <c r="F125" s="19">
        <v>0</v>
      </c>
      <c r="G125" s="20">
        <v>0</v>
      </c>
      <c r="H125" s="21">
        <v>0</v>
      </c>
    </row>
    <row r="126" spans="2:8" ht="11.25">
      <c r="B126" s="16" t="s">
        <v>14</v>
      </c>
      <c r="C126" s="17">
        <v>2265002060</v>
      </c>
      <c r="D126" s="18">
        <v>512</v>
      </c>
      <c r="E126" s="18">
        <v>71.05504823151126</v>
      </c>
      <c r="F126" s="19">
        <v>0.71</v>
      </c>
      <c r="G126" s="20">
        <v>719.7770268163085</v>
      </c>
      <c r="H126" s="21">
        <v>1555</v>
      </c>
    </row>
    <row r="127" spans="2:8" ht="11.25">
      <c r="B127" s="16" t="s">
        <v>15</v>
      </c>
      <c r="C127" s="17">
        <v>2265002018</v>
      </c>
      <c r="D127" s="18">
        <v>540</v>
      </c>
      <c r="E127" s="18">
        <v>0</v>
      </c>
      <c r="F127" s="19">
        <v>0</v>
      </c>
      <c r="G127" s="20">
        <v>0</v>
      </c>
      <c r="H127" s="21">
        <v>0</v>
      </c>
    </row>
    <row r="128" spans="2:8" ht="11.25">
      <c r="B128" s="16" t="s">
        <v>41</v>
      </c>
      <c r="C128" s="17">
        <v>2265002027</v>
      </c>
      <c r="D128" s="18">
        <v>318</v>
      </c>
      <c r="E128" s="18">
        <v>6.848950608446671</v>
      </c>
      <c r="F128" s="19">
        <v>0.72</v>
      </c>
      <c r="G128" s="20">
        <v>1177.9604928188976</v>
      </c>
      <c r="H128" s="21">
        <v>1397</v>
      </c>
    </row>
    <row r="129" spans="2:8" ht="11.25">
      <c r="B129" s="16" t="s">
        <v>42</v>
      </c>
      <c r="C129" s="17">
        <v>2265002072</v>
      </c>
      <c r="D129" s="18">
        <v>310</v>
      </c>
      <c r="E129" s="18">
        <v>30.227351340455552</v>
      </c>
      <c r="F129" s="19">
        <v>0.58</v>
      </c>
      <c r="G129" s="20">
        <v>1013.55096288745</v>
      </c>
      <c r="H129" s="21">
        <v>9922</v>
      </c>
    </row>
    <row r="130" spans="2:8" ht="11.25">
      <c r="B130" s="16" t="s">
        <v>43</v>
      </c>
      <c r="C130" s="17">
        <v>2265002024</v>
      </c>
      <c r="D130" s="18">
        <v>488</v>
      </c>
      <c r="E130" s="18">
        <v>9.513624234943167</v>
      </c>
      <c r="F130" s="19">
        <v>0.49</v>
      </c>
      <c r="G130" s="20">
        <v>1163.7495377844732</v>
      </c>
      <c r="H130" s="21">
        <v>19443</v>
      </c>
    </row>
    <row r="131" spans="2:8" ht="11.25">
      <c r="B131" s="16" t="s">
        <v>44</v>
      </c>
      <c r="C131" s="17">
        <v>2265003030</v>
      </c>
      <c r="D131" s="18">
        <v>516</v>
      </c>
      <c r="E131" s="18">
        <v>22.917199716043537</v>
      </c>
      <c r="F131" s="19">
        <v>0.71</v>
      </c>
      <c r="G131" s="20">
        <v>1019.7796231561421</v>
      </c>
      <c r="H131" s="21">
        <v>21130</v>
      </c>
    </row>
    <row r="132" spans="2:8" ht="11.25">
      <c r="B132" s="16" t="s">
        <v>16</v>
      </c>
      <c r="C132" s="17">
        <v>2265002066</v>
      </c>
      <c r="D132" s="18">
        <v>870</v>
      </c>
      <c r="E132" s="18">
        <v>19.55274033696729</v>
      </c>
      <c r="F132" s="19">
        <v>0.48</v>
      </c>
      <c r="G132" s="20">
        <v>1138.3950103100892</v>
      </c>
      <c r="H132" s="21">
        <v>8072</v>
      </c>
    </row>
    <row r="133" spans="2:8" ht="11.25">
      <c r="B133" s="16" t="s">
        <v>45</v>
      </c>
      <c r="C133" s="17">
        <v>2265002030</v>
      </c>
      <c r="D133" s="18">
        <v>402</v>
      </c>
      <c r="E133" s="18">
        <v>12.186469157423623</v>
      </c>
      <c r="F133" s="19">
        <v>0.66</v>
      </c>
      <c r="G133" s="20">
        <v>1144.9942408363859</v>
      </c>
      <c r="H133" s="21">
        <v>30834</v>
      </c>
    </row>
    <row r="134" spans="2:8" ht="11.25">
      <c r="B134" s="16" t="s">
        <v>47</v>
      </c>
      <c r="C134" s="17">
        <v>2265002051</v>
      </c>
      <c r="D134" s="18">
        <v>450</v>
      </c>
      <c r="E134" s="18">
        <v>0</v>
      </c>
      <c r="F134" s="19">
        <v>0</v>
      </c>
      <c r="G134" s="20">
        <v>0</v>
      </c>
      <c r="H134" s="21">
        <v>0</v>
      </c>
    </row>
    <row r="135" spans="2:8" ht="12" thickBot="1">
      <c r="B135" s="22" t="s">
        <v>46</v>
      </c>
      <c r="C135" s="23">
        <v>2265006025</v>
      </c>
      <c r="D135" s="24">
        <v>408</v>
      </c>
      <c r="E135" s="24">
        <v>17.312767001614414</v>
      </c>
      <c r="F135" s="25">
        <v>0.68</v>
      </c>
      <c r="G135" s="26">
        <v>1130.3262814455725</v>
      </c>
      <c r="H135" s="27">
        <v>174057</v>
      </c>
    </row>
    <row r="136" ht="12" thickBot="1"/>
    <row r="137" spans="2:8" ht="15" customHeight="1">
      <c r="B137" s="1073" t="s">
        <v>64</v>
      </c>
      <c r="C137" s="1074"/>
      <c r="D137" s="1074"/>
      <c r="E137" s="1074"/>
      <c r="F137" s="1074"/>
      <c r="G137" s="1074"/>
      <c r="H137" s="1075"/>
    </row>
    <row r="138" spans="2:8" ht="11.25">
      <c r="B138" s="6"/>
      <c r="C138" s="7" t="s">
        <v>50</v>
      </c>
      <c r="D138" s="7" t="s">
        <v>57</v>
      </c>
      <c r="E138" s="7" t="s">
        <v>52</v>
      </c>
      <c r="F138" s="7" t="s">
        <v>18</v>
      </c>
      <c r="G138" s="7" t="s">
        <v>67</v>
      </c>
      <c r="H138" s="8" t="s">
        <v>49</v>
      </c>
    </row>
    <row r="139" spans="2:8" ht="11.25">
      <c r="B139" s="9" t="s">
        <v>17</v>
      </c>
      <c r="C139" s="10">
        <v>0</v>
      </c>
      <c r="D139" s="10" t="s">
        <v>58</v>
      </c>
      <c r="E139" s="10" t="s">
        <v>54</v>
      </c>
      <c r="F139" s="11" t="s">
        <v>71</v>
      </c>
      <c r="G139" s="11" t="s">
        <v>51</v>
      </c>
      <c r="H139" s="12" t="s">
        <v>71</v>
      </c>
    </row>
    <row r="140" spans="2:8" ht="11.25">
      <c r="B140" s="13" t="s">
        <v>55</v>
      </c>
      <c r="C140" s="14">
        <v>0</v>
      </c>
      <c r="D140" s="14">
        <v>0</v>
      </c>
      <c r="E140" s="14">
        <v>0</v>
      </c>
      <c r="F140" s="14">
        <v>0</v>
      </c>
      <c r="G140" s="14">
        <v>0</v>
      </c>
      <c r="H140" s="15">
        <v>0</v>
      </c>
    </row>
    <row r="141" spans="2:8" ht="11.25">
      <c r="B141" s="16" t="s">
        <v>19</v>
      </c>
      <c r="C141" s="17">
        <v>2265003010</v>
      </c>
      <c r="D141" s="18">
        <v>361</v>
      </c>
      <c r="E141" s="18">
        <v>36.484264596376065</v>
      </c>
      <c r="F141" s="19">
        <v>0.46</v>
      </c>
      <c r="G141" s="20">
        <v>963.0007460208564</v>
      </c>
      <c r="H141" s="21">
        <v>36259</v>
      </c>
    </row>
    <row r="142" spans="2:8" ht="11.25">
      <c r="B142" s="16" t="s">
        <v>20</v>
      </c>
      <c r="C142" s="17">
        <v>2265006015</v>
      </c>
      <c r="D142" s="18">
        <v>484</v>
      </c>
      <c r="E142" s="18">
        <v>12.089439388573643</v>
      </c>
      <c r="F142" s="19">
        <v>0.56</v>
      </c>
      <c r="G142" s="20">
        <v>1147.8791116459195</v>
      </c>
      <c r="H142" s="21">
        <v>121421</v>
      </c>
    </row>
    <row r="143" spans="2:8" ht="11.25">
      <c r="B143" s="16" t="s">
        <v>21</v>
      </c>
      <c r="C143" s="17">
        <v>2265002033</v>
      </c>
      <c r="D143" s="18">
        <v>107</v>
      </c>
      <c r="E143" s="18">
        <v>3.6157726426587398</v>
      </c>
      <c r="F143" s="19">
        <v>0.79</v>
      </c>
      <c r="G143" s="20">
        <v>1142.6475798709848</v>
      </c>
      <c r="H143" s="21">
        <v>102605</v>
      </c>
    </row>
    <row r="144" spans="2:8" ht="11.25">
      <c r="B144" s="16" t="s">
        <v>22</v>
      </c>
      <c r="C144" s="17">
        <v>2265002042</v>
      </c>
      <c r="D144" s="18">
        <v>84</v>
      </c>
      <c r="E144" s="18">
        <v>7.459801764104417</v>
      </c>
      <c r="F144" s="19">
        <v>0.59</v>
      </c>
      <c r="G144" s="20">
        <v>1184.148259396456</v>
      </c>
      <c r="H144" s="21">
        <v>243523</v>
      </c>
    </row>
    <row r="145" spans="2:8" ht="11.25">
      <c r="B145" s="16" t="s">
        <v>23</v>
      </c>
      <c r="C145" s="17">
        <v>2265002039</v>
      </c>
      <c r="D145" s="18">
        <v>610</v>
      </c>
      <c r="E145" s="18">
        <v>6.711473260241473</v>
      </c>
      <c r="F145" s="19">
        <v>0.78</v>
      </c>
      <c r="G145" s="20">
        <v>921.9278607493899</v>
      </c>
      <c r="H145" s="21">
        <v>104526</v>
      </c>
    </row>
    <row r="146" spans="2:8" ht="11.25">
      <c r="B146" s="16" t="s">
        <v>24</v>
      </c>
      <c r="C146" s="17">
        <v>2265002045</v>
      </c>
      <c r="D146" s="18">
        <v>415</v>
      </c>
      <c r="E146" s="18">
        <v>49.27420038535646</v>
      </c>
      <c r="F146" s="19">
        <v>0.47</v>
      </c>
      <c r="G146" s="20">
        <v>962.8235910295183</v>
      </c>
      <c r="H146" s="21">
        <v>1038</v>
      </c>
    </row>
    <row r="147" spans="2:8" ht="11.25">
      <c r="B147" s="16" t="s">
        <v>25</v>
      </c>
      <c r="C147" s="17">
        <v>2265002075</v>
      </c>
      <c r="D147" s="18">
        <v>0</v>
      </c>
      <c r="E147" s="18">
        <v>0</v>
      </c>
      <c r="F147" s="19">
        <v>0</v>
      </c>
      <c r="G147" s="20">
        <v>0</v>
      </c>
      <c r="H147" s="21">
        <v>0</v>
      </c>
    </row>
    <row r="148" spans="2:8" ht="11.25">
      <c r="B148" s="16" t="s">
        <v>26</v>
      </c>
      <c r="C148" s="17">
        <v>2265002054</v>
      </c>
      <c r="D148" s="18">
        <v>241</v>
      </c>
      <c r="E148" s="18">
        <v>8.129233981550735</v>
      </c>
      <c r="F148" s="19">
        <v>0.85</v>
      </c>
      <c r="G148" s="20">
        <v>1148.9216594672648</v>
      </c>
      <c r="H148" s="21">
        <v>8022</v>
      </c>
    </row>
    <row r="149" spans="2:8" ht="11.25">
      <c r="B149" s="16" t="s">
        <v>27</v>
      </c>
      <c r="C149" s="17">
        <v>2265002078</v>
      </c>
      <c r="D149" s="18">
        <v>127</v>
      </c>
      <c r="E149" s="18">
        <v>9.59933112235992</v>
      </c>
      <c r="F149" s="19">
        <v>0.41</v>
      </c>
      <c r="G149" s="20">
        <v>1185.5134273402991</v>
      </c>
      <c r="H149" s="21">
        <v>28645</v>
      </c>
    </row>
    <row r="150" spans="2:8" ht="11.25">
      <c r="B150" s="16" t="s">
        <v>28</v>
      </c>
      <c r="C150" s="17">
        <v>2265002036</v>
      </c>
      <c r="D150" s="18">
        <v>0</v>
      </c>
      <c r="E150" s="18">
        <v>0</v>
      </c>
      <c r="F150" s="19">
        <v>0</v>
      </c>
      <c r="G150" s="20">
        <v>0</v>
      </c>
      <c r="H150" s="21">
        <v>0</v>
      </c>
    </row>
    <row r="151" spans="2:8" ht="11.25">
      <c r="B151" s="16" t="s">
        <v>29</v>
      </c>
      <c r="C151" s="17">
        <v>2265003020</v>
      </c>
      <c r="D151" s="18">
        <v>1800</v>
      </c>
      <c r="E151" s="18">
        <v>73.80440704040541</v>
      </c>
      <c r="F151" s="19">
        <v>0.3</v>
      </c>
      <c r="G151" s="20">
        <v>699.3916395180308</v>
      </c>
      <c r="H151" s="21">
        <v>22101</v>
      </c>
    </row>
    <row r="152" spans="2:8" ht="11.25">
      <c r="B152" s="16" t="s">
        <v>11</v>
      </c>
      <c r="C152" s="17">
        <v>2265006005</v>
      </c>
      <c r="D152" s="18">
        <v>115</v>
      </c>
      <c r="E152" s="18">
        <v>10.193982434262427</v>
      </c>
      <c r="F152" s="19">
        <v>0.68</v>
      </c>
      <c r="G152" s="20">
        <v>1164.160846489184</v>
      </c>
      <c r="H152" s="21">
        <v>3424906</v>
      </c>
    </row>
    <row r="153" spans="2:8" ht="11.25">
      <c r="B153" s="16" t="s">
        <v>12</v>
      </c>
      <c r="C153" s="17">
        <v>2265002048</v>
      </c>
      <c r="D153" s="18">
        <v>0</v>
      </c>
      <c r="E153" s="18">
        <v>0</v>
      </c>
      <c r="F153" s="19">
        <v>0</v>
      </c>
      <c r="G153" s="20">
        <v>0</v>
      </c>
      <c r="H153" s="21">
        <v>0</v>
      </c>
    </row>
    <row r="154" spans="2:8" ht="11.25">
      <c r="B154" s="16" t="s">
        <v>30</v>
      </c>
      <c r="C154" s="17">
        <v>2265002075</v>
      </c>
      <c r="D154" s="18">
        <v>0</v>
      </c>
      <c r="E154" s="18">
        <v>0</v>
      </c>
      <c r="F154" s="19">
        <v>0</v>
      </c>
      <c r="G154" s="20">
        <v>0</v>
      </c>
      <c r="H154" s="21">
        <v>0</v>
      </c>
    </row>
    <row r="155" spans="2:8" ht="11.25">
      <c r="B155" s="16" t="s">
        <v>31</v>
      </c>
      <c r="C155" s="17">
        <v>2265002051</v>
      </c>
      <c r="D155" s="18">
        <v>0</v>
      </c>
      <c r="E155" s="18">
        <v>0</v>
      </c>
      <c r="F155" s="19">
        <v>0</v>
      </c>
      <c r="G155" s="20">
        <v>0</v>
      </c>
      <c r="H155" s="21">
        <v>0</v>
      </c>
    </row>
    <row r="156" spans="2:8" ht="11.25">
      <c r="B156" s="16" t="s">
        <v>32</v>
      </c>
      <c r="C156" s="17">
        <v>2265002081</v>
      </c>
      <c r="D156" s="18">
        <v>371</v>
      </c>
      <c r="E156" s="18">
        <v>122.64856477889838</v>
      </c>
      <c r="F156" s="19">
        <v>0.48</v>
      </c>
      <c r="G156" s="20">
        <v>848.1336129073699</v>
      </c>
      <c r="H156" s="21">
        <v>644.5</v>
      </c>
    </row>
    <row r="157" spans="2:8" ht="11.25">
      <c r="B157" s="16" t="s">
        <v>53</v>
      </c>
      <c r="C157" s="17">
        <v>2265003040</v>
      </c>
      <c r="D157" s="18">
        <v>713</v>
      </c>
      <c r="E157" s="18">
        <v>7.402036934337706</v>
      </c>
      <c r="F157" s="19">
        <v>0.54</v>
      </c>
      <c r="G157" s="20">
        <v>1184.489015336475</v>
      </c>
      <c r="H157" s="21">
        <v>89077</v>
      </c>
    </row>
    <row r="158" spans="2:8" ht="11.25">
      <c r="B158" s="16" t="s">
        <v>33</v>
      </c>
      <c r="C158" s="17">
        <v>2265003050</v>
      </c>
      <c r="D158" s="18">
        <v>386</v>
      </c>
      <c r="E158" s="18">
        <v>41.64822844929945</v>
      </c>
      <c r="F158" s="19">
        <v>0.53</v>
      </c>
      <c r="G158" s="20">
        <v>1027.3773059861505</v>
      </c>
      <c r="H158" s="21">
        <v>2105.5</v>
      </c>
    </row>
    <row r="159" spans="2:8" ht="11.25">
      <c r="B159" s="16" t="s">
        <v>34</v>
      </c>
      <c r="C159" s="17">
        <v>2265002003</v>
      </c>
      <c r="D159" s="18">
        <v>392</v>
      </c>
      <c r="E159" s="18">
        <v>14.50932402426462</v>
      </c>
      <c r="F159" s="19">
        <v>0.66</v>
      </c>
      <c r="G159" s="20">
        <v>1121.1090541607416</v>
      </c>
      <c r="H159" s="21">
        <v>8737</v>
      </c>
    </row>
    <row r="160" spans="2:8" ht="11.25">
      <c r="B160" s="16" t="s">
        <v>35</v>
      </c>
      <c r="C160" s="17">
        <v>2265002021</v>
      </c>
      <c r="D160" s="18">
        <v>175</v>
      </c>
      <c r="E160" s="18">
        <v>8.585735662013201</v>
      </c>
      <c r="F160" s="19">
        <v>0.59</v>
      </c>
      <c r="G160" s="20">
        <v>1162.3242771098082</v>
      </c>
      <c r="H160" s="21">
        <v>119839</v>
      </c>
    </row>
    <row r="161" spans="2:8" ht="11.25">
      <c r="B161" s="16" t="s">
        <v>36</v>
      </c>
      <c r="C161" s="17">
        <v>2265002009</v>
      </c>
      <c r="D161" s="18">
        <v>166</v>
      </c>
      <c r="E161" s="18">
        <v>5.102534421182799</v>
      </c>
      <c r="F161" s="19">
        <v>0.55</v>
      </c>
      <c r="G161" s="20">
        <v>1180.2139562925604</v>
      </c>
      <c r="H161" s="21">
        <v>115641</v>
      </c>
    </row>
    <row r="162" spans="2:8" ht="11.25">
      <c r="B162" s="16" t="s">
        <v>37</v>
      </c>
      <c r="C162" s="17">
        <v>2265006030</v>
      </c>
      <c r="D162" s="18">
        <v>115</v>
      </c>
      <c r="E162" s="18">
        <v>7.4695728158368</v>
      </c>
      <c r="F162" s="19">
        <v>0.85</v>
      </c>
      <c r="G162" s="20">
        <v>1181.3590086028835</v>
      </c>
      <c r="H162" s="21">
        <v>1603051</v>
      </c>
    </row>
    <row r="163" spans="2:8" ht="11.25">
      <c r="B163" s="16" t="s">
        <v>38</v>
      </c>
      <c r="C163" s="17">
        <v>2265006010</v>
      </c>
      <c r="D163" s="18">
        <v>221</v>
      </c>
      <c r="E163" s="18">
        <v>5.392559460604304</v>
      </c>
      <c r="F163" s="19">
        <v>0.69</v>
      </c>
      <c r="G163" s="20">
        <v>1142.2844720048945</v>
      </c>
      <c r="H163" s="21">
        <v>941943</v>
      </c>
    </row>
    <row r="164" spans="2:8" ht="11.25">
      <c r="B164" s="16" t="s">
        <v>13</v>
      </c>
      <c r="C164" s="17">
        <v>2265002015</v>
      </c>
      <c r="D164" s="18">
        <v>621</v>
      </c>
      <c r="E164" s="18">
        <v>15.258677536597679</v>
      </c>
      <c r="F164" s="19">
        <v>0.62</v>
      </c>
      <c r="G164" s="20">
        <v>1118.4074450984672</v>
      </c>
      <c r="H164" s="21">
        <v>9905</v>
      </c>
    </row>
    <row r="165" spans="2:8" ht="11.25">
      <c r="B165" s="16" t="s">
        <v>39</v>
      </c>
      <c r="C165" s="17">
        <v>2265002057</v>
      </c>
      <c r="D165" s="18">
        <v>413</v>
      </c>
      <c r="E165" s="18">
        <v>64.47924102564103</v>
      </c>
      <c r="F165" s="19">
        <v>0.63</v>
      </c>
      <c r="G165" s="20">
        <v>760.1113330876716</v>
      </c>
      <c r="H165" s="21">
        <v>975</v>
      </c>
    </row>
    <row r="166" spans="2:8" ht="11.25">
      <c r="B166" s="16" t="s">
        <v>40</v>
      </c>
      <c r="C166" s="17">
        <v>2265002063</v>
      </c>
      <c r="D166" s="18">
        <v>0</v>
      </c>
      <c r="E166" s="18">
        <v>0</v>
      </c>
      <c r="F166" s="19">
        <v>0</v>
      </c>
      <c r="G166" s="20">
        <v>0</v>
      </c>
      <c r="H166" s="21">
        <v>0</v>
      </c>
    </row>
    <row r="167" spans="2:8" ht="11.25">
      <c r="B167" s="16" t="s">
        <v>14</v>
      </c>
      <c r="C167" s="17">
        <v>2265002060</v>
      </c>
      <c r="D167" s="18">
        <v>512</v>
      </c>
      <c r="E167" s="18">
        <v>71.05504823151126</v>
      </c>
      <c r="F167" s="19">
        <v>0.71</v>
      </c>
      <c r="G167" s="20">
        <v>719.7770268163085</v>
      </c>
      <c r="H167" s="21">
        <v>1555</v>
      </c>
    </row>
    <row r="168" spans="2:8" ht="11.25">
      <c r="B168" s="16" t="s">
        <v>15</v>
      </c>
      <c r="C168" s="17">
        <v>2265002018</v>
      </c>
      <c r="D168" s="18">
        <v>0</v>
      </c>
      <c r="E168" s="18">
        <v>0</v>
      </c>
      <c r="F168" s="19">
        <v>0</v>
      </c>
      <c r="G168" s="20">
        <v>0</v>
      </c>
      <c r="H168" s="21">
        <v>0</v>
      </c>
    </row>
    <row r="169" spans="2:8" ht="11.25">
      <c r="B169" s="16" t="s">
        <v>41</v>
      </c>
      <c r="C169" s="17">
        <v>2265002027</v>
      </c>
      <c r="D169" s="18">
        <v>318</v>
      </c>
      <c r="E169" s="18">
        <v>6.725842508710802</v>
      </c>
      <c r="F169" s="19">
        <v>0.72</v>
      </c>
      <c r="G169" s="20">
        <v>1175.7322907958187</v>
      </c>
      <c r="H169" s="21">
        <v>1435</v>
      </c>
    </row>
    <row r="170" spans="2:8" ht="11.25">
      <c r="B170" s="16" t="s">
        <v>42</v>
      </c>
      <c r="C170" s="17">
        <v>2265002072</v>
      </c>
      <c r="D170" s="18">
        <v>310</v>
      </c>
      <c r="E170" s="18">
        <v>30.22735134045555</v>
      </c>
      <c r="F170" s="19">
        <v>0.58</v>
      </c>
      <c r="G170" s="20">
        <v>1013.55096288745</v>
      </c>
      <c r="H170" s="21">
        <v>9922</v>
      </c>
    </row>
    <row r="171" spans="2:8" ht="11.25">
      <c r="B171" s="16" t="s">
        <v>43</v>
      </c>
      <c r="C171" s="17">
        <v>2265002024</v>
      </c>
      <c r="D171" s="18">
        <v>488</v>
      </c>
      <c r="E171" s="18">
        <v>9.513624234943167</v>
      </c>
      <c r="F171" s="19">
        <v>0.49</v>
      </c>
      <c r="G171" s="20">
        <v>1163.7495377844732</v>
      </c>
      <c r="H171" s="21">
        <v>19443</v>
      </c>
    </row>
    <row r="172" spans="2:8" ht="11.25">
      <c r="B172" s="16" t="s">
        <v>44</v>
      </c>
      <c r="C172" s="17">
        <v>2265003030</v>
      </c>
      <c r="D172" s="18">
        <v>516</v>
      </c>
      <c r="E172" s="18">
        <v>19.995442852464382</v>
      </c>
      <c r="F172" s="19">
        <v>0.71</v>
      </c>
      <c r="G172" s="20">
        <v>1029.7752747909483</v>
      </c>
      <c r="H172" s="21">
        <v>24428</v>
      </c>
    </row>
    <row r="173" spans="2:8" ht="11.25">
      <c r="B173" s="16" t="s">
        <v>16</v>
      </c>
      <c r="C173" s="17">
        <v>2265002066</v>
      </c>
      <c r="D173" s="18">
        <v>870</v>
      </c>
      <c r="E173" s="18">
        <v>19.55274033696729</v>
      </c>
      <c r="F173" s="19">
        <v>0.48</v>
      </c>
      <c r="G173" s="20">
        <v>1138.3950103100892</v>
      </c>
      <c r="H173" s="21">
        <v>8072</v>
      </c>
    </row>
    <row r="174" spans="2:8" ht="11.25">
      <c r="B174" s="16" t="s">
        <v>45</v>
      </c>
      <c r="C174" s="17">
        <v>2265002030</v>
      </c>
      <c r="D174" s="18">
        <v>402</v>
      </c>
      <c r="E174" s="18">
        <v>12.186469157423623</v>
      </c>
      <c r="F174" s="19">
        <v>0.66</v>
      </c>
      <c r="G174" s="20">
        <v>1144.9942408363856</v>
      </c>
      <c r="H174" s="21">
        <v>30834</v>
      </c>
    </row>
    <row r="175" spans="2:8" ht="11.25">
      <c r="B175" s="16" t="s">
        <v>47</v>
      </c>
      <c r="C175" s="17">
        <v>2265002051</v>
      </c>
      <c r="D175" s="18">
        <v>0</v>
      </c>
      <c r="E175" s="18">
        <v>0</v>
      </c>
      <c r="F175" s="19">
        <v>0</v>
      </c>
      <c r="G175" s="20">
        <v>0</v>
      </c>
      <c r="H175" s="21">
        <v>0</v>
      </c>
    </row>
    <row r="176" spans="2:8" ht="12" thickBot="1">
      <c r="B176" s="22" t="s">
        <v>46</v>
      </c>
      <c r="C176" s="23">
        <v>2265006025</v>
      </c>
      <c r="D176" s="24">
        <v>408</v>
      </c>
      <c r="E176" s="24">
        <v>17.312767001614414</v>
      </c>
      <c r="F176" s="25">
        <v>0.68</v>
      </c>
      <c r="G176" s="26">
        <v>1130.3262814455725</v>
      </c>
      <c r="H176" s="27">
        <v>174057</v>
      </c>
    </row>
    <row r="177" ht="12" thickBot="1"/>
    <row r="178" spans="2:8" ht="15" customHeight="1">
      <c r="B178" s="1073" t="s">
        <v>65</v>
      </c>
      <c r="C178" s="1074"/>
      <c r="D178" s="1074"/>
      <c r="E178" s="1074"/>
      <c r="F178" s="1074"/>
      <c r="G178" s="1074"/>
      <c r="H178" s="1075"/>
    </row>
    <row r="179" spans="2:8" ht="11.25">
      <c r="B179" s="6"/>
      <c r="C179" s="7" t="s">
        <v>50</v>
      </c>
      <c r="D179" s="7" t="s">
        <v>57</v>
      </c>
      <c r="E179" s="7" t="s">
        <v>52</v>
      </c>
      <c r="F179" s="7" t="s">
        <v>18</v>
      </c>
      <c r="G179" s="7" t="s">
        <v>67</v>
      </c>
      <c r="H179" s="8" t="s">
        <v>49</v>
      </c>
    </row>
    <row r="180" spans="2:8" ht="11.25">
      <c r="B180" s="9" t="s">
        <v>17</v>
      </c>
      <c r="C180" s="10">
        <v>0</v>
      </c>
      <c r="D180" s="10" t="s">
        <v>58</v>
      </c>
      <c r="E180" s="10" t="s">
        <v>54</v>
      </c>
      <c r="F180" s="11" t="s">
        <v>71</v>
      </c>
      <c r="G180" s="11" t="s">
        <v>51</v>
      </c>
      <c r="H180" s="12" t="s">
        <v>71</v>
      </c>
    </row>
    <row r="181" spans="2:8" ht="11.25">
      <c r="B181" s="13" t="s">
        <v>55</v>
      </c>
      <c r="C181" s="14">
        <v>0</v>
      </c>
      <c r="D181" s="14">
        <v>0</v>
      </c>
      <c r="E181" s="14">
        <v>0</v>
      </c>
      <c r="F181" s="14">
        <v>0</v>
      </c>
      <c r="G181" s="14">
        <v>0</v>
      </c>
      <c r="H181" s="15">
        <v>0</v>
      </c>
    </row>
    <row r="182" spans="2:8" ht="11.25">
      <c r="B182" s="16" t="s">
        <v>19</v>
      </c>
      <c r="C182" s="17">
        <v>2267003010</v>
      </c>
      <c r="D182" s="18">
        <v>361</v>
      </c>
      <c r="E182" s="18">
        <v>51.48370946154639</v>
      </c>
      <c r="F182" s="19">
        <v>0.46</v>
      </c>
      <c r="G182" s="20">
        <v>732.9552296640672</v>
      </c>
      <c r="H182" s="21">
        <v>19426</v>
      </c>
    </row>
    <row r="183" spans="2:8" ht="11.25">
      <c r="B183" s="16" t="s">
        <v>20</v>
      </c>
      <c r="C183" s="17">
        <v>2267006015</v>
      </c>
      <c r="D183" s="18">
        <v>484</v>
      </c>
      <c r="E183" s="18">
        <v>62.805143950070466</v>
      </c>
      <c r="F183" s="19">
        <v>0.56</v>
      </c>
      <c r="G183" s="20">
        <v>674.7670198771397</v>
      </c>
      <c r="H183" s="21">
        <v>7450.5</v>
      </c>
    </row>
    <row r="184" spans="2:8" ht="11.25">
      <c r="B184" s="16" t="s">
        <v>21</v>
      </c>
      <c r="C184" s="17">
        <v>2267002033</v>
      </c>
      <c r="D184" s="18">
        <v>107</v>
      </c>
      <c r="E184" s="18">
        <v>77.63520188161505</v>
      </c>
      <c r="F184" s="19">
        <v>0.79</v>
      </c>
      <c r="G184" s="20">
        <v>777.1146282036175</v>
      </c>
      <c r="H184" s="21">
        <v>1275.5</v>
      </c>
    </row>
    <row r="185" spans="2:8" ht="11.25">
      <c r="B185" s="16" t="s">
        <v>22</v>
      </c>
      <c r="C185" s="17">
        <v>2267002042</v>
      </c>
      <c r="D185" s="18">
        <v>84</v>
      </c>
      <c r="E185" s="18">
        <v>0</v>
      </c>
      <c r="F185" s="19">
        <v>0</v>
      </c>
      <c r="G185" s="20">
        <v>0</v>
      </c>
      <c r="H185" s="21">
        <v>0</v>
      </c>
    </row>
    <row r="186" spans="2:8" ht="11.25">
      <c r="B186" s="16" t="s">
        <v>23</v>
      </c>
      <c r="C186" s="17">
        <v>2267002039</v>
      </c>
      <c r="D186" s="18">
        <v>610</v>
      </c>
      <c r="E186" s="18">
        <v>45.71614066726781</v>
      </c>
      <c r="F186" s="19">
        <v>0.78</v>
      </c>
      <c r="G186" s="20">
        <v>637.9154619061704</v>
      </c>
      <c r="H186" s="21">
        <v>1109</v>
      </c>
    </row>
    <row r="187" spans="2:8" ht="11.25">
      <c r="B187" s="16" t="s">
        <v>24</v>
      </c>
      <c r="C187" s="17">
        <v>2267002045</v>
      </c>
      <c r="D187" s="18">
        <v>415</v>
      </c>
      <c r="E187" s="18">
        <v>75.26952224052718</v>
      </c>
      <c r="F187" s="19">
        <v>0.47</v>
      </c>
      <c r="G187" s="20">
        <v>759.5975778327137</v>
      </c>
      <c r="H187" s="21">
        <v>607</v>
      </c>
    </row>
    <row r="188" spans="2:8" ht="11.25">
      <c r="B188" s="16" t="s">
        <v>25</v>
      </c>
      <c r="C188" s="17">
        <v>2267002075</v>
      </c>
      <c r="D188" s="18">
        <v>155</v>
      </c>
      <c r="E188" s="18">
        <v>0</v>
      </c>
      <c r="F188" s="19">
        <v>0</v>
      </c>
      <c r="G188" s="20">
        <v>0</v>
      </c>
      <c r="H188" s="21">
        <v>0</v>
      </c>
    </row>
    <row r="189" spans="2:8" ht="11.25">
      <c r="B189" s="16" t="s">
        <v>26</v>
      </c>
      <c r="C189" s="17">
        <v>2267002054</v>
      </c>
      <c r="D189" s="18">
        <v>241</v>
      </c>
      <c r="E189" s="18">
        <v>62.53</v>
      </c>
      <c r="F189" s="19">
        <v>0.85</v>
      </c>
      <c r="G189" s="20">
        <v>757.0836692571428</v>
      </c>
      <c r="H189" s="21">
        <v>115</v>
      </c>
    </row>
    <row r="190" spans="2:8" ht="11.25">
      <c r="B190" s="16" t="s">
        <v>27</v>
      </c>
      <c r="C190" s="17">
        <v>2267002078</v>
      </c>
      <c r="D190" s="18">
        <v>127</v>
      </c>
      <c r="E190" s="18">
        <v>0</v>
      </c>
      <c r="F190" s="19">
        <v>0</v>
      </c>
      <c r="G190" s="20">
        <v>0</v>
      </c>
      <c r="H190" s="21">
        <v>0</v>
      </c>
    </row>
    <row r="191" spans="2:8" ht="11.25">
      <c r="B191" s="16" t="s">
        <v>28</v>
      </c>
      <c r="C191" s="17">
        <v>2267002036</v>
      </c>
      <c r="D191" s="18">
        <v>378</v>
      </c>
      <c r="E191" s="18">
        <v>0</v>
      </c>
      <c r="F191" s="19">
        <v>0</v>
      </c>
      <c r="G191" s="20">
        <v>0</v>
      </c>
      <c r="H191" s="21">
        <v>0</v>
      </c>
    </row>
    <row r="192" spans="2:8" ht="11.25">
      <c r="B192" s="16" t="s">
        <v>29</v>
      </c>
      <c r="C192" s="17">
        <v>2267003020</v>
      </c>
      <c r="D192" s="18">
        <v>1800</v>
      </c>
      <c r="E192" s="18">
        <v>70.87012684023286</v>
      </c>
      <c r="F192" s="19">
        <v>0.3</v>
      </c>
      <c r="G192" s="20">
        <v>636.27775936318</v>
      </c>
      <c r="H192" s="21">
        <v>376379</v>
      </c>
    </row>
    <row r="193" spans="2:8" ht="11.25">
      <c r="B193" s="16" t="s">
        <v>11</v>
      </c>
      <c r="C193" s="17">
        <v>2267006005</v>
      </c>
      <c r="D193" s="18">
        <v>115</v>
      </c>
      <c r="E193" s="18">
        <v>53.10485474006116</v>
      </c>
      <c r="F193" s="19">
        <v>0.68</v>
      </c>
      <c r="G193" s="20">
        <v>775.5657035003483</v>
      </c>
      <c r="H193" s="21">
        <v>102024</v>
      </c>
    </row>
    <row r="194" spans="2:8" ht="11.25">
      <c r="B194" s="16" t="s">
        <v>12</v>
      </c>
      <c r="C194" s="17">
        <v>2267002048</v>
      </c>
      <c r="D194" s="18">
        <v>504</v>
      </c>
      <c r="E194" s="18">
        <v>0</v>
      </c>
      <c r="F194" s="19">
        <v>0</v>
      </c>
      <c r="G194" s="20">
        <v>0</v>
      </c>
      <c r="H194" s="21">
        <v>0</v>
      </c>
    </row>
    <row r="195" spans="2:8" ht="11.25">
      <c r="B195" s="16" t="s">
        <v>30</v>
      </c>
      <c r="C195" s="17">
        <v>2267002075</v>
      </c>
      <c r="D195" s="18">
        <v>155</v>
      </c>
      <c r="E195" s="18">
        <v>0</v>
      </c>
      <c r="F195" s="19">
        <v>0</v>
      </c>
      <c r="G195" s="20">
        <v>0</v>
      </c>
      <c r="H195" s="21">
        <v>0</v>
      </c>
    </row>
    <row r="196" spans="2:8" ht="11.25">
      <c r="B196" s="16" t="s">
        <v>31</v>
      </c>
      <c r="C196" s="17">
        <v>2267002051</v>
      </c>
      <c r="D196" s="18">
        <v>450</v>
      </c>
      <c r="E196" s="18">
        <v>0</v>
      </c>
      <c r="F196" s="19">
        <v>0</v>
      </c>
      <c r="G196" s="20">
        <v>0</v>
      </c>
      <c r="H196" s="21">
        <v>0</v>
      </c>
    </row>
    <row r="197" spans="2:8" ht="11.25">
      <c r="B197" s="16" t="s">
        <v>32</v>
      </c>
      <c r="C197" s="17">
        <v>2267002081</v>
      </c>
      <c r="D197" s="18">
        <v>371</v>
      </c>
      <c r="E197" s="18">
        <v>126</v>
      </c>
      <c r="F197" s="19">
        <v>0.48</v>
      </c>
      <c r="G197" s="20">
        <v>766.2797245714286</v>
      </c>
      <c r="H197" s="21">
        <v>596.5</v>
      </c>
    </row>
    <row r="198" spans="2:8" ht="11.25">
      <c r="B198" s="16" t="s">
        <v>53</v>
      </c>
      <c r="C198" s="17">
        <v>2267003040</v>
      </c>
      <c r="D198" s="18">
        <v>713</v>
      </c>
      <c r="E198" s="18">
        <v>65.78320304392943</v>
      </c>
      <c r="F198" s="19">
        <v>0.54</v>
      </c>
      <c r="G198" s="20">
        <v>647.6459515854723</v>
      </c>
      <c r="H198" s="21">
        <v>1445.5</v>
      </c>
    </row>
    <row r="199" spans="2:8" ht="11.25">
      <c r="B199" s="16" t="s">
        <v>33</v>
      </c>
      <c r="C199" s="17">
        <v>2267003050</v>
      </c>
      <c r="D199" s="18">
        <v>386</v>
      </c>
      <c r="E199" s="18">
        <v>53.6</v>
      </c>
      <c r="F199" s="19">
        <v>0.53</v>
      </c>
      <c r="G199" s="20">
        <v>757.0836692571428</v>
      </c>
      <c r="H199" s="21">
        <v>801.5</v>
      </c>
    </row>
    <row r="200" spans="2:8" ht="11.25">
      <c r="B200" s="16" t="s">
        <v>34</v>
      </c>
      <c r="C200" s="17">
        <v>2267002003</v>
      </c>
      <c r="D200" s="18">
        <v>392</v>
      </c>
      <c r="E200" s="18">
        <v>47.848219895287954</v>
      </c>
      <c r="F200" s="19">
        <v>0.66</v>
      </c>
      <c r="G200" s="20">
        <v>664.2565591114435</v>
      </c>
      <c r="H200" s="21">
        <v>668.5</v>
      </c>
    </row>
    <row r="201" spans="2:8" ht="11.25">
      <c r="B201" s="16" t="s">
        <v>35</v>
      </c>
      <c r="C201" s="17">
        <v>2267002021</v>
      </c>
      <c r="D201" s="18">
        <v>175</v>
      </c>
      <c r="E201" s="18">
        <v>39.01383763837639</v>
      </c>
      <c r="F201" s="19">
        <v>0.59</v>
      </c>
      <c r="G201" s="20">
        <v>758.8448304953083</v>
      </c>
      <c r="H201" s="21">
        <v>542</v>
      </c>
    </row>
    <row r="202" spans="2:8" ht="11.25">
      <c r="B202" s="16" t="s">
        <v>36</v>
      </c>
      <c r="C202" s="17">
        <v>2267002009</v>
      </c>
      <c r="D202" s="18">
        <v>166</v>
      </c>
      <c r="E202" s="18">
        <v>0</v>
      </c>
      <c r="F202" s="19">
        <v>0</v>
      </c>
      <c r="G202" s="20">
        <v>0</v>
      </c>
      <c r="H202" s="21">
        <v>0</v>
      </c>
    </row>
    <row r="203" spans="2:8" ht="11.25">
      <c r="B203" s="16" t="s">
        <v>37</v>
      </c>
      <c r="C203" s="17">
        <v>2267006030</v>
      </c>
      <c r="D203" s="18">
        <v>115</v>
      </c>
      <c r="E203" s="18">
        <v>38.72818181818182</v>
      </c>
      <c r="F203" s="19">
        <v>0.85</v>
      </c>
      <c r="G203" s="20">
        <v>761.4789605028573</v>
      </c>
      <c r="H203" s="21">
        <v>550</v>
      </c>
    </row>
    <row r="204" spans="2:8" ht="11.25">
      <c r="B204" s="16" t="s">
        <v>38</v>
      </c>
      <c r="C204" s="17">
        <v>2267006010</v>
      </c>
      <c r="D204" s="18">
        <v>221</v>
      </c>
      <c r="E204" s="18">
        <v>43.740736592858056</v>
      </c>
      <c r="F204" s="19">
        <v>0.69</v>
      </c>
      <c r="G204" s="20">
        <v>705.1519140517014</v>
      </c>
      <c r="H204" s="21">
        <v>15626</v>
      </c>
    </row>
    <row r="205" spans="2:8" ht="11.25">
      <c r="B205" s="16" t="s">
        <v>13</v>
      </c>
      <c r="C205" s="17">
        <v>2267002015</v>
      </c>
      <c r="D205" s="18">
        <v>621</v>
      </c>
      <c r="E205" s="18">
        <v>54.528596096096095</v>
      </c>
      <c r="F205" s="19">
        <v>0.62</v>
      </c>
      <c r="G205" s="20">
        <v>645.2843800866582</v>
      </c>
      <c r="H205" s="21">
        <v>666</v>
      </c>
    </row>
    <row r="206" spans="2:8" ht="11.25">
      <c r="B206" s="16" t="s">
        <v>39</v>
      </c>
      <c r="C206" s="17">
        <v>2267002057</v>
      </c>
      <c r="D206" s="18">
        <v>413</v>
      </c>
      <c r="E206" s="18">
        <v>65.94808917197453</v>
      </c>
      <c r="F206" s="19">
        <v>0.63</v>
      </c>
      <c r="G206" s="20">
        <v>680.4912601423111</v>
      </c>
      <c r="H206" s="21">
        <v>942</v>
      </c>
    </row>
    <row r="207" spans="2:8" ht="11.25">
      <c r="B207" s="16" t="s">
        <v>40</v>
      </c>
      <c r="C207" s="17">
        <v>2267002063</v>
      </c>
      <c r="D207" s="18">
        <v>900</v>
      </c>
      <c r="E207" s="18">
        <v>0</v>
      </c>
      <c r="F207" s="19">
        <v>0</v>
      </c>
      <c r="G207" s="20">
        <v>0</v>
      </c>
      <c r="H207" s="21">
        <v>0</v>
      </c>
    </row>
    <row r="208" spans="2:8" ht="11.25">
      <c r="B208" s="16" t="s">
        <v>14</v>
      </c>
      <c r="C208" s="17">
        <v>2267002060</v>
      </c>
      <c r="D208" s="18">
        <v>512</v>
      </c>
      <c r="E208" s="18">
        <v>71.04176319176318</v>
      </c>
      <c r="F208" s="19">
        <v>0.71</v>
      </c>
      <c r="G208" s="20">
        <v>655.5231406511491</v>
      </c>
      <c r="H208" s="21">
        <v>1554</v>
      </c>
    </row>
    <row r="209" spans="2:8" ht="11.25">
      <c r="B209" s="16" t="s">
        <v>15</v>
      </c>
      <c r="C209" s="17">
        <v>2267002018</v>
      </c>
      <c r="D209" s="18">
        <v>540</v>
      </c>
      <c r="E209" s="18">
        <v>0</v>
      </c>
      <c r="F209" s="19">
        <v>0</v>
      </c>
      <c r="G209" s="20">
        <v>0</v>
      </c>
      <c r="H209" s="21">
        <v>0</v>
      </c>
    </row>
    <row r="210" spans="2:8" ht="11.25">
      <c r="B210" s="16" t="s">
        <v>41</v>
      </c>
      <c r="C210" s="17">
        <v>2267002027</v>
      </c>
      <c r="D210" s="18">
        <v>318</v>
      </c>
      <c r="E210" s="18">
        <v>0</v>
      </c>
      <c r="F210" s="19">
        <v>0</v>
      </c>
      <c r="G210" s="20">
        <v>0</v>
      </c>
      <c r="H210" s="21">
        <v>0</v>
      </c>
    </row>
    <row r="211" spans="2:8" ht="11.25">
      <c r="B211" s="16" t="s">
        <v>42</v>
      </c>
      <c r="C211" s="17">
        <v>2267002072</v>
      </c>
      <c r="D211" s="18">
        <v>310</v>
      </c>
      <c r="E211" s="18">
        <v>44.00979249690806</v>
      </c>
      <c r="F211" s="19">
        <v>0.58</v>
      </c>
      <c r="G211" s="20">
        <v>713.1392937708868</v>
      </c>
      <c r="H211" s="21">
        <v>3638.5</v>
      </c>
    </row>
    <row r="212" spans="2:8" ht="11.25">
      <c r="B212" s="16" t="s">
        <v>43</v>
      </c>
      <c r="C212" s="17">
        <v>2267002024</v>
      </c>
      <c r="D212" s="18">
        <v>488</v>
      </c>
      <c r="E212" s="18">
        <v>39.705882352941174</v>
      </c>
      <c r="F212" s="19">
        <v>0.49</v>
      </c>
      <c r="G212" s="20">
        <v>667.5455361142858</v>
      </c>
      <c r="H212" s="21">
        <v>153</v>
      </c>
    </row>
    <row r="213" spans="2:8" ht="11.25">
      <c r="B213" s="16" t="s">
        <v>44</v>
      </c>
      <c r="C213" s="17">
        <v>2267003030</v>
      </c>
      <c r="D213" s="18">
        <v>516</v>
      </c>
      <c r="E213" s="18">
        <v>48.84010356472796</v>
      </c>
      <c r="F213" s="19">
        <v>0.71</v>
      </c>
      <c r="G213" s="20">
        <v>643.324711083776</v>
      </c>
      <c r="H213" s="21">
        <v>6662.5</v>
      </c>
    </row>
    <row r="214" spans="2:8" ht="11.25">
      <c r="B214" s="16" t="s">
        <v>16</v>
      </c>
      <c r="C214" s="17">
        <v>2267002066</v>
      </c>
      <c r="D214" s="18">
        <v>870</v>
      </c>
      <c r="E214" s="18">
        <v>57.79204545454545</v>
      </c>
      <c r="F214" s="19">
        <v>0.48</v>
      </c>
      <c r="G214" s="20">
        <v>645.2415690285716</v>
      </c>
      <c r="H214" s="21">
        <v>176</v>
      </c>
    </row>
    <row r="215" spans="2:8" ht="11.25">
      <c r="B215" s="16" t="s">
        <v>45</v>
      </c>
      <c r="C215" s="17">
        <v>2267002030</v>
      </c>
      <c r="D215" s="18">
        <v>402</v>
      </c>
      <c r="E215" s="18">
        <v>53.90670611439842</v>
      </c>
      <c r="F215" s="19">
        <v>0.66</v>
      </c>
      <c r="G215" s="20">
        <v>664.6501980095802</v>
      </c>
      <c r="H215" s="21">
        <v>1774.5</v>
      </c>
    </row>
    <row r="216" spans="2:8" ht="11.25">
      <c r="B216" s="16" t="s">
        <v>47</v>
      </c>
      <c r="C216" s="17">
        <v>2267002051</v>
      </c>
      <c r="D216" s="18">
        <v>450</v>
      </c>
      <c r="E216" s="18">
        <v>0</v>
      </c>
      <c r="F216" s="19">
        <v>0</v>
      </c>
      <c r="G216" s="20">
        <v>0</v>
      </c>
      <c r="H216" s="21">
        <v>0</v>
      </c>
    </row>
    <row r="217" spans="2:8" ht="12" thickBot="1">
      <c r="B217" s="22" t="s">
        <v>46</v>
      </c>
      <c r="C217" s="23">
        <v>2267006025</v>
      </c>
      <c r="D217" s="24">
        <v>408</v>
      </c>
      <c r="E217" s="24">
        <v>68.64031943880805</v>
      </c>
      <c r="F217" s="25">
        <v>0.68</v>
      </c>
      <c r="G217" s="26">
        <v>677.3257517714286</v>
      </c>
      <c r="H217" s="27">
        <v>8624.5</v>
      </c>
    </row>
    <row r="218" ht="12" thickBot="1"/>
    <row r="219" spans="2:8" ht="11.25">
      <c r="B219" s="1073" t="s">
        <v>66</v>
      </c>
      <c r="C219" s="1074"/>
      <c r="D219" s="1074"/>
      <c r="E219" s="1074"/>
      <c r="F219" s="1074"/>
      <c r="G219" s="1074"/>
      <c r="H219" s="1075"/>
    </row>
    <row r="220" spans="2:8" ht="11.25">
      <c r="B220" s="6"/>
      <c r="C220" s="7" t="s">
        <v>50</v>
      </c>
      <c r="D220" s="7" t="s">
        <v>57</v>
      </c>
      <c r="E220" s="7" t="s">
        <v>52</v>
      </c>
      <c r="F220" s="7" t="s">
        <v>18</v>
      </c>
      <c r="G220" s="7" t="s">
        <v>67</v>
      </c>
      <c r="H220" s="8" t="s">
        <v>49</v>
      </c>
    </row>
    <row r="221" spans="2:8" ht="11.25">
      <c r="B221" s="9" t="s">
        <v>17</v>
      </c>
      <c r="C221" s="10">
        <v>0</v>
      </c>
      <c r="D221" s="10" t="s">
        <v>58</v>
      </c>
      <c r="E221" s="10" t="s">
        <v>54</v>
      </c>
      <c r="F221" s="11" t="s">
        <v>71</v>
      </c>
      <c r="G221" s="11" t="s">
        <v>51</v>
      </c>
      <c r="H221" s="12" t="s">
        <v>71</v>
      </c>
    </row>
    <row r="222" spans="2:8" ht="11.25">
      <c r="B222" s="13" t="s">
        <v>55</v>
      </c>
      <c r="C222" s="14">
        <v>0</v>
      </c>
      <c r="D222" s="14">
        <v>0</v>
      </c>
      <c r="E222" s="14">
        <v>0</v>
      </c>
      <c r="F222" s="14">
        <v>0</v>
      </c>
      <c r="G222" s="14">
        <v>0</v>
      </c>
      <c r="H222" s="15">
        <v>0</v>
      </c>
    </row>
    <row r="223" spans="2:8" ht="11.25">
      <c r="B223" s="16" t="s">
        <v>19</v>
      </c>
      <c r="C223" s="17">
        <v>2268003010</v>
      </c>
      <c r="D223" s="18">
        <v>361</v>
      </c>
      <c r="E223" s="18">
        <v>0</v>
      </c>
      <c r="F223" s="19">
        <v>0</v>
      </c>
      <c r="G223" s="20">
        <v>0</v>
      </c>
      <c r="H223" s="21">
        <v>0</v>
      </c>
    </row>
    <row r="224" spans="2:8" ht="11.25">
      <c r="B224" s="16" t="s">
        <v>20</v>
      </c>
      <c r="C224" s="17">
        <v>2268006015</v>
      </c>
      <c r="D224" s="18">
        <v>484</v>
      </c>
      <c r="E224" s="18">
        <v>111.45177664974618</v>
      </c>
      <c r="F224" s="19">
        <v>0.56</v>
      </c>
      <c r="G224" s="20">
        <v>632.031547888889</v>
      </c>
      <c r="H224" s="21">
        <v>394</v>
      </c>
    </row>
    <row r="225" spans="2:8" ht="11.25">
      <c r="B225" s="16" t="s">
        <v>21</v>
      </c>
      <c r="C225" s="17">
        <v>2268002033</v>
      </c>
      <c r="D225" s="18">
        <v>107</v>
      </c>
      <c r="E225" s="18">
        <v>0</v>
      </c>
      <c r="F225" s="19">
        <v>0</v>
      </c>
      <c r="G225" s="20">
        <v>0</v>
      </c>
      <c r="H225" s="21">
        <v>0</v>
      </c>
    </row>
    <row r="226" spans="2:8" ht="11.25">
      <c r="B226" s="16" t="s">
        <v>22</v>
      </c>
      <c r="C226" s="17">
        <v>2268002042</v>
      </c>
      <c r="D226" s="18">
        <v>84</v>
      </c>
      <c r="E226" s="18">
        <v>0</v>
      </c>
      <c r="F226" s="19">
        <v>0</v>
      </c>
      <c r="G226" s="20">
        <v>0</v>
      </c>
      <c r="H226" s="21">
        <v>0</v>
      </c>
    </row>
    <row r="227" spans="2:8" ht="11.25">
      <c r="B227" s="16" t="s">
        <v>23</v>
      </c>
      <c r="C227" s="17">
        <v>2268002039</v>
      </c>
      <c r="D227" s="18">
        <v>610</v>
      </c>
      <c r="E227" s="18">
        <v>0</v>
      </c>
      <c r="F227" s="19">
        <v>0</v>
      </c>
      <c r="G227" s="20">
        <v>0</v>
      </c>
      <c r="H227" s="21">
        <v>0</v>
      </c>
    </row>
    <row r="228" spans="2:8" ht="11.25">
      <c r="B228" s="16" t="s">
        <v>24</v>
      </c>
      <c r="C228" s="17">
        <v>2268002045</v>
      </c>
      <c r="D228" s="18">
        <v>415</v>
      </c>
      <c r="E228" s="18">
        <v>0</v>
      </c>
      <c r="F228" s="19">
        <v>0</v>
      </c>
      <c r="G228" s="20">
        <v>0</v>
      </c>
      <c r="H228" s="21">
        <v>0</v>
      </c>
    </row>
    <row r="229" spans="2:8" ht="11.25">
      <c r="B229" s="16" t="s">
        <v>25</v>
      </c>
      <c r="C229" s="17">
        <v>2268002075</v>
      </c>
      <c r="D229" s="18">
        <v>155</v>
      </c>
      <c r="E229" s="18">
        <v>0</v>
      </c>
      <c r="F229" s="19">
        <v>0</v>
      </c>
      <c r="G229" s="20">
        <v>0</v>
      </c>
      <c r="H229" s="21">
        <v>0</v>
      </c>
    </row>
    <row r="230" spans="2:8" ht="11.25">
      <c r="B230" s="16" t="s">
        <v>26</v>
      </c>
      <c r="C230" s="17">
        <v>2268002054</v>
      </c>
      <c r="D230" s="18">
        <v>241</v>
      </c>
      <c r="E230" s="18">
        <v>0</v>
      </c>
      <c r="F230" s="19">
        <v>0</v>
      </c>
      <c r="G230" s="20">
        <v>0</v>
      </c>
      <c r="H230" s="21">
        <v>0</v>
      </c>
    </row>
    <row r="231" spans="2:8" ht="11.25">
      <c r="B231" s="16" t="s">
        <v>27</v>
      </c>
      <c r="C231" s="17">
        <v>2268002078</v>
      </c>
      <c r="D231" s="18">
        <v>127</v>
      </c>
      <c r="E231" s="18">
        <v>0</v>
      </c>
      <c r="F231" s="19">
        <v>0</v>
      </c>
      <c r="G231" s="20">
        <v>0</v>
      </c>
      <c r="H231" s="21">
        <v>0</v>
      </c>
    </row>
    <row r="232" spans="2:8" ht="11.25">
      <c r="B232" s="16" t="s">
        <v>28</v>
      </c>
      <c r="C232" s="17">
        <v>2268002036</v>
      </c>
      <c r="D232" s="18">
        <v>378</v>
      </c>
      <c r="E232" s="18">
        <v>0</v>
      </c>
      <c r="F232" s="19">
        <v>0</v>
      </c>
      <c r="G232" s="20">
        <v>0</v>
      </c>
      <c r="H232" s="21">
        <v>0</v>
      </c>
    </row>
    <row r="233" spans="2:8" ht="11.25">
      <c r="B233" s="16" t="s">
        <v>29</v>
      </c>
      <c r="C233" s="17">
        <v>2268003020</v>
      </c>
      <c r="D233" s="18">
        <v>1800</v>
      </c>
      <c r="E233" s="18">
        <v>48</v>
      </c>
      <c r="F233" s="19">
        <v>0.3</v>
      </c>
      <c r="G233" s="20">
        <v>613.7106555555556</v>
      </c>
      <c r="H233" s="21">
        <v>43521</v>
      </c>
    </row>
    <row r="234" spans="2:8" ht="11.25">
      <c r="B234" s="16" t="s">
        <v>11</v>
      </c>
      <c r="C234" s="17">
        <v>2268006005</v>
      </c>
      <c r="D234" s="18">
        <v>115</v>
      </c>
      <c r="E234" s="18">
        <v>83.45609480901078</v>
      </c>
      <c r="F234" s="19">
        <v>0.68</v>
      </c>
      <c r="G234" s="20">
        <v>685.8717653294548</v>
      </c>
      <c r="H234" s="21">
        <v>25525</v>
      </c>
    </row>
    <row r="235" spans="2:8" ht="11.25">
      <c r="B235" s="16" t="s">
        <v>12</v>
      </c>
      <c r="C235" s="17">
        <v>2268002048</v>
      </c>
      <c r="D235" s="18">
        <v>504</v>
      </c>
      <c r="E235" s="18">
        <v>0</v>
      </c>
      <c r="F235" s="19">
        <v>0</v>
      </c>
      <c r="G235" s="20">
        <v>0</v>
      </c>
      <c r="H235" s="21">
        <v>0</v>
      </c>
    </row>
    <row r="236" spans="2:8" ht="11.25">
      <c r="B236" s="16" t="s">
        <v>30</v>
      </c>
      <c r="C236" s="17">
        <v>2268002075</v>
      </c>
      <c r="D236" s="18">
        <v>155</v>
      </c>
      <c r="E236" s="18">
        <v>0</v>
      </c>
      <c r="F236" s="19">
        <v>0</v>
      </c>
      <c r="G236" s="20">
        <v>0</v>
      </c>
      <c r="H236" s="21">
        <v>0</v>
      </c>
    </row>
    <row r="237" spans="2:8" ht="11.25">
      <c r="B237" s="16" t="s">
        <v>31</v>
      </c>
      <c r="C237" s="17">
        <v>2268002051</v>
      </c>
      <c r="D237" s="18">
        <v>450</v>
      </c>
      <c r="E237" s="18">
        <v>0</v>
      </c>
      <c r="F237" s="19">
        <v>0</v>
      </c>
      <c r="G237" s="20">
        <v>0</v>
      </c>
      <c r="H237" s="21">
        <v>0</v>
      </c>
    </row>
    <row r="238" spans="2:8" ht="11.25">
      <c r="B238" s="16" t="s">
        <v>32</v>
      </c>
      <c r="C238" s="17">
        <v>2268002081</v>
      </c>
      <c r="D238" s="18">
        <v>371</v>
      </c>
      <c r="E238" s="18">
        <v>105</v>
      </c>
      <c r="F238" s="19">
        <v>0.48</v>
      </c>
      <c r="G238" s="20">
        <v>678.2603238888889</v>
      </c>
      <c r="H238" s="21">
        <v>28</v>
      </c>
    </row>
    <row r="239" spans="2:8" ht="11.25">
      <c r="B239" s="16" t="s">
        <v>53</v>
      </c>
      <c r="C239" s="17">
        <v>2268003040</v>
      </c>
      <c r="D239" s="18">
        <v>713</v>
      </c>
      <c r="E239" s="18">
        <v>98.5</v>
      </c>
      <c r="F239" s="19">
        <v>0.54</v>
      </c>
      <c r="G239" s="20">
        <v>620.2668254444445</v>
      </c>
      <c r="H239" s="21">
        <v>24</v>
      </c>
    </row>
    <row r="240" spans="2:8" ht="11.25">
      <c r="B240" s="16" t="s">
        <v>33</v>
      </c>
      <c r="C240" s="17">
        <v>2268003050</v>
      </c>
      <c r="D240" s="18">
        <v>386</v>
      </c>
      <c r="E240" s="18">
        <v>0</v>
      </c>
      <c r="F240" s="19">
        <v>0</v>
      </c>
      <c r="G240" s="20">
        <v>0</v>
      </c>
      <c r="H240" s="21">
        <v>0</v>
      </c>
    </row>
    <row r="241" spans="2:8" ht="11.25">
      <c r="B241" s="16" t="s">
        <v>34</v>
      </c>
      <c r="C241" s="17">
        <v>2268002003</v>
      </c>
      <c r="D241" s="18">
        <v>392</v>
      </c>
      <c r="E241" s="18">
        <v>0</v>
      </c>
      <c r="F241" s="19">
        <v>0</v>
      </c>
      <c r="G241" s="20">
        <v>0</v>
      </c>
      <c r="H241" s="21">
        <v>0</v>
      </c>
    </row>
    <row r="242" spans="2:8" ht="11.25">
      <c r="B242" s="16" t="s">
        <v>35</v>
      </c>
      <c r="C242" s="17">
        <v>2268002021</v>
      </c>
      <c r="D242" s="18">
        <v>175</v>
      </c>
      <c r="E242" s="18">
        <v>0</v>
      </c>
      <c r="F242" s="19">
        <v>0</v>
      </c>
      <c r="G242" s="20">
        <v>0</v>
      </c>
      <c r="H242" s="21">
        <v>0</v>
      </c>
    </row>
    <row r="243" spans="2:8" ht="11.25">
      <c r="B243" s="16" t="s">
        <v>36</v>
      </c>
      <c r="C243" s="17">
        <v>2268002009</v>
      </c>
      <c r="D243" s="18">
        <v>166</v>
      </c>
      <c r="E243" s="18">
        <v>0</v>
      </c>
      <c r="F243" s="19">
        <v>0</v>
      </c>
      <c r="G243" s="20">
        <v>0</v>
      </c>
      <c r="H243" s="21">
        <v>0</v>
      </c>
    </row>
    <row r="244" spans="2:8" ht="11.25">
      <c r="B244" s="16" t="s">
        <v>37</v>
      </c>
      <c r="C244" s="17">
        <v>2268006030</v>
      </c>
      <c r="D244" s="18">
        <v>115</v>
      </c>
      <c r="E244" s="18">
        <v>0</v>
      </c>
      <c r="F244" s="19">
        <v>0</v>
      </c>
      <c r="G244" s="20">
        <v>0</v>
      </c>
      <c r="H244" s="21">
        <v>0</v>
      </c>
    </row>
    <row r="245" spans="2:8" ht="11.25">
      <c r="B245" s="16" t="s">
        <v>38</v>
      </c>
      <c r="C245" s="17">
        <v>2268006010</v>
      </c>
      <c r="D245" s="18">
        <v>221</v>
      </c>
      <c r="E245" s="18">
        <v>108.36301652892561</v>
      </c>
      <c r="F245" s="19">
        <v>0.69</v>
      </c>
      <c r="G245" s="20">
        <v>642.5274797222222</v>
      </c>
      <c r="H245" s="21">
        <v>484</v>
      </c>
    </row>
    <row r="246" spans="2:8" ht="11.25">
      <c r="B246" s="16" t="s">
        <v>13</v>
      </c>
      <c r="C246" s="17">
        <v>2268002015</v>
      </c>
      <c r="D246" s="18">
        <v>621</v>
      </c>
      <c r="E246" s="18">
        <v>0</v>
      </c>
      <c r="F246" s="19">
        <v>0</v>
      </c>
      <c r="G246" s="20">
        <v>0</v>
      </c>
      <c r="H246" s="21">
        <v>0</v>
      </c>
    </row>
    <row r="247" spans="2:8" ht="11.25">
      <c r="B247" s="16" t="s">
        <v>39</v>
      </c>
      <c r="C247" s="17">
        <v>2268002057</v>
      </c>
      <c r="D247" s="18">
        <v>413</v>
      </c>
      <c r="E247" s="18">
        <v>0</v>
      </c>
      <c r="F247" s="19">
        <v>0</v>
      </c>
      <c r="G247" s="20">
        <v>0</v>
      </c>
      <c r="H247" s="21">
        <v>0</v>
      </c>
    </row>
    <row r="248" spans="2:8" ht="11.25">
      <c r="B248" s="16" t="s">
        <v>40</v>
      </c>
      <c r="C248" s="17">
        <v>2268002063</v>
      </c>
      <c r="D248" s="18">
        <v>900</v>
      </c>
      <c r="E248" s="18">
        <v>0</v>
      </c>
      <c r="F248" s="19">
        <v>0</v>
      </c>
      <c r="G248" s="20">
        <v>0</v>
      </c>
      <c r="H248" s="21">
        <v>0</v>
      </c>
    </row>
    <row r="249" spans="2:8" ht="11.25">
      <c r="B249" s="16" t="s">
        <v>14</v>
      </c>
      <c r="C249" s="17">
        <v>2268002060</v>
      </c>
      <c r="D249" s="18">
        <v>512</v>
      </c>
      <c r="E249" s="18">
        <v>0</v>
      </c>
      <c r="F249" s="19">
        <v>0</v>
      </c>
      <c r="G249" s="20">
        <v>0</v>
      </c>
      <c r="H249" s="21">
        <v>0</v>
      </c>
    </row>
    <row r="250" spans="2:8" ht="11.25">
      <c r="B250" s="16" t="s">
        <v>15</v>
      </c>
      <c r="C250" s="17">
        <v>2268002018</v>
      </c>
      <c r="D250" s="18">
        <v>540</v>
      </c>
      <c r="E250" s="18">
        <v>0</v>
      </c>
      <c r="F250" s="19">
        <v>0</v>
      </c>
      <c r="G250" s="20">
        <v>0</v>
      </c>
      <c r="H250" s="21">
        <v>0</v>
      </c>
    </row>
    <row r="251" spans="2:8" ht="11.25">
      <c r="B251" s="16" t="s">
        <v>41</v>
      </c>
      <c r="C251" s="17">
        <v>2268002027</v>
      </c>
      <c r="D251" s="18">
        <v>318</v>
      </c>
      <c r="E251" s="18">
        <v>0</v>
      </c>
      <c r="F251" s="19">
        <v>0</v>
      </c>
      <c r="G251" s="20">
        <v>0</v>
      </c>
      <c r="H251" s="21">
        <v>0</v>
      </c>
    </row>
    <row r="252" spans="2:8" ht="11.25">
      <c r="B252" s="16" t="s">
        <v>42</v>
      </c>
      <c r="C252" s="17">
        <v>2268002072</v>
      </c>
      <c r="D252" s="18">
        <v>310</v>
      </c>
      <c r="E252" s="18">
        <v>0</v>
      </c>
      <c r="F252" s="19">
        <v>0</v>
      </c>
      <c r="G252" s="20">
        <v>0</v>
      </c>
      <c r="H252" s="21">
        <v>0</v>
      </c>
    </row>
    <row r="253" spans="2:8" ht="11.25">
      <c r="B253" s="16" t="s">
        <v>43</v>
      </c>
      <c r="C253" s="17">
        <v>2268002024</v>
      </c>
      <c r="D253" s="18">
        <v>488</v>
      </c>
      <c r="E253" s="18">
        <v>0</v>
      </c>
      <c r="F253" s="19">
        <v>0</v>
      </c>
      <c r="G253" s="20">
        <v>0</v>
      </c>
      <c r="H253" s="21">
        <v>0</v>
      </c>
    </row>
    <row r="254" spans="2:8" ht="11.25">
      <c r="B254" s="16" t="s">
        <v>44</v>
      </c>
      <c r="C254" s="17">
        <v>2268003030</v>
      </c>
      <c r="D254" s="18">
        <v>516</v>
      </c>
      <c r="E254" s="18">
        <v>190</v>
      </c>
      <c r="F254" s="19">
        <v>0.71</v>
      </c>
      <c r="G254" s="20">
        <v>619.9430563333334</v>
      </c>
      <c r="H254" s="21">
        <v>20</v>
      </c>
    </row>
    <row r="255" spans="2:8" ht="11.25">
      <c r="B255" s="16" t="s">
        <v>16</v>
      </c>
      <c r="C255" s="17">
        <v>2268002066</v>
      </c>
      <c r="D255" s="18">
        <v>870</v>
      </c>
      <c r="E255" s="18">
        <v>0</v>
      </c>
      <c r="F255" s="19">
        <v>0</v>
      </c>
      <c r="G255" s="20">
        <v>0</v>
      </c>
      <c r="H255" s="21">
        <v>0</v>
      </c>
    </row>
    <row r="256" spans="2:8" ht="11.25">
      <c r="B256" s="16" t="s">
        <v>45</v>
      </c>
      <c r="C256" s="17">
        <v>2268002030</v>
      </c>
      <c r="D256" s="18">
        <v>402</v>
      </c>
      <c r="E256" s="18">
        <v>0</v>
      </c>
      <c r="F256" s="19">
        <v>0</v>
      </c>
      <c r="G256" s="20">
        <v>0</v>
      </c>
      <c r="H256" s="21">
        <v>0</v>
      </c>
    </row>
    <row r="257" spans="2:8" ht="11.25">
      <c r="B257" s="16" t="s">
        <v>47</v>
      </c>
      <c r="C257" s="17">
        <v>2268002051</v>
      </c>
      <c r="D257" s="18">
        <v>450</v>
      </c>
      <c r="E257" s="18">
        <v>0</v>
      </c>
      <c r="F257" s="19">
        <v>0</v>
      </c>
      <c r="G257" s="20">
        <v>0</v>
      </c>
      <c r="H257" s="21">
        <v>0</v>
      </c>
    </row>
    <row r="258" spans="2:8" ht="12" thickBot="1">
      <c r="B258" s="22" t="s">
        <v>46</v>
      </c>
      <c r="C258" s="23">
        <v>2268006025</v>
      </c>
      <c r="D258" s="24">
        <v>408</v>
      </c>
      <c r="E258" s="24">
        <v>0</v>
      </c>
      <c r="F258" s="25">
        <v>0</v>
      </c>
      <c r="G258" s="26">
        <v>0</v>
      </c>
      <c r="H258" s="27">
        <v>0</v>
      </c>
    </row>
    <row r="259" ht="12" thickBot="1"/>
    <row r="260" spans="2:15" ht="15" customHeight="1">
      <c r="B260" s="1073" t="s">
        <v>100</v>
      </c>
      <c r="C260" s="1074"/>
      <c r="D260" s="1074"/>
      <c r="E260" s="1074"/>
      <c r="F260" s="1074"/>
      <c r="G260" s="1074"/>
      <c r="H260" s="1075"/>
      <c r="K260" s="1070" t="s">
        <v>101</v>
      </c>
      <c r="L260" s="1071"/>
      <c r="M260" s="1071"/>
      <c r="N260" s="1071"/>
      <c r="O260" s="1072"/>
    </row>
    <row r="261" spans="2:15" ht="11.25">
      <c r="B261" s="6"/>
      <c r="C261" s="7" t="s">
        <v>50</v>
      </c>
      <c r="D261" s="7" t="s">
        <v>57</v>
      </c>
      <c r="E261" s="7" t="s">
        <v>52</v>
      </c>
      <c r="F261" s="7" t="s">
        <v>18</v>
      </c>
      <c r="G261" s="7" t="s">
        <v>67</v>
      </c>
      <c r="H261" s="8" t="s">
        <v>49</v>
      </c>
      <c r="K261" s="28" t="s">
        <v>102</v>
      </c>
      <c r="L261" s="29" t="s">
        <v>206</v>
      </c>
      <c r="M261" s="29" t="s">
        <v>103</v>
      </c>
      <c r="N261" s="29" t="s">
        <v>103</v>
      </c>
      <c r="O261" s="30" t="s">
        <v>208</v>
      </c>
    </row>
    <row r="262" spans="2:15" ht="11.25">
      <c r="B262" s="9" t="s">
        <v>17</v>
      </c>
      <c r="C262" s="10">
        <v>0</v>
      </c>
      <c r="D262" s="10" t="s">
        <v>58</v>
      </c>
      <c r="E262" s="10" t="s">
        <v>54</v>
      </c>
      <c r="F262" s="11" t="s">
        <v>71</v>
      </c>
      <c r="G262" s="11" t="s">
        <v>51</v>
      </c>
      <c r="H262" s="12" t="s">
        <v>71</v>
      </c>
      <c r="K262" s="31"/>
      <c r="L262" s="32"/>
      <c r="M262" s="132" t="s">
        <v>918</v>
      </c>
      <c r="N262" s="33" t="s">
        <v>789</v>
      </c>
      <c r="O262" s="34" t="s">
        <v>207</v>
      </c>
    </row>
    <row r="263" spans="2:15" ht="11.25">
      <c r="B263" s="13" t="s">
        <v>55</v>
      </c>
      <c r="C263" s="14"/>
      <c r="D263" s="14">
        <v>0</v>
      </c>
      <c r="E263" s="14">
        <v>0</v>
      </c>
      <c r="F263" s="14">
        <v>0</v>
      </c>
      <c r="G263" s="14">
        <f aca="true" t="shared" si="0" ref="G263:G299">VLOOKUP(State_Selected,States_Data,5,FALSE)</f>
        <v>467.83139087805745</v>
      </c>
      <c r="H263" s="15"/>
      <c r="I263" s="5"/>
      <c r="K263" s="35" t="s">
        <v>895</v>
      </c>
      <c r="L263" s="14" t="s">
        <v>844</v>
      </c>
      <c r="M263" s="17">
        <f>AVERAGE(M264:M314)</f>
        <v>1375.1888889011027</v>
      </c>
      <c r="N263" s="14">
        <f>M263/'Conversion Factors'!$B$2</f>
        <v>623.7751878374099</v>
      </c>
      <c r="O263" s="15">
        <f>N263*0.75</f>
        <v>467.83139087805745</v>
      </c>
    </row>
    <row r="264" spans="2:15" ht="12.75">
      <c r="B264" s="16" t="s">
        <v>19</v>
      </c>
      <c r="C264" s="17"/>
      <c r="D264" s="18">
        <v>0</v>
      </c>
      <c r="E264" s="18">
        <v>0</v>
      </c>
      <c r="F264" s="19">
        <v>0</v>
      </c>
      <c r="G264" s="20">
        <f t="shared" si="0"/>
        <v>467.83139087805745</v>
      </c>
      <c r="H264" s="21"/>
      <c r="I264" s="5"/>
      <c r="K264" s="36" t="s">
        <v>104</v>
      </c>
      <c r="L264" s="14" t="s">
        <v>105</v>
      </c>
      <c r="M264" s="17">
        <v>1579.920554614331</v>
      </c>
      <c r="N264" s="133">
        <f>M264/'Conversion Factors'!$B$2</f>
        <v>716.6399093801964</v>
      </c>
      <c r="O264" s="15">
        <f aca="true" t="shared" si="1" ref="O264:O314">N264*0.75</f>
        <v>537.4799320351473</v>
      </c>
    </row>
    <row r="265" spans="2:15" ht="12.75">
      <c r="B265" s="16" t="s">
        <v>20</v>
      </c>
      <c r="C265" s="17"/>
      <c r="D265" s="18">
        <v>484</v>
      </c>
      <c r="E265" s="18">
        <v>12.089439388573643</v>
      </c>
      <c r="F265" s="19">
        <v>0.56</v>
      </c>
      <c r="G265" s="20">
        <f t="shared" si="0"/>
        <v>467.83139087805745</v>
      </c>
      <c r="H265" s="21"/>
      <c r="I265" s="5"/>
      <c r="K265" s="36" t="s">
        <v>106</v>
      </c>
      <c r="L265" s="14" t="s">
        <v>107</v>
      </c>
      <c r="M265" s="17">
        <v>1152.261196660378</v>
      </c>
      <c r="N265" s="133">
        <f>M265/'Conversion Factors'!$B$2</f>
        <v>522.6568874905121</v>
      </c>
      <c r="O265" s="15">
        <f t="shared" si="1"/>
        <v>391.9926656178841</v>
      </c>
    </row>
    <row r="266" spans="2:15" ht="12.75">
      <c r="B266" s="16" t="s">
        <v>21</v>
      </c>
      <c r="C266" s="17"/>
      <c r="D266" s="18">
        <v>0</v>
      </c>
      <c r="E266" s="18">
        <v>0</v>
      </c>
      <c r="F266" s="19">
        <v>0</v>
      </c>
      <c r="G266" s="20">
        <f t="shared" si="0"/>
        <v>467.83139087805745</v>
      </c>
      <c r="H266" s="21"/>
      <c r="I266" s="5"/>
      <c r="K266" s="36" t="s">
        <v>108</v>
      </c>
      <c r="L266" s="14" t="s">
        <v>109</v>
      </c>
      <c r="M266" s="17">
        <v>1386.2335520894583</v>
      </c>
      <c r="N266" s="133">
        <f>M266/'Conversion Factors'!$B$2</f>
        <v>628.784962793069</v>
      </c>
      <c r="O266" s="15">
        <f t="shared" si="1"/>
        <v>471.5887220948017</v>
      </c>
    </row>
    <row r="267" spans="2:15" ht="12.75">
      <c r="B267" s="16" t="s">
        <v>22</v>
      </c>
      <c r="C267" s="17"/>
      <c r="D267" s="18">
        <v>84</v>
      </c>
      <c r="E267" s="18">
        <v>7.459801764104417</v>
      </c>
      <c r="F267" s="19">
        <v>0.59</v>
      </c>
      <c r="G267" s="20">
        <f t="shared" si="0"/>
        <v>467.83139087805745</v>
      </c>
      <c r="H267" s="21"/>
      <c r="I267" s="5"/>
      <c r="K267" s="36" t="s">
        <v>110</v>
      </c>
      <c r="L267" s="14" t="s">
        <v>111</v>
      </c>
      <c r="M267" s="17">
        <v>1292.5640840237036</v>
      </c>
      <c r="N267" s="133">
        <f>M267/'Conversion Factors'!$B$2</f>
        <v>586.2972067408542</v>
      </c>
      <c r="O267" s="15">
        <f t="shared" si="1"/>
        <v>439.7229050556407</v>
      </c>
    </row>
    <row r="268" spans="2:15" ht="12.75">
      <c r="B268" s="16" t="s">
        <v>23</v>
      </c>
      <c r="C268" s="17"/>
      <c r="D268" s="18">
        <v>610</v>
      </c>
      <c r="E268" s="18">
        <v>6.711473260241473</v>
      </c>
      <c r="F268" s="19">
        <v>0.78</v>
      </c>
      <c r="G268" s="20">
        <f t="shared" si="0"/>
        <v>467.83139087805745</v>
      </c>
      <c r="H268" s="21"/>
      <c r="I268" s="5"/>
      <c r="K268" s="36" t="s">
        <v>112</v>
      </c>
      <c r="L268" s="14" t="s">
        <v>113</v>
      </c>
      <c r="M268" s="17">
        <v>759.8218503300222</v>
      </c>
      <c r="N268" s="133">
        <f>M268/'Conversion Factors'!$B$2</f>
        <v>344.64939415799984</v>
      </c>
      <c r="O268" s="15">
        <f t="shared" si="1"/>
        <v>258.4870456184999</v>
      </c>
    </row>
    <row r="269" spans="2:15" ht="12.75">
      <c r="B269" s="16" t="s">
        <v>24</v>
      </c>
      <c r="C269" s="17"/>
      <c r="D269" s="18">
        <v>0</v>
      </c>
      <c r="E269" s="18">
        <v>0</v>
      </c>
      <c r="F269" s="19">
        <v>0</v>
      </c>
      <c r="G269" s="20">
        <f t="shared" si="0"/>
        <v>467.83139087805745</v>
      </c>
      <c r="H269" s="21"/>
      <c r="I269" s="5"/>
      <c r="K269" s="36" t="s">
        <v>114</v>
      </c>
      <c r="L269" s="14" t="s">
        <v>115</v>
      </c>
      <c r="M269" s="17">
        <v>1969.9355798835368</v>
      </c>
      <c r="N269" s="133">
        <f>M269/'Conversion Factors'!$B$2</f>
        <v>893.5477491760186</v>
      </c>
      <c r="O269" s="15">
        <f t="shared" si="1"/>
        <v>670.160811882014</v>
      </c>
    </row>
    <row r="270" spans="2:15" ht="12.75">
      <c r="B270" s="16" t="s">
        <v>25</v>
      </c>
      <c r="C270" s="17"/>
      <c r="D270" s="18">
        <v>0</v>
      </c>
      <c r="E270" s="18">
        <v>0</v>
      </c>
      <c r="F270" s="19">
        <v>0</v>
      </c>
      <c r="G270" s="20">
        <f t="shared" si="0"/>
        <v>467.83139087805745</v>
      </c>
      <c r="H270" s="21"/>
      <c r="I270" s="5"/>
      <c r="K270" s="36" t="s">
        <v>116</v>
      </c>
      <c r="L270" s="14" t="s">
        <v>117</v>
      </c>
      <c r="M270" s="17">
        <v>882.5650339880112</v>
      </c>
      <c r="N270" s="133">
        <f>M270/'Conversion Factors'!$B$2</f>
        <v>400.32476578146117</v>
      </c>
      <c r="O270" s="15">
        <f t="shared" si="1"/>
        <v>300.2435743360959</v>
      </c>
    </row>
    <row r="271" spans="2:15" ht="12.75">
      <c r="B271" s="16" t="s">
        <v>26</v>
      </c>
      <c r="C271" s="17"/>
      <c r="D271" s="18">
        <v>0</v>
      </c>
      <c r="E271" s="18">
        <v>0</v>
      </c>
      <c r="F271" s="19">
        <v>0</v>
      </c>
      <c r="G271" s="20">
        <f t="shared" si="0"/>
        <v>467.83139087805745</v>
      </c>
      <c r="H271" s="21"/>
      <c r="I271" s="5"/>
      <c r="K271" s="36" t="s">
        <v>118</v>
      </c>
      <c r="L271" s="14" t="s">
        <v>119</v>
      </c>
      <c r="M271" s="17">
        <v>1160.3910863120982</v>
      </c>
      <c r="N271" s="133">
        <f>M271/'Conversion Factors'!$B$2</f>
        <v>526.3445434085668</v>
      </c>
      <c r="O271" s="15">
        <f t="shared" si="1"/>
        <v>394.7584075564251</v>
      </c>
    </row>
    <row r="272" spans="2:15" ht="12.75">
      <c r="B272" s="16" t="s">
        <v>27</v>
      </c>
      <c r="C272" s="17"/>
      <c r="D272" s="18">
        <v>0</v>
      </c>
      <c r="E272" s="18">
        <v>0</v>
      </c>
      <c r="F272" s="19">
        <v>0</v>
      </c>
      <c r="G272" s="20">
        <f t="shared" si="0"/>
        <v>467.83139087805745</v>
      </c>
      <c r="H272" s="21"/>
      <c r="I272" s="5"/>
      <c r="K272" s="36" t="s">
        <v>120</v>
      </c>
      <c r="L272" s="14" t="s">
        <v>121</v>
      </c>
      <c r="M272" s="17">
        <v>1160.3910863120982</v>
      </c>
      <c r="N272" s="133">
        <f>M272/'Conversion Factors'!$B$2</f>
        <v>526.3445434085668</v>
      </c>
      <c r="O272" s="15">
        <f t="shared" si="1"/>
        <v>394.7584075564251</v>
      </c>
    </row>
    <row r="273" spans="2:15" ht="12.75">
      <c r="B273" s="16" t="s">
        <v>28</v>
      </c>
      <c r="C273" s="17"/>
      <c r="D273" s="18">
        <v>0</v>
      </c>
      <c r="E273" s="18">
        <v>0</v>
      </c>
      <c r="F273" s="19">
        <v>0</v>
      </c>
      <c r="G273" s="20">
        <f t="shared" si="0"/>
        <v>467.83139087805745</v>
      </c>
      <c r="H273" s="21"/>
      <c r="I273" s="5"/>
      <c r="K273" s="36" t="s">
        <v>122</v>
      </c>
      <c r="L273" s="14" t="s">
        <v>123</v>
      </c>
      <c r="M273" s="17">
        <v>1357.5781358057968</v>
      </c>
      <c r="N273" s="133">
        <f>M273/'Conversion Factors'!$B$2</f>
        <v>615.7870845967266</v>
      </c>
      <c r="O273" s="15">
        <f t="shared" si="1"/>
        <v>461.84031344754493</v>
      </c>
    </row>
    <row r="274" spans="2:15" ht="12.75">
      <c r="B274" s="16" t="s">
        <v>29</v>
      </c>
      <c r="C274" s="17"/>
      <c r="D274" s="18">
        <v>0</v>
      </c>
      <c r="E274" s="18">
        <v>0</v>
      </c>
      <c r="F274" s="19">
        <v>0</v>
      </c>
      <c r="G274" s="20">
        <f t="shared" si="0"/>
        <v>467.83139087805745</v>
      </c>
      <c r="H274" s="21"/>
      <c r="I274" s="5"/>
      <c r="K274" s="36" t="s">
        <v>124</v>
      </c>
      <c r="L274" s="14" t="s">
        <v>125</v>
      </c>
      <c r="M274" s="17">
        <v>1572.3733507235565</v>
      </c>
      <c r="N274" s="133">
        <f>M274/'Conversion Factors'!$B$2</f>
        <v>713.216555277636</v>
      </c>
      <c r="O274" s="15">
        <f t="shared" si="1"/>
        <v>534.912416458227</v>
      </c>
    </row>
    <row r="275" spans="2:15" ht="12.75">
      <c r="B275" s="16" t="s">
        <v>11</v>
      </c>
      <c r="C275" s="17"/>
      <c r="D275" s="18">
        <v>0</v>
      </c>
      <c r="E275" s="18">
        <v>0</v>
      </c>
      <c r="F275" s="19">
        <v>0</v>
      </c>
      <c r="G275" s="20">
        <f t="shared" si="0"/>
        <v>467.83139087805745</v>
      </c>
      <c r="H275" s="21"/>
      <c r="I275" s="5"/>
      <c r="K275" s="36" t="s">
        <v>126</v>
      </c>
      <c r="L275" s="14" t="s">
        <v>127</v>
      </c>
      <c r="M275" s="17">
        <v>1709.5084723509308</v>
      </c>
      <c r="N275" s="133">
        <f>M275/'Conversion Factors'!$B$2</f>
        <v>775.4200001589982</v>
      </c>
      <c r="O275" s="15">
        <f t="shared" si="1"/>
        <v>581.5650001192487</v>
      </c>
    </row>
    <row r="276" spans="2:15" ht="12.75">
      <c r="B276" s="16" t="s">
        <v>12</v>
      </c>
      <c r="C276" s="17"/>
      <c r="D276" s="18">
        <v>0</v>
      </c>
      <c r="E276" s="18">
        <v>0</v>
      </c>
      <c r="F276" s="19">
        <v>0</v>
      </c>
      <c r="G276" s="20">
        <f t="shared" si="0"/>
        <v>467.83139087805745</v>
      </c>
      <c r="H276" s="21"/>
      <c r="I276" s="5"/>
      <c r="K276" s="36" t="s">
        <v>128</v>
      </c>
      <c r="L276" s="14" t="s">
        <v>129</v>
      </c>
      <c r="M276" s="17">
        <v>945.9392826807119</v>
      </c>
      <c r="N276" s="133">
        <f>M276/'Conversion Factors'!$B$2</f>
        <v>429.07084146705887</v>
      </c>
      <c r="O276" s="15">
        <f t="shared" si="1"/>
        <v>321.80313110029414</v>
      </c>
    </row>
    <row r="277" spans="2:15" ht="12.75">
      <c r="B277" s="16" t="s">
        <v>30</v>
      </c>
      <c r="C277" s="17"/>
      <c r="D277" s="18">
        <v>0</v>
      </c>
      <c r="E277" s="18">
        <v>0</v>
      </c>
      <c r="F277" s="19">
        <v>0</v>
      </c>
      <c r="G277" s="20">
        <f t="shared" si="0"/>
        <v>467.83139087805745</v>
      </c>
      <c r="H277" s="21"/>
      <c r="I277" s="5"/>
      <c r="K277" s="36" t="s">
        <v>130</v>
      </c>
      <c r="L277" s="14" t="s">
        <v>131</v>
      </c>
      <c r="M277" s="17">
        <v>1720.6727592566913</v>
      </c>
      <c r="N277" s="133">
        <f>M277/'Conversion Factors'!$B$2</f>
        <v>780.4840355201886</v>
      </c>
      <c r="O277" s="15">
        <f t="shared" si="1"/>
        <v>585.3630266401415</v>
      </c>
    </row>
    <row r="278" spans="2:15" ht="12.75">
      <c r="B278" s="16" t="s">
        <v>31</v>
      </c>
      <c r="C278" s="17"/>
      <c r="D278" s="18">
        <v>0</v>
      </c>
      <c r="E278" s="18">
        <v>0</v>
      </c>
      <c r="F278" s="19">
        <v>0</v>
      </c>
      <c r="G278" s="20">
        <f t="shared" si="0"/>
        <v>467.83139087805745</v>
      </c>
      <c r="H278" s="21"/>
      <c r="I278" s="5"/>
      <c r="K278" s="36" t="s">
        <v>132</v>
      </c>
      <c r="L278" s="14" t="s">
        <v>133</v>
      </c>
      <c r="M278" s="17">
        <v>1635.4951910017676</v>
      </c>
      <c r="N278" s="133">
        <f>M278/'Conversion Factors'!$B$2</f>
        <v>741.8481404322014</v>
      </c>
      <c r="O278" s="15">
        <f t="shared" si="1"/>
        <v>556.386105324151</v>
      </c>
    </row>
    <row r="279" spans="2:15" ht="12.75">
      <c r="B279" s="16" t="s">
        <v>32</v>
      </c>
      <c r="C279" s="17"/>
      <c r="D279" s="18">
        <v>0</v>
      </c>
      <c r="E279" s="18">
        <v>0</v>
      </c>
      <c r="F279" s="19">
        <v>0</v>
      </c>
      <c r="G279" s="20">
        <f t="shared" si="0"/>
        <v>467.83139087805745</v>
      </c>
      <c r="H279" s="21"/>
      <c r="I279" s="5"/>
      <c r="K279" s="36" t="s">
        <v>134</v>
      </c>
      <c r="L279" s="14" t="s">
        <v>135</v>
      </c>
      <c r="M279" s="17">
        <v>1926.5607018165413</v>
      </c>
      <c r="N279" s="133">
        <f>M279/'Conversion Factors'!$B$2</f>
        <v>873.8732354186502</v>
      </c>
      <c r="O279" s="15">
        <f t="shared" si="1"/>
        <v>655.4049265639876</v>
      </c>
    </row>
    <row r="280" spans="2:15" ht="12.75">
      <c r="B280" s="16" t="s">
        <v>53</v>
      </c>
      <c r="C280" s="17"/>
      <c r="D280" s="18">
        <v>0</v>
      </c>
      <c r="E280" s="18">
        <v>0</v>
      </c>
      <c r="F280" s="19">
        <v>0</v>
      </c>
      <c r="G280" s="20">
        <f t="shared" si="0"/>
        <v>467.83139087805745</v>
      </c>
      <c r="H280" s="21"/>
      <c r="I280" s="5"/>
      <c r="K280" s="36" t="s">
        <v>136</v>
      </c>
      <c r="L280" s="14" t="s">
        <v>137</v>
      </c>
      <c r="M280" s="17">
        <v>2084.84304942925</v>
      </c>
      <c r="N280" s="133">
        <f>M280/'Conversion Factors'!$B$2</f>
        <v>945.6689006616698</v>
      </c>
      <c r="O280" s="15">
        <f t="shared" si="1"/>
        <v>709.2516754962523</v>
      </c>
    </row>
    <row r="281" spans="2:15" ht="12.75">
      <c r="B281" s="16" t="s">
        <v>33</v>
      </c>
      <c r="C281" s="17"/>
      <c r="D281" s="18">
        <v>0</v>
      </c>
      <c r="E281" s="18">
        <v>0</v>
      </c>
      <c r="F281" s="19">
        <v>0</v>
      </c>
      <c r="G281" s="20">
        <f t="shared" si="0"/>
        <v>467.83139087805745</v>
      </c>
      <c r="H281" s="21"/>
      <c r="I281" s="5"/>
      <c r="K281" s="36" t="s">
        <v>138</v>
      </c>
      <c r="L281" s="14" t="s">
        <v>139</v>
      </c>
      <c r="M281" s="17">
        <v>1611.6856183349591</v>
      </c>
      <c r="N281" s="133">
        <f>M281/'Conversion Factors'!$B$2</f>
        <v>731.0482999285199</v>
      </c>
      <c r="O281" s="15">
        <f t="shared" si="1"/>
        <v>548.2862249463899</v>
      </c>
    </row>
    <row r="282" spans="2:15" ht="12.75">
      <c r="B282" s="16" t="s">
        <v>34</v>
      </c>
      <c r="C282" s="17"/>
      <c r="D282" s="18">
        <v>0</v>
      </c>
      <c r="E282" s="18">
        <v>0</v>
      </c>
      <c r="F282" s="19">
        <v>0</v>
      </c>
      <c r="G282" s="20">
        <f t="shared" si="0"/>
        <v>467.83139087805745</v>
      </c>
      <c r="H282" s="21"/>
      <c r="I282" s="5"/>
      <c r="K282" s="36" t="s">
        <v>140</v>
      </c>
      <c r="L282" s="14" t="s">
        <v>141</v>
      </c>
      <c r="M282" s="17">
        <v>1310.3185138259278</v>
      </c>
      <c r="N282" s="133">
        <f>M282/'Conversion Factors'!$B$2</f>
        <v>594.3504806395971</v>
      </c>
      <c r="O282" s="15">
        <f t="shared" si="1"/>
        <v>445.7628604796978</v>
      </c>
    </row>
    <row r="283" spans="2:15" ht="12.75">
      <c r="B283" s="16" t="s">
        <v>35</v>
      </c>
      <c r="C283" s="17"/>
      <c r="D283" s="18">
        <v>0</v>
      </c>
      <c r="E283" s="18">
        <v>0</v>
      </c>
      <c r="F283" s="19">
        <v>0</v>
      </c>
      <c r="G283" s="20">
        <f t="shared" si="0"/>
        <v>467.83139087805745</v>
      </c>
      <c r="H283" s="21"/>
      <c r="I283" s="5"/>
      <c r="K283" s="36" t="s">
        <v>142</v>
      </c>
      <c r="L283" s="14" t="s">
        <v>143</v>
      </c>
      <c r="M283" s="17">
        <v>882.5650339880112</v>
      </c>
      <c r="N283" s="133">
        <f>M283/'Conversion Factors'!$B$2</f>
        <v>400.32476578146117</v>
      </c>
      <c r="O283" s="15">
        <f t="shared" si="1"/>
        <v>300.2435743360959</v>
      </c>
    </row>
    <row r="284" spans="2:15" ht="12.75">
      <c r="B284" s="16" t="s">
        <v>36</v>
      </c>
      <c r="C284" s="17"/>
      <c r="D284" s="18">
        <v>0</v>
      </c>
      <c r="E284" s="18">
        <v>0</v>
      </c>
      <c r="F284" s="19">
        <v>0</v>
      </c>
      <c r="G284" s="20">
        <f t="shared" si="0"/>
        <v>467.83139087805745</v>
      </c>
      <c r="H284" s="21"/>
      <c r="I284" s="5"/>
      <c r="K284" s="36" t="s">
        <v>144</v>
      </c>
      <c r="L284" s="14" t="s">
        <v>145</v>
      </c>
      <c r="M284" s="17">
        <v>1205.460881380477</v>
      </c>
      <c r="N284" s="133">
        <f>M284/'Conversion Factors'!$B$2</f>
        <v>546.7878585861906</v>
      </c>
      <c r="O284" s="15">
        <f t="shared" si="1"/>
        <v>410.09089393964297</v>
      </c>
    </row>
    <row r="285" spans="2:15" ht="12.75">
      <c r="B285" s="16" t="s">
        <v>37</v>
      </c>
      <c r="C285" s="17"/>
      <c r="D285" s="18">
        <v>115</v>
      </c>
      <c r="E285" s="18">
        <v>7.4695728158368</v>
      </c>
      <c r="F285" s="19">
        <v>0.85</v>
      </c>
      <c r="G285" s="20">
        <f t="shared" si="0"/>
        <v>467.83139087805745</v>
      </c>
      <c r="H285" s="21"/>
      <c r="I285" s="5"/>
      <c r="K285" s="36" t="s">
        <v>146</v>
      </c>
      <c r="L285" s="14" t="s">
        <v>147</v>
      </c>
      <c r="M285" s="17">
        <v>882.5650339880112</v>
      </c>
      <c r="N285" s="133">
        <f>M285/'Conversion Factors'!$B$2</f>
        <v>400.32476578146117</v>
      </c>
      <c r="O285" s="15">
        <f t="shared" si="1"/>
        <v>300.2435743360959</v>
      </c>
    </row>
    <row r="286" spans="2:15" ht="12.75">
      <c r="B286" s="16" t="s">
        <v>38</v>
      </c>
      <c r="C286" s="17"/>
      <c r="D286" s="18">
        <v>221</v>
      </c>
      <c r="E286" s="18">
        <v>5.392559460604304</v>
      </c>
      <c r="F286" s="19">
        <v>0.69</v>
      </c>
      <c r="G286" s="20">
        <f t="shared" si="0"/>
        <v>467.83139087805745</v>
      </c>
      <c r="H286" s="21"/>
      <c r="I286" s="5"/>
      <c r="K286" s="36" t="s">
        <v>148</v>
      </c>
      <c r="L286" s="14" t="s">
        <v>149</v>
      </c>
      <c r="M286" s="17">
        <v>1647.3253882826502</v>
      </c>
      <c r="N286" s="133">
        <f>M286/'Conversion Factors'!$B$2</f>
        <v>747.2142276589044</v>
      </c>
      <c r="O286" s="15">
        <f t="shared" si="1"/>
        <v>560.4106707441783</v>
      </c>
    </row>
    <row r="287" spans="2:15" ht="12.75">
      <c r="B287" s="16" t="s">
        <v>13</v>
      </c>
      <c r="C287" s="17"/>
      <c r="D287" s="18">
        <v>0</v>
      </c>
      <c r="E287" s="18">
        <v>0</v>
      </c>
      <c r="F287" s="19">
        <v>0</v>
      </c>
      <c r="G287" s="20">
        <f t="shared" si="0"/>
        <v>467.83139087805745</v>
      </c>
      <c r="H287" s="21"/>
      <c r="I287" s="5"/>
      <c r="K287" s="36" t="s">
        <v>150</v>
      </c>
      <c r="L287" s="14" t="s">
        <v>151</v>
      </c>
      <c r="M287" s="17">
        <v>1926.495388376719</v>
      </c>
      <c r="N287" s="133">
        <f>M287/'Conversion Factors'!$B$2</f>
        <v>873.8436097406635</v>
      </c>
      <c r="O287" s="15">
        <f t="shared" si="1"/>
        <v>655.3827073054977</v>
      </c>
    </row>
    <row r="288" spans="2:15" ht="12.75">
      <c r="B288" s="16" t="s">
        <v>39</v>
      </c>
      <c r="C288" s="17"/>
      <c r="D288" s="18">
        <v>0</v>
      </c>
      <c r="E288" s="18">
        <v>0</v>
      </c>
      <c r="F288" s="19">
        <v>0</v>
      </c>
      <c r="G288" s="20">
        <f t="shared" si="0"/>
        <v>467.83139087805745</v>
      </c>
      <c r="H288" s="21"/>
      <c r="I288" s="5"/>
      <c r="K288" s="36" t="s">
        <v>152</v>
      </c>
      <c r="L288" s="14" t="s">
        <v>153</v>
      </c>
      <c r="M288" s="17">
        <v>1381.4429802585412</v>
      </c>
      <c r="N288" s="133">
        <f>M288/'Conversion Factors'!$B$2</f>
        <v>626.6119959608059</v>
      </c>
      <c r="O288" s="15">
        <f t="shared" si="1"/>
        <v>469.9589969706044</v>
      </c>
    </row>
    <row r="289" spans="2:15" ht="12.75">
      <c r="B289" s="16" t="s">
        <v>40</v>
      </c>
      <c r="C289" s="17"/>
      <c r="D289" s="18">
        <v>0</v>
      </c>
      <c r="E289" s="18">
        <v>0</v>
      </c>
      <c r="F289" s="19">
        <v>0</v>
      </c>
      <c r="G289" s="20">
        <f t="shared" si="0"/>
        <v>467.83139087805745</v>
      </c>
      <c r="H289" s="21"/>
      <c r="I289" s="5"/>
      <c r="K289" s="36" t="s">
        <v>154</v>
      </c>
      <c r="L289" s="14" t="s">
        <v>155</v>
      </c>
      <c r="M289" s="17">
        <v>1977.8311676349028</v>
      </c>
      <c r="N289" s="133">
        <f>M289/'Conversion Factors'!$B$2</f>
        <v>897.1291275397069</v>
      </c>
      <c r="O289" s="15">
        <f t="shared" si="1"/>
        <v>672.8468456547802</v>
      </c>
    </row>
    <row r="290" spans="2:15" ht="12.75">
      <c r="B290" s="16" t="s">
        <v>14</v>
      </c>
      <c r="C290" s="17"/>
      <c r="D290" s="18">
        <v>0</v>
      </c>
      <c r="E290" s="18">
        <v>0</v>
      </c>
      <c r="F290" s="19">
        <v>0</v>
      </c>
      <c r="G290" s="20">
        <f t="shared" si="0"/>
        <v>467.83139087805745</v>
      </c>
      <c r="H290" s="21"/>
      <c r="I290" s="5"/>
      <c r="K290" s="36" t="s">
        <v>156</v>
      </c>
      <c r="L290" s="14" t="s">
        <v>157</v>
      </c>
      <c r="M290" s="17">
        <v>983.9511049092911</v>
      </c>
      <c r="N290" s="133">
        <f>M290/'Conversion Factors'!$B$2</f>
        <v>446.31271401419764</v>
      </c>
      <c r="O290" s="15">
        <f t="shared" si="1"/>
        <v>334.73453551064824</v>
      </c>
    </row>
    <row r="291" spans="2:15" ht="12.75">
      <c r="B291" s="16" t="s">
        <v>15</v>
      </c>
      <c r="C291" s="17"/>
      <c r="D291" s="18">
        <v>0</v>
      </c>
      <c r="E291" s="18">
        <v>0</v>
      </c>
      <c r="F291" s="19">
        <v>0</v>
      </c>
      <c r="G291" s="20">
        <f t="shared" si="0"/>
        <v>467.83139087805745</v>
      </c>
      <c r="H291" s="21"/>
      <c r="I291" s="5"/>
      <c r="K291" s="36" t="s">
        <v>158</v>
      </c>
      <c r="L291" s="14" t="s">
        <v>159</v>
      </c>
      <c r="M291" s="17">
        <v>1927.183153924134</v>
      </c>
      <c r="N291" s="133">
        <f>M291/'Conversion Factors'!$B$2</f>
        <v>874.1555749455815</v>
      </c>
      <c r="O291" s="15">
        <f t="shared" si="1"/>
        <v>655.6166812091861</v>
      </c>
    </row>
    <row r="292" spans="2:15" ht="12.75">
      <c r="B292" s="16" t="s">
        <v>41</v>
      </c>
      <c r="C292" s="17"/>
      <c r="D292" s="18">
        <v>318</v>
      </c>
      <c r="E292" s="18">
        <v>6.725842508710802</v>
      </c>
      <c r="F292" s="19">
        <v>0.72</v>
      </c>
      <c r="G292" s="20">
        <f t="shared" si="0"/>
        <v>467.83139087805745</v>
      </c>
      <c r="H292" s="21"/>
      <c r="I292" s="5"/>
      <c r="K292" s="36" t="s">
        <v>160</v>
      </c>
      <c r="L292" s="14" t="s">
        <v>161</v>
      </c>
      <c r="M292" s="17">
        <v>1264.2106060522933</v>
      </c>
      <c r="N292" s="133">
        <f>M292/'Conversion Factors'!$B$2</f>
        <v>573.4362854592744</v>
      </c>
      <c r="O292" s="15">
        <f t="shared" si="1"/>
        <v>430.07721409445577</v>
      </c>
    </row>
    <row r="293" spans="2:15" ht="12.75">
      <c r="B293" s="16" t="s">
        <v>42</v>
      </c>
      <c r="C293" s="17"/>
      <c r="D293" s="18">
        <v>0</v>
      </c>
      <c r="E293" s="18">
        <v>0</v>
      </c>
      <c r="F293" s="19">
        <v>0</v>
      </c>
      <c r="G293" s="20">
        <f t="shared" si="0"/>
        <v>467.83139087805745</v>
      </c>
      <c r="H293" s="21"/>
      <c r="I293" s="5"/>
      <c r="K293" s="36" t="s">
        <v>162</v>
      </c>
      <c r="L293" s="14" t="s">
        <v>163</v>
      </c>
      <c r="M293" s="17">
        <v>882.5650339880112</v>
      </c>
      <c r="N293" s="133">
        <f>M293/'Conversion Factors'!$B$2</f>
        <v>400.32476578146117</v>
      </c>
      <c r="O293" s="15">
        <f t="shared" si="1"/>
        <v>300.2435743360959</v>
      </c>
    </row>
    <row r="294" spans="2:15" ht="12.75">
      <c r="B294" s="16" t="s">
        <v>43</v>
      </c>
      <c r="C294" s="17"/>
      <c r="D294" s="18">
        <v>0</v>
      </c>
      <c r="E294" s="18">
        <v>0</v>
      </c>
      <c r="F294" s="19">
        <v>0</v>
      </c>
      <c r="G294" s="20">
        <f t="shared" si="0"/>
        <v>467.83139087805745</v>
      </c>
      <c r="H294" s="21"/>
      <c r="I294" s="5"/>
      <c r="K294" s="36" t="s">
        <v>164</v>
      </c>
      <c r="L294" s="14" t="s">
        <v>165</v>
      </c>
      <c r="M294" s="17">
        <v>1151.924679818842</v>
      </c>
      <c r="N294" s="133">
        <f>M294/'Conversion Factors'!$B$2</f>
        <v>522.5042460186869</v>
      </c>
      <c r="O294" s="15">
        <f t="shared" si="1"/>
        <v>391.8781845140152</v>
      </c>
    </row>
    <row r="295" spans="2:15" ht="12.75">
      <c r="B295" s="16" t="s">
        <v>44</v>
      </c>
      <c r="C295" s="17"/>
      <c r="D295" s="18">
        <v>0</v>
      </c>
      <c r="E295" s="18">
        <v>0</v>
      </c>
      <c r="F295" s="19">
        <v>0</v>
      </c>
      <c r="G295" s="20">
        <f t="shared" si="0"/>
        <v>467.83139087805745</v>
      </c>
      <c r="H295" s="21"/>
      <c r="I295" s="5"/>
      <c r="K295" s="36" t="s">
        <v>166</v>
      </c>
      <c r="L295" s="14" t="s">
        <v>167</v>
      </c>
      <c r="M295" s="17">
        <v>1459.8587374931042</v>
      </c>
      <c r="N295" s="133">
        <f>M295/'Conversion Factors'!$B$2</f>
        <v>662.1807851600036</v>
      </c>
      <c r="O295" s="15">
        <f t="shared" si="1"/>
        <v>496.63558887000266</v>
      </c>
    </row>
    <row r="296" spans="2:15" ht="12.75">
      <c r="B296" s="16" t="s">
        <v>16</v>
      </c>
      <c r="C296" s="17"/>
      <c r="D296" s="18">
        <v>0</v>
      </c>
      <c r="E296" s="18">
        <v>0</v>
      </c>
      <c r="F296" s="19">
        <v>0</v>
      </c>
      <c r="G296" s="20">
        <f t="shared" si="0"/>
        <v>467.83139087805745</v>
      </c>
      <c r="H296" s="21"/>
      <c r="I296" s="5"/>
      <c r="K296" s="36" t="s">
        <v>168</v>
      </c>
      <c r="L296" s="14" t="s">
        <v>169</v>
      </c>
      <c r="M296" s="17">
        <v>875.9701587467084</v>
      </c>
      <c r="N296" s="133">
        <f>M296/'Conversion Factors'!$B$2</f>
        <v>397.3333806883958</v>
      </c>
      <c r="O296" s="15">
        <f t="shared" si="1"/>
        <v>298.00003551629686</v>
      </c>
    </row>
    <row r="297" spans="2:15" ht="12.75">
      <c r="B297" s="16" t="s">
        <v>45</v>
      </c>
      <c r="C297" s="17"/>
      <c r="D297" s="18">
        <v>0</v>
      </c>
      <c r="E297" s="18">
        <v>0</v>
      </c>
      <c r="F297" s="19">
        <v>0</v>
      </c>
      <c r="G297" s="20">
        <f t="shared" si="0"/>
        <v>467.83139087805745</v>
      </c>
      <c r="H297" s="21"/>
      <c r="I297" s="5"/>
      <c r="K297" s="36" t="s">
        <v>170</v>
      </c>
      <c r="L297" s="14" t="s">
        <v>171</v>
      </c>
      <c r="M297" s="17">
        <v>1191.8896094222669</v>
      </c>
      <c r="N297" s="133">
        <f>M297/'Conversion Factors'!$B$2</f>
        <v>540.6320331695894</v>
      </c>
      <c r="O297" s="15">
        <f t="shared" si="1"/>
        <v>405.47402487719205</v>
      </c>
    </row>
    <row r="298" spans="2:15" ht="12.75">
      <c r="B298" s="16" t="s">
        <v>47</v>
      </c>
      <c r="C298" s="17"/>
      <c r="D298" s="18">
        <v>0</v>
      </c>
      <c r="E298" s="18">
        <v>0</v>
      </c>
      <c r="F298" s="19">
        <v>0</v>
      </c>
      <c r="G298" s="20">
        <f t="shared" si="0"/>
        <v>467.83139087805745</v>
      </c>
      <c r="H298" s="21"/>
      <c r="I298" s="5"/>
      <c r="K298" s="36" t="s">
        <v>172</v>
      </c>
      <c r="L298" s="14" t="s">
        <v>173</v>
      </c>
      <c r="M298" s="17">
        <v>1926.495388376719</v>
      </c>
      <c r="N298" s="133">
        <f>M298/'Conversion Factors'!$B$2</f>
        <v>873.8436097406635</v>
      </c>
      <c r="O298" s="15">
        <f t="shared" si="1"/>
        <v>655.3827073054977</v>
      </c>
    </row>
    <row r="299" spans="2:15" ht="13.5" thickBot="1">
      <c r="B299" s="22" t="s">
        <v>46</v>
      </c>
      <c r="C299" s="23"/>
      <c r="D299" s="24">
        <v>408</v>
      </c>
      <c r="E299" s="24">
        <v>17.312767001614414</v>
      </c>
      <c r="F299" s="25">
        <v>0.68</v>
      </c>
      <c r="G299" s="26">
        <f t="shared" si="0"/>
        <v>467.83139087805745</v>
      </c>
      <c r="H299" s="27"/>
      <c r="I299" s="5"/>
      <c r="K299" s="36" t="s">
        <v>174</v>
      </c>
      <c r="L299" s="14" t="s">
        <v>175</v>
      </c>
      <c r="M299" s="17">
        <v>1635.4951910017676</v>
      </c>
      <c r="N299" s="133">
        <f>M299/'Conversion Factors'!$B$2</f>
        <v>741.8481404322014</v>
      </c>
      <c r="O299" s="15">
        <f t="shared" si="1"/>
        <v>556.386105324151</v>
      </c>
    </row>
    <row r="300" spans="11:15" ht="13.5" thickBot="1">
      <c r="K300" s="36" t="s">
        <v>176</v>
      </c>
      <c r="L300" s="14" t="s">
        <v>177</v>
      </c>
      <c r="M300" s="17">
        <v>1761.9966837161653</v>
      </c>
      <c r="N300" s="133">
        <f>M300/'Conversion Factors'!$B$2</f>
        <v>799.2282523691812</v>
      </c>
      <c r="O300" s="15">
        <f t="shared" si="1"/>
        <v>599.4211892768859</v>
      </c>
    </row>
    <row r="301" spans="2:15" ht="12.75">
      <c r="B301" s="1073" t="s">
        <v>211</v>
      </c>
      <c r="C301" s="1074"/>
      <c r="D301" s="1074"/>
      <c r="E301" s="1074"/>
      <c r="F301" s="1074"/>
      <c r="G301" s="1074"/>
      <c r="H301" s="1075"/>
      <c r="K301" s="36" t="s">
        <v>178</v>
      </c>
      <c r="L301" s="14" t="s">
        <v>179</v>
      </c>
      <c r="M301" s="17">
        <v>945.9392826807119</v>
      </c>
      <c r="N301" s="133">
        <f>M301/'Conversion Factors'!$B$2</f>
        <v>429.07084146705887</v>
      </c>
      <c r="O301" s="15">
        <f t="shared" si="1"/>
        <v>321.80313110029414</v>
      </c>
    </row>
    <row r="302" spans="2:15" ht="12.75">
      <c r="B302" s="6" t="s">
        <v>17</v>
      </c>
      <c r="C302" s="7" t="s">
        <v>50</v>
      </c>
      <c r="D302" s="7" t="s">
        <v>57</v>
      </c>
      <c r="E302" s="7" t="s">
        <v>52</v>
      </c>
      <c r="F302" s="7" t="s">
        <v>18</v>
      </c>
      <c r="G302" s="7" t="s">
        <v>67</v>
      </c>
      <c r="H302" s="8" t="s">
        <v>49</v>
      </c>
      <c r="K302" s="36" t="s">
        <v>180</v>
      </c>
      <c r="L302" s="14" t="s">
        <v>181</v>
      </c>
      <c r="M302" s="17">
        <v>1280.131910407154</v>
      </c>
      <c r="N302" s="133">
        <f>M302/'Conversion Factors'!$B$2</f>
        <v>580.6580676411431</v>
      </c>
      <c r="O302" s="15">
        <f t="shared" si="1"/>
        <v>435.49355073085735</v>
      </c>
    </row>
    <row r="303" spans="2:15" ht="12.75">
      <c r="B303" s="9"/>
      <c r="C303" s="10"/>
      <c r="D303" s="10" t="s">
        <v>58</v>
      </c>
      <c r="E303" s="10" t="s">
        <v>54</v>
      </c>
      <c r="F303" s="11" t="s">
        <v>71</v>
      </c>
      <c r="G303" s="11" t="s">
        <v>51</v>
      </c>
      <c r="H303" s="12" t="s">
        <v>71</v>
      </c>
      <c r="K303" s="36" t="s">
        <v>182</v>
      </c>
      <c r="L303" s="14" t="s">
        <v>183</v>
      </c>
      <c r="M303" s="17">
        <v>882.5650339880112</v>
      </c>
      <c r="N303" s="133">
        <f>M303/'Conversion Factors'!$B$2</f>
        <v>400.32476578146117</v>
      </c>
      <c r="O303" s="15">
        <f t="shared" si="1"/>
        <v>300.2435743360959</v>
      </c>
    </row>
    <row r="304" spans="2:15" ht="12.75">
      <c r="B304" s="13" t="s">
        <v>55</v>
      </c>
      <c r="C304" s="14">
        <v>0</v>
      </c>
      <c r="D304" s="14">
        <v>0</v>
      </c>
      <c r="E304" s="14">
        <v>0</v>
      </c>
      <c r="F304" s="14">
        <v>0</v>
      </c>
      <c r="G304" s="14"/>
      <c r="H304" s="15"/>
      <c r="K304" s="36" t="s">
        <v>184</v>
      </c>
      <c r="L304" s="14" t="s">
        <v>185</v>
      </c>
      <c r="M304" s="17">
        <v>1190.0765668560896</v>
      </c>
      <c r="N304" s="133">
        <f>M304/'Conversion Factors'!$B$2</f>
        <v>539.8096508943964</v>
      </c>
      <c r="O304" s="15">
        <f t="shared" si="1"/>
        <v>404.85723817079736</v>
      </c>
    </row>
    <row r="305" spans="2:15" ht="12.75">
      <c r="B305" s="16" t="s">
        <v>19</v>
      </c>
      <c r="C305" s="17">
        <v>2270003010</v>
      </c>
      <c r="D305" s="18">
        <v>384</v>
      </c>
      <c r="E305" s="18">
        <v>50.71385532137202</v>
      </c>
      <c r="F305" s="19">
        <v>0.21</v>
      </c>
      <c r="G305" s="20"/>
      <c r="H305" s="21"/>
      <c r="K305" s="36" t="s">
        <v>186</v>
      </c>
      <c r="L305" s="14" t="s">
        <v>187</v>
      </c>
      <c r="M305" s="17">
        <v>1940.1700822019175</v>
      </c>
      <c r="N305" s="133">
        <f>M305/'Conversion Factors'!$B$2</f>
        <v>880.0463465270612</v>
      </c>
      <c r="O305" s="15">
        <f t="shared" si="1"/>
        <v>660.0347598952959</v>
      </c>
    </row>
    <row r="306" spans="2:15" ht="12.75">
      <c r="B306" s="16" t="s">
        <v>20</v>
      </c>
      <c r="C306" s="17">
        <v>2270006015</v>
      </c>
      <c r="D306" s="18">
        <v>815</v>
      </c>
      <c r="E306" s="18">
        <v>82.37033580800076</v>
      </c>
      <c r="F306" s="19">
        <v>0.43</v>
      </c>
      <c r="G306" s="20"/>
      <c r="H306" s="21"/>
      <c r="K306" s="36" t="s">
        <v>188</v>
      </c>
      <c r="L306" s="14" t="s">
        <v>189</v>
      </c>
      <c r="M306" s="17">
        <v>1607.1791056438833</v>
      </c>
      <c r="N306" s="133">
        <f>M306/'Conversion Factors'!$B$2</f>
        <v>729.0041801548255</v>
      </c>
      <c r="O306" s="15">
        <f t="shared" si="1"/>
        <v>546.7531351161191</v>
      </c>
    </row>
    <row r="307" spans="2:15" ht="12.75">
      <c r="B307" s="16" t="s">
        <v>21</v>
      </c>
      <c r="C307" s="17">
        <v>2270002033</v>
      </c>
      <c r="D307" s="18">
        <v>466</v>
      </c>
      <c r="E307" s="18">
        <v>185.79587958984933</v>
      </c>
      <c r="F307" s="19">
        <v>0.43</v>
      </c>
      <c r="G307" s="20">
        <f>G20*0.75</f>
        <v>416.5994614528723</v>
      </c>
      <c r="H307" s="21"/>
      <c r="K307" s="36" t="s">
        <v>190</v>
      </c>
      <c r="L307" s="14" t="s">
        <v>191</v>
      </c>
      <c r="M307" s="17">
        <v>1410.6822428890382</v>
      </c>
      <c r="N307" s="133">
        <f>M307/'Conversion Factors'!$B$2</f>
        <v>639.8747024055474</v>
      </c>
      <c r="O307" s="15">
        <f t="shared" si="1"/>
        <v>479.90602680416055</v>
      </c>
    </row>
    <row r="308" spans="2:15" ht="12.75">
      <c r="B308" s="16" t="s">
        <v>22</v>
      </c>
      <c r="C308" s="17">
        <v>2270002042</v>
      </c>
      <c r="D308" s="18">
        <v>275</v>
      </c>
      <c r="E308" s="18">
        <v>20.799406950948974</v>
      </c>
      <c r="F308" s="19">
        <v>0.43</v>
      </c>
      <c r="G308" s="20"/>
      <c r="H308" s="21"/>
      <c r="K308" s="36" t="s">
        <v>192</v>
      </c>
      <c r="L308" s="14" t="s">
        <v>193</v>
      </c>
      <c r="M308" s="17">
        <v>951.3177406471791</v>
      </c>
      <c r="N308" s="133">
        <f>M308/'Conversion Factors'!$B$2</f>
        <v>431.51046896505994</v>
      </c>
      <c r="O308" s="15">
        <f t="shared" si="1"/>
        <v>323.63285172379494</v>
      </c>
    </row>
    <row r="309" spans="2:15" ht="12.75">
      <c r="B309" s="16" t="s">
        <v>23</v>
      </c>
      <c r="C309" s="17">
        <v>2270002039</v>
      </c>
      <c r="D309" s="18">
        <v>580</v>
      </c>
      <c r="E309" s="18">
        <v>46.68543396226415</v>
      </c>
      <c r="F309" s="19">
        <v>0.59</v>
      </c>
      <c r="G309" s="20"/>
      <c r="H309" s="21"/>
      <c r="K309" s="36" t="s">
        <v>194</v>
      </c>
      <c r="L309" s="14" t="s">
        <v>195</v>
      </c>
      <c r="M309" s="17">
        <v>882.5650339880112</v>
      </c>
      <c r="N309" s="133">
        <f>M309/'Conversion Factors'!$B$2</f>
        <v>400.32476578146117</v>
      </c>
      <c r="O309" s="15">
        <f t="shared" si="1"/>
        <v>300.2435743360959</v>
      </c>
    </row>
    <row r="310" spans="2:15" ht="12.75">
      <c r="B310" s="16" t="s">
        <v>24</v>
      </c>
      <c r="C310" s="17">
        <v>2270002045</v>
      </c>
      <c r="D310" s="18">
        <v>990</v>
      </c>
      <c r="E310" s="18">
        <v>198.97779393847094</v>
      </c>
      <c r="F310" s="19">
        <v>0.43</v>
      </c>
      <c r="G310" s="20">
        <f>G23*0.75</f>
        <v>403.24808123225955</v>
      </c>
      <c r="H310" s="21"/>
      <c r="K310" s="36" t="s">
        <v>196</v>
      </c>
      <c r="L310" s="14" t="s">
        <v>197</v>
      </c>
      <c r="M310" s="17">
        <v>1270.9611052933503</v>
      </c>
      <c r="N310" s="133">
        <f>M310/'Conversion Factors'!$B$2</f>
        <v>576.4982604112764</v>
      </c>
      <c r="O310" s="15">
        <f t="shared" si="1"/>
        <v>432.3736953084573</v>
      </c>
    </row>
    <row r="311" spans="2:15" ht="12.75">
      <c r="B311" s="16" t="s">
        <v>25</v>
      </c>
      <c r="C311" s="17">
        <v>2270002075</v>
      </c>
      <c r="D311" s="18">
        <v>855</v>
      </c>
      <c r="E311" s="18">
        <v>856.7697368421052</v>
      </c>
      <c r="F311" s="19">
        <v>0.59</v>
      </c>
      <c r="G311" s="20">
        <f>G24*0.75</f>
        <v>401.0404205582499</v>
      </c>
      <c r="H311" s="21"/>
      <c r="K311" s="36" t="s">
        <v>198</v>
      </c>
      <c r="L311" s="14" t="s">
        <v>199</v>
      </c>
      <c r="M311" s="17">
        <v>945.9392826807119</v>
      </c>
      <c r="N311" s="133">
        <f>M311/'Conversion Factors'!$B$2</f>
        <v>429.07084146705887</v>
      </c>
      <c r="O311" s="15">
        <f t="shared" si="1"/>
        <v>321.80313110029414</v>
      </c>
    </row>
    <row r="312" spans="2:15" ht="12.75">
      <c r="B312" s="16" t="s">
        <v>26</v>
      </c>
      <c r="C312" s="17">
        <v>2270002054</v>
      </c>
      <c r="D312" s="18">
        <v>955</v>
      </c>
      <c r="E312" s="18">
        <v>142.73804862764757</v>
      </c>
      <c r="F312" s="19">
        <v>0.43</v>
      </c>
      <c r="G312" s="20">
        <f>G25*0.75</f>
        <v>424.0662864037652</v>
      </c>
      <c r="H312" s="21"/>
      <c r="K312" s="36" t="s">
        <v>200</v>
      </c>
      <c r="L312" s="14" t="s">
        <v>201</v>
      </c>
      <c r="M312" s="17">
        <v>1635.4951910017676</v>
      </c>
      <c r="N312" s="133">
        <f>M312/'Conversion Factors'!$B$2</f>
        <v>741.8481404322014</v>
      </c>
      <c r="O312" s="15">
        <f t="shared" si="1"/>
        <v>556.386105324151</v>
      </c>
    </row>
    <row r="313" spans="2:15" ht="12.75">
      <c r="B313" s="16" t="s">
        <v>27</v>
      </c>
      <c r="C313" s="17">
        <v>2270002078</v>
      </c>
      <c r="D313" s="18">
        <v>566</v>
      </c>
      <c r="E313" s="18">
        <v>35.699275949367085</v>
      </c>
      <c r="F313" s="19">
        <v>0.21</v>
      </c>
      <c r="G313" s="20"/>
      <c r="H313" s="21"/>
      <c r="K313" s="36" t="s">
        <v>202</v>
      </c>
      <c r="L313" s="14" t="s">
        <v>203</v>
      </c>
      <c r="M313" s="17">
        <v>1802.4907462293922</v>
      </c>
      <c r="N313" s="133">
        <f>M313/'Conversion Factors'!$B$2</f>
        <v>817.596050170887</v>
      </c>
      <c r="O313" s="15">
        <f t="shared" si="1"/>
        <v>613.1970376281653</v>
      </c>
    </row>
    <row r="314" spans="2:15" ht="12.75">
      <c r="B314" s="16" t="s">
        <v>28</v>
      </c>
      <c r="C314" s="17">
        <v>2270002036</v>
      </c>
      <c r="D314" s="18">
        <v>1092</v>
      </c>
      <c r="E314" s="18">
        <v>178.35910929569292</v>
      </c>
      <c r="F314" s="19">
        <v>0.59</v>
      </c>
      <c r="G314" s="20">
        <f>G27*0.75</f>
        <v>411.5335482737871</v>
      </c>
      <c r="H314" s="21"/>
      <c r="K314" s="36" t="s">
        <v>204</v>
      </c>
      <c r="L314" s="14" t="s">
        <v>205</v>
      </c>
      <c r="M314" s="17">
        <v>1204.8346886506563</v>
      </c>
      <c r="N314" s="133">
        <f>M314/'Conversion Factors'!$B$2</f>
        <v>546.5038223415563</v>
      </c>
      <c r="O314" s="15">
        <f t="shared" si="1"/>
        <v>409.87786675616724</v>
      </c>
    </row>
    <row r="315" spans="2:15" ht="13.5" thickBot="1">
      <c r="B315" s="16" t="s">
        <v>29</v>
      </c>
      <c r="C315" s="17">
        <v>2270003020</v>
      </c>
      <c r="D315" s="18">
        <v>1700</v>
      </c>
      <c r="E315" s="18">
        <v>97.17140034167113</v>
      </c>
      <c r="F315" s="19">
        <v>0.59</v>
      </c>
      <c r="G315" s="20"/>
      <c r="H315" s="21"/>
      <c r="K315" s="37" t="s">
        <v>895</v>
      </c>
      <c r="L315" s="38" t="s">
        <v>844</v>
      </c>
      <c r="M315" s="23">
        <f>AVERAGE(M264:M314)</f>
        <v>1375.1888889011027</v>
      </c>
      <c r="N315" s="134">
        <f>M315/'Conversion Factors'!$B$2</f>
        <v>623.7751878374099</v>
      </c>
      <c r="O315" s="39">
        <f>N315*0.75</f>
        <v>467.83139087805745</v>
      </c>
    </row>
    <row r="316" spans="2:8" ht="11.25">
      <c r="B316" s="16" t="s">
        <v>11</v>
      </c>
      <c r="C316" s="17">
        <v>2270006005</v>
      </c>
      <c r="D316" s="18">
        <v>338</v>
      </c>
      <c r="E316" s="18">
        <v>56.94872629304536</v>
      </c>
      <c r="F316" s="19">
        <v>0.43</v>
      </c>
      <c r="G316" s="20"/>
      <c r="H316" s="21"/>
    </row>
    <row r="317" spans="2:8" ht="11.25">
      <c r="B317" s="16" t="s">
        <v>12</v>
      </c>
      <c r="C317" s="17">
        <v>2270002048</v>
      </c>
      <c r="D317" s="18">
        <v>962</v>
      </c>
      <c r="E317" s="18">
        <v>207.88202579022777</v>
      </c>
      <c r="F317" s="19">
        <v>0.59</v>
      </c>
      <c r="G317" s="20">
        <f>G30*0.75</f>
        <v>402.68890148989783</v>
      </c>
      <c r="H317" s="21"/>
    </row>
    <row r="318" spans="2:8" ht="11.25">
      <c r="B318" s="16" t="s">
        <v>30</v>
      </c>
      <c r="C318" s="17">
        <v>2270002075</v>
      </c>
      <c r="D318" s="18">
        <v>855</v>
      </c>
      <c r="E318" s="18">
        <v>856.7697368421052</v>
      </c>
      <c r="F318" s="19">
        <v>0.59</v>
      </c>
      <c r="G318" s="20">
        <f>G31*0.75</f>
        <v>401.0404205582499</v>
      </c>
      <c r="H318" s="21"/>
    </row>
    <row r="319" spans="2:8" ht="11.25">
      <c r="B319" s="16" t="s">
        <v>31</v>
      </c>
      <c r="C319" s="17">
        <v>2270002051</v>
      </c>
      <c r="D319" s="18">
        <v>1641</v>
      </c>
      <c r="E319" s="18">
        <v>858.2894372232539</v>
      </c>
      <c r="F319" s="19">
        <v>0.59</v>
      </c>
      <c r="G319" s="20">
        <f>G32*0.75</f>
        <v>401.0404205582499</v>
      </c>
      <c r="H319" s="21"/>
    </row>
    <row r="320" spans="2:8" ht="11.25">
      <c r="B320" s="16" t="s">
        <v>32</v>
      </c>
      <c r="C320" s="17">
        <v>2270002081</v>
      </c>
      <c r="D320" s="18">
        <v>606</v>
      </c>
      <c r="E320" s="18">
        <v>319.0232308845577</v>
      </c>
      <c r="F320" s="19">
        <v>0.59</v>
      </c>
      <c r="G320" s="20">
        <f>G33*0.75</f>
        <v>406.0171076456379</v>
      </c>
      <c r="H320" s="21"/>
    </row>
    <row r="321" spans="2:8" ht="11.25">
      <c r="B321" s="16" t="s">
        <v>53</v>
      </c>
      <c r="C321" s="17">
        <v>2270003040</v>
      </c>
      <c r="D321" s="18">
        <v>878</v>
      </c>
      <c r="E321" s="18">
        <v>91.76064390599241</v>
      </c>
      <c r="F321" s="19">
        <v>0.43</v>
      </c>
      <c r="G321" s="20"/>
      <c r="H321" s="21"/>
    </row>
    <row r="322" spans="2:8" ht="11.25">
      <c r="B322" s="16" t="s">
        <v>33</v>
      </c>
      <c r="C322" s="17">
        <v>2270003050</v>
      </c>
      <c r="D322" s="18">
        <v>421</v>
      </c>
      <c r="E322" s="18">
        <v>121.87004129793512</v>
      </c>
      <c r="F322" s="19">
        <v>0.21</v>
      </c>
      <c r="G322" s="20">
        <f>G35*0.75</f>
        <v>490.32762338092857</v>
      </c>
      <c r="H322" s="21"/>
    </row>
    <row r="323" spans="2:8" ht="11.25">
      <c r="B323" s="16" t="s">
        <v>34</v>
      </c>
      <c r="C323" s="17">
        <v>2270002003</v>
      </c>
      <c r="D323" s="18">
        <v>821</v>
      </c>
      <c r="E323" s="18">
        <v>114.55409904823357</v>
      </c>
      <c r="F323" s="19">
        <v>0.59</v>
      </c>
      <c r="G323" s="20">
        <f>G36*0.75</f>
        <v>422.7859056426192</v>
      </c>
      <c r="H323" s="21"/>
    </row>
    <row r="324" spans="2:8" ht="11.25">
      <c r="B324" s="16" t="s">
        <v>35</v>
      </c>
      <c r="C324" s="17">
        <v>2270002021</v>
      </c>
      <c r="D324" s="18">
        <v>622</v>
      </c>
      <c r="E324" s="18">
        <v>74.35238135696079</v>
      </c>
      <c r="F324" s="19">
        <v>0.59</v>
      </c>
      <c r="G324" s="20"/>
      <c r="H324" s="21"/>
    </row>
    <row r="325" spans="2:8" ht="11.25">
      <c r="B325" s="16" t="s">
        <v>36</v>
      </c>
      <c r="C325" s="17">
        <v>2270002009</v>
      </c>
      <c r="D325" s="18">
        <v>484</v>
      </c>
      <c r="E325" s="18">
        <v>6.892198967727298</v>
      </c>
      <c r="F325" s="19">
        <v>0.43</v>
      </c>
      <c r="G325" s="20"/>
      <c r="H325" s="21"/>
    </row>
    <row r="326" spans="2:8" ht="11.25">
      <c r="B326" s="16" t="s">
        <v>37</v>
      </c>
      <c r="C326" s="17">
        <v>2270006030</v>
      </c>
      <c r="D326" s="18">
        <v>145</v>
      </c>
      <c r="E326" s="18">
        <v>52.62569356673407</v>
      </c>
      <c r="F326" s="19">
        <v>0.43</v>
      </c>
      <c r="G326" s="20"/>
      <c r="H326" s="21"/>
    </row>
    <row r="327" spans="2:8" ht="11.25">
      <c r="B327" s="16" t="s">
        <v>38</v>
      </c>
      <c r="C327" s="17">
        <v>2270006010</v>
      </c>
      <c r="D327" s="18">
        <v>403</v>
      </c>
      <c r="E327" s="18">
        <v>49.94776004334055</v>
      </c>
      <c r="F327" s="19">
        <v>0.43</v>
      </c>
      <c r="G327" s="20"/>
      <c r="H327" s="21"/>
    </row>
    <row r="328" spans="2:8" ht="11.25">
      <c r="B328" s="16" t="s">
        <v>13</v>
      </c>
      <c r="C328" s="17">
        <v>2270002015</v>
      </c>
      <c r="D328" s="18">
        <v>760</v>
      </c>
      <c r="E328" s="18">
        <v>90.61277383778152</v>
      </c>
      <c r="F328" s="19">
        <v>0.59</v>
      </c>
      <c r="G328" s="20"/>
      <c r="H328" s="21"/>
    </row>
    <row r="329" spans="2:8" ht="11.25">
      <c r="B329" s="16" t="s">
        <v>39</v>
      </c>
      <c r="C329" s="17">
        <v>2270002057</v>
      </c>
      <c r="D329" s="18">
        <v>662</v>
      </c>
      <c r="E329" s="18">
        <v>94.01294286397324</v>
      </c>
      <c r="F329" s="19">
        <v>0.59</v>
      </c>
      <c r="G329" s="20"/>
      <c r="H329" s="21"/>
    </row>
    <row r="330" spans="2:8" ht="11.25">
      <c r="B330" s="16" t="s">
        <v>40</v>
      </c>
      <c r="C330" s="17">
        <v>2270002063</v>
      </c>
      <c r="D330" s="18">
        <v>899</v>
      </c>
      <c r="E330" s="18">
        <v>0</v>
      </c>
      <c r="F330" s="19">
        <v>0</v>
      </c>
      <c r="G330" s="20"/>
      <c r="H330" s="21"/>
    </row>
    <row r="331" spans="2:8" ht="11.25">
      <c r="B331" s="16" t="s">
        <v>14</v>
      </c>
      <c r="C331" s="17">
        <v>2270002060</v>
      </c>
      <c r="D331" s="18">
        <v>761</v>
      </c>
      <c r="E331" s="18">
        <v>241.9882587992152</v>
      </c>
      <c r="F331" s="19">
        <v>0.59</v>
      </c>
      <c r="G331" s="20">
        <f>G44*0.75</f>
        <v>410.5150466462211</v>
      </c>
      <c r="H331" s="21"/>
    </row>
    <row r="332" spans="2:8" ht="11.25">
      <c r="B332" s="16" t="s">
        <v>15</v>
      </c>
      <c r="C332" s="17">
        <v>2270002018</v>
      </c>
      <c r="D332" s="18">
        <v>914</v>
      </c>
      <c r="E332" s="18">
        <v>393.40671116054875</v>
      </c>
      <c r="F332" s="19">
        <v>0.59</v>
      </c>
      <c r="G332" s="20">
        <f>G45*0.75</f>
        <v>401.0615825790609</v>
      </c>
      <c r="H332" s="21"/>
    </row>
    <row r="333" spans="2:8" ht="11.25">
      <c r="B333" s="16" t="s">
        <v>41</v>
      </c>
      <c r="C333" s="17">
        <v>2270002027</v>
      </c>
      <c r="D333" s="18">
        <v>535</v>
      </c>
      <c r="E333" s="18">
        <v>20.33024075319435</v>
      </c>
      <c r="F333" s="19">
        <v>0.43</v>
      </c>
      <c r="G333" s="20"/>
      <c r="H333" s="21"/>
    </row>
    <row r="334" spans="2:8" ht="11.25">
      <c r="B334" s="16" t="s">
        <v>42</v>
      </c>
      <c r="C334" s="17">
        <v>2270002072</v>
      </c>
      <c r="D334" s="18">
        <v>818</v>
      </c>
      <c r="E334" s="18">
        <v>49.72490886868769</v>
      </c>
      <c r="F334" s="19">
        <v>0.21</v>
      </c>
      <c r="G334" s="20"/>
      <c r="H334" s="21"/>
    </row>
    <row r="335" spans="2:8" ht="11.25">
      <c r="B335" s="16" t="s">
        <v>43</v>
      </c>
      <c r="C335" s="17">
        <v>2270002024</v>
      </c>
      <c r="D335" s="18">
        <v>561</v>
      </c>
      <c r="E335" s="18">
        <v>70.83639931740615</v>
      </c>
      <c r="F335" s="19">
        <v>0.59</v>
      </c>
      <c r="G335" s="20"/>
      <c r="H335" s="21"/>
    </row>
    <row r="336" spans="2:8" ht="11.25">
      <c r="B336" s="16" t="s">
        <v>44</v>
      </c>
      <c r="C336" s="17">
        <v>2270003030</v>
      </c>
      <c r="D336" s="18">
        <v>1220</v>
      </c>
      <c r="E336" s="18">
        <v>91.43824811133199</v>
      </c>
      <c r="F336" s="19">
        <v>0.43</v>
      </c>
      <c r="G336" s="20"/>
      <c r="H336" s="21"/>
    </row>
    <row r="337" spans="2:8" ht="11.25">
      <c r="B337" s="16" t="s">
        <v>16</v>
      </c>
      <c r="C337" s="17">
        <v>2270002066</v>
      </c>
      <c r="D337" s="18">
        <v>1135</v>
      </c>
      <c r="E337" s="18">
        <v>94.98538811576137</v>
      </c>
      <c r="F337" s="19">
        <v>0.21</v>
      </c>
      <c r="G337" s="20"/>
      <c r="H337" s="21"/>
    </row>
    <row r="338" spans="2:8" ht="11.25">
      <c r="B338" s="16" t="s">
        <v>45</v>
      </c>
      <c r="C338" s="17">
        <v>2270002030</v>
      </c>
      <c r="D338" s="18">
        <v>593</v>
      </c>
      <c r="E338" s="18">
        <v>72.4111379493067</v>
      </c>
      <c r="F338" s="19">
        <v>0.59</v>
      </c>
      <c r="G338" s="20"/>
      <c r="H338" s="21"/>
    </row>
    <row r="339" spans="2:8" ht="11.25">
      <c r="B339" s="16" t="s">
        <v>47</v>
      </c>
      <c r="C339" s="17">
        <v>2270002051</v>
      </c>
      <c r="D339" s="18">
        <v>1641</v>
      </c>
      <c r="E339" s="18">
        <v>858.2894372232539</v>
      </c>
      <c r="F339" s="19">
        <v>0.59</v>
      </c>
      <c r="G339" s="20">
        <f>G52*0.75</f>
        <v>401.0404205582499</v>
      </c>
      <c r="H339" s="21"/>
    </row>
    <row r="340" spans="2:8" ht="12" thickBot="1">
      <c r="B340" s="22" t="s">
        <v>46</v>
      </c>
      <c r="C340" s="23">
        <v>2270006025</v>
      </c>
      <c r="D340" s="24">
        <v>643</v>
      </c>
      <c r="E340" s="24">
        <v>42.535101080942674</v>
      </c>
      <c r="F340" s="25">
        <v>0.21</v>
      </c>
      <c r="G340" s="26"/>
      <c r="H340" s="27"/>
    </row>
  </sheetData>
  <sheetProtection/>
  <mergeCells count="16">
    <mergeCell ref="N14:O14"/>
    <mergeCell ref="B14:H14"/>
    <mergeCell ref="B55:H55"/>
    <mergeCell ref="B96:H96"/>
    <mergeCell ref="K14:L14"/>
    <mergeCell ref="B301:H301"/>
    <mergeCell ref="B260:H260"/>
    <mergeCell ref="J55:K55"/>
    <mergeCell ref="B178:H178"/>
    <mergeCell ref="B219:H219"/>
    <mergeCell ref="K260:O260"/>
    <mergeCell ref="B137:H137"/>
    <mergeCell ref="J70:L70"/>
    <mergeCell ref="J71:L71"/>
    <mergeCell ref="J72:L72"/>
    <mergeCell ref="J73:L73"/>
  </mergeCells>
  <printOptions/>
  <pageMargins left="0.75" right="0.75" top="1" bottom="1" header="0.5" footer="0.5"/>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15">
    <tabColor indexed="42"/>
  </sheetPr>
  <dimension ref="A1:E26"/>
  <sheetViews>
    <sheetView zoomScalePageLayoutView="0" workbookViewId="0" topLeftCell="A1">
      <selection activeCell="C21" sqref="C21"/>
    </sheetView>
  </sheetViews>
  <sheetFormatPr defaultColWidth="9.140625" defaultRowHeight="15"/>
  <cols>
    <col min="1" max="1" width="81.28125" style="173" customWidth="1"/>
    <col min="2" max="2" width="17.57421875" style="173" customWidth="1"/>
    <col min="3" max="3" width="22.00390625" style="173" customWidth="1"/>
    <col min="4" max="4" width="17.8515625" style="173" customWidth="1"/>
    <col min="5" max="16384" width="9.140625" style="173" customWidth="1"/>
  </cols>
  <sheetData>
    <row r="1" ht="12.75">
      <c r="A1" s="172" t="s">
        <v>519</v>
      </c>
    </row>
    <row r="2" ht="12.75">
      <c r="A2" s="174"/>
    </row>
    <row r="3" spans="1:4" ht="12.75">
      <c r="A3" s="175" t="s">
        <v>60</v>
      </c>
      <c r="B3" s="175" t="s">
        <v>520</v>
      </c>
      <c r="C3" s="175" t="s">
        <v>521</v>
      </c>
      <c r="D3" s="175" t="s">
        <v>522</v>
      </c>
    </row>
    <row r="4" spans="1:5" ht="12.75">
      <c r="A4" s="176" t="s">
        <v>523</v>
      </c>
      <c r="B4" s="177" t="s">
        <v>524</v>
      </c>
      <c r="C4" s="178">
        <v>114100</v>
      </c>
      <c r="D4" s="179">
        <v>1</v>
      </c>
      <c r="E4" s="173">
        <v>1</v>
      </c>
    </row>
    <row r="5" spans="1:5" ht="12.75">
      <c r="A5" s="176" t="s">
        <v>525</v>
      </c>
      <c r="B5" s="177" t="s">
        <v>524</v>
      </c>
      <c r="C5" s="178">
        <v>112000</v>
      </c>
      <c r="D5" s="179">
        <v>1.02</v>
      </c>
      <c r="E5" s="173">
        <v>1.02</v>
      </c>
    </row>
    <row r="6" spans="1:5" ht="12.75">
      <c r="A6" s="176" t="s">
        <v>526</v>
      </c>
      <c r="B6" s="177" t="s">
        <v>524</v>
      </c>
      <c r="C6" s="178">
        <v>129800</v>
      </c>
      <c r="D6" s="179">
        <v>0.88</v>
      </c>
      <c r="E6" s="173">
        <v>0.88</v>
      </c>
    </row>
    <row r="7" spans="1:5" ht="12.75">
      <c r="A7" s="176" t="s">
        <v>527</v>
      </c>
      <c r="B7" s="177" t="s">
        <v>524</v>
      </c>
      <c r="C7" s="178">
        <v>75000</v>
      </c>
      <c r="D7" s="179">
        <v>1.52</v>
      </c>
      <c r="E7" s="173">
        <v>1.52</v>
      </c>
    </row>
    <row r="8" spans="1:5" ht="12.75">
      <c r="A8" s="176" t="s">
        <v>528</v>
      </c>
      <c r="B8" s="177" t="s">
        <v>529</v>
      </c>
      <c r="C8" s="177">
        <v>900</v>
      </c>
      <c r="D8" s="179">
        <v>126.67</v>
      </c>
      <c r="E8" s="173">
        <v>126.67</v>
      </c>
    </row>
    <row r="9" spans="1:5" ht="12.75">
      <c r="A9" s="176" t="s">
        <v>530</v>
      </c>
      <c r="B9" s="177" t="s">
        <v>524</v>
      </c>
      <c r="C9" s="178">
        <v>84300</v>
      </c>
      <c r="D9" s="179">
        <v>1.35</v>
      </c>
      <c r="E9" s="173">
        <v>1.35</v>
      </c>
    </row>
    <row r="10" spans="1:5" ht="12.75">
      <c r="A10" s="176" t="s">
        <v>531</v>
      </c>
      <c r="B10" s="177" t="s">
        <v>524</v>
      </c>
      <c r="C10" s="178">
        <v>56800</v>
      </c>
      <c r="D10" s="179">
        <v>2.01</v>
      </c>
      <c r="E10" s="173">
        <v>2.01</v>
      </c>
    </row>
    <row r="11" spans="1:5" ht="12.75">
      <c r="A11" s="176" t="s">
        <v>532</v>
      </c>
      <c r="B11" s="177" t="s">
        <v>524</v>
      </c>
      <c r="C11" s="178">
        <v>65400</v>
      </c>
      <c r="D11" s="179">
        <v>1.74</v>
      </c>
      <c r="E11" s="173">
        <v>1.74</v>
      </c>
    </row>
    <row r="12" spans="1:5" ht="12.75">
      <c r="A12" s="176" t="s">
        <v>533</v>
      </c>
      <c r="B12" s="177" t="s">
        <v>524</v>
      </c>
      <c r="C12" s="178">
        <v>76100</v>
      </c>
      <c r="D12" s="179">
        <v>1.5</v>
      </c>
      <c r="E12" s="173">
        <v>1.5</v>
      </c>
    </row>
    <row r="13" spans="1:5" ht="12.75">
      <c r="A13" s="176" t="s">
        <v>534</v>
      </c>
      <c r="B13" s="177" t="s">
        <v>524</v>
      </c>
      <c r="C13" s="178">
        <v>81800</v>
      </c>
      <c r="D13" s="179">
        <v>1.4</v>
      </c>
      <c r="E13" s="173">
        <v>1.4</v>
      </c>
    </row>
    <row r="14" spans="1:5" ht="12.75">
      <c r="A14" s="176" t="s">
        <v>535</v>
      </c>
      <c r="B14" s="177" t="s">
        <v>524</v>
      </c>
      <c r="C14" s="178">
        <v>129500</v>
      </c>
      <c r="D14" s="179">
        <v>0.88</v>
      </c>
      <c r="E14" s="173">
        <v>0.88</v>
      </c>
    </row>
    <row r="15" spans="1:5" ht="12.75">
      <c r="A15" s="176" t="s">
        <v>100</v>
      </c>
      <c r="B15" s="177" t="s">
        <v>536</v>
      </c>
      <c r="C15" s="178">
        <v>3400</v>
      </c>
      <c r="D15" s="179">
        <v>33.53</v>
      </c>
      <c r="E15" s="173">
        <v>33.53</v>
      </c>
    </row>
    <row r="17" ht="12.75">
      <c r="A17" s="173" t="s">
        <v>537</v>
      </c>
    </row>
    <row r="19" ht="12.75">
      <c r="A19" s="173" t="s">
        <v>538</v>
      </c>
    </row>
    <row r="21" ht="12.75">
      <c r="A21" s="180" t="s">
        <v>539</v>
      </c>
    </row>
    <row r="22" ht="12.75">
      <c r="A22" s="180" t="s">
        <v>540</v>
      </c>
    </row>
    <row r="23" ht="12.75">
      <c r="A23" s="180" t="s">
        <v>541</v>
      </c>
    </row>
    <row r="24" ht="12.75">
      <c r="A24" s="180" t="s">
        <v>542</v>
      </c>
    </row>
    <row r="26" ht="12.75">
      <c r="A26" s="180" t="s">
        <v>543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Papson</dc:creator>
  <cp:keywords/>
  <dc:description/>
  <cp:lastModifiedBy>Gallivan, Frank</cp:lastModifiedBy>
  <cp:lastPrinted>2009-11-23T22:37:46Z</cp:lastPrinted>
  <dcterms:created xsi:type="dcterms:W3CDTF">2009-11-18T18:43:56Z</dcterms:created>
  <dcterms:modified xsi:type="dcterms:W3CDTF">2010-06-30T16:51:08Z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