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N:\RNachtrieb\NCHRP RR 1064 Ped Bike Safety\Blurb\"/>
    </mc:Choice>
  </mc:AlternateContent>
  <xr:revisionPtr revIDLastSave="0" documentId="13_ncr:1_{F012E935-BCA9-47EE-AEC6-C433E5458FF1}" xr6:coauthVersionLast="47" xr6:coauthVersionMax="47" xr10:uidLastSave="{00000000-0000-0000-0000-000000000000}"/>
  <bookViews>
    <workbookView xWindow="-28920" yWindow="-120" windowWidth="29040" windowHeight="15840" tabRatio="882" xr2:uid="{00000000-000D-0000-FFFF-FFFF00000000}"/>
  </bookViews>
  <sheets>
    <sheet name="Overview" sheetId="34" r:id="rId1"/>
    <sheet name="Instructions" sheetId="23" r:id="rId2"/>
    <sheet name="Segment_Undivided_1" sheetId="15" r:id="rId3"/>
    <sheet name="Segment_Divided_1" sheetId="17" r:id="rId4"/>
    <sheet name="Ped&amp;Bike (Segments)" sheetId="26" r:id="rId5"/>
    <sheet name="Intersection_1" sheetId="18" r:id="rId6"/>
    <sheet name="Ped&amp;Bike Intersections)" sheetId="28" r:id="rId7"/>
    <sheet name="Ped&amp;Bike (Segment Results)" sheetId="27" r:id="rId8"/>
    <sheet name="Ped&amp;Bike (Intersection Results)" sheetId="29" r:id="rId9"/>
    <sheet name="Summary Tables (Site Totals)" sheetId="20" r:id="rId10"/>
    <sheet name="Summary Tables (Project Total)" sheetId="19" r:id="rId11"/>
    <sheet name="Reference Tables (Segment)" sheetId="24" r:id="rId12"/>
    <sheet name="Reference Tables (Intersection)" sheetId="25" r:id="rId13"/>
    <sheet name="Reference Tables (Ped Segment)" sheetId="30" r:id="rId14"/>
    <sheet name="Reference Table (Bike Segment)" sheetId="31" r:id="rId15"/>
    <sheet name="Reference Table (Ped Intersct)" sheetId="32" r:id="rId16"/>
    <sheet name="Reference Table (Bike Intersct)" sheetId="33" r:id="rId17"/>
    <sheet name="Construction - Do Not Delete" sheetId="10" state="hidden" r:id="rId1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RtApproach">'Construction - Do Not Delete'!$N$37:$N$41</definedName>
    <definedName name="Shld2">'Construction - Do Not Delete'!$J$37:$J$47</definedName>
    <definedName name="Shld3">'Construction - Do Not Delete'!$P$37:$P$45</definedName>
    <definedName name="SpEnforce">'Construction - Do Not Delete'!$J$23:$J$24</definedName>
    <definedName name="Spiral">'Construction - Do Not Delete'!$F$17:$F$18</definedName>
    <definedName name="SSlope">'Construction - Do Not Delete'!$H$37:$H$42</definedName>
    <definedName name="SSlope2">'Construction - Do Not Delete'!$H$37:$H$42</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29" l="1"/>
  <c r="F36" i="29"/>
  <c r="F23" i="29"/>
  <c r="F22" i="29"/>
  <c r="F7" i="29"/>
  <c r="F6" i="29"/>
  <c r="C77" i="29"/>
  <c r="C76" i="29"/>
  <c r="C67" i="29"/>
  <c r="C49" i="29"/>
  <c r="C31" i="29"/>
  <c r="C13" i="29"/>
  <c r="E35" i="20"/>
  <c r="F25" i="20"/>
  <c r="E15" i="20"/>
  <c r="F37" i="20"/>
  <c r="E24" i="20"/>
  <c r="E19" i="20"/>
  <c r="E37" i="20"/>
  <c r="F24" i="20"/>
  <c r="D27" i="20"/>
  <c r="F35" i="20"/>
  <c r="F15" i="20"/>
  <c r="E34" i="20"/>
  <c r="E20" i="20"/>
  <c r="F16" i="20"/>
  <c r="F40" i="20"/>
  <c r="F36" i="20"/>
  <c r="E40" i="20"/>
  <c r="D28" i="20"/>
  <c r="D30" i="20"/>
  <c r="F26" i="20"/>
  <c r="E29" i="20"/>
  <c r="F17" i="20"/>
  <c r="D18" i="20"/>
  <c r="E39" i="20"/>
  <c r="D40" i="20"/>
  <c r="D24" i="20"/>
  <c r="D19" i="20"/>
  <c r="E28" i="20"/>
  <c r="F28" i="20"/>
  <c r="F18" i="20"/>
  <c r="E14" i="20"/>
  <c r="F34" i="20"/>
  <c r="E38" i="20"/>
  <c r="F30" i="20"/>
  <c r="F38" i="20"/>
  <c r="E25" i="20"/>
  <c r="D15" i="20"/>
  <c r="D29" i="20"/>
  <c r="D35" i="20"/>
  <c r="F39" i="20"/>
  <c r="F20" i="20"/>
  <c r="E36" i="20"/>
  <c r="E17" i="20"/>
  <c r="E26" i="20"/>
  <c r="E18" i="20"/>
  <c r="D16" i="20"/>
  <c r="F19" i="20"/>
  <c r="D37" i="20"/>
  <c r="D25" i="20"/>
  <c r="E30" i="20"/>
  <c r="F14" i="20"/>
  <c r="D26" i="20"/>
  <c r="E27" i="20"/>
  <c r="F29" i="20"/>
  <c r="D17" i="20"/>
  <c r="D36" i="20"/>
  <c r="D38" i="20"/>
  <c r="D20" i="20"/>
  <c r="E16" i="20"/>
  <c r="F27" i="20"/>
  <c r="D34" i="20"/>
  <c r="D14" i="20"/>
  <c r="D39" i="20"/>
  <c r="C4" i="29" l="1"/>
  <c r="F4" i="29"/>
  <c r="C5" i="29"/>
  <c r="F5" i="29"/>
  <c r="C6" i="29"/>
  <c r="C7" i="29"/>
  <c r="F12" i="29"/>
  <c r="C8" i="29"/>
  <c r="F8" i="29"/>
  <c r="C9" i="29"/>
  <c r="F9" i="29"/>
  <c r="C10" i="29"/>
  <c r="F10" i="29"/>
  <c r="C11" i="29"/>
  <c r="C12" i="29"/>
  <c r="F13" i="29"/>
  <c r="F14" i="29"/>
  <c r="C15" i="29"/>
  <c r="F15" i="29"/>
  <c r="C16" i="29"/>
  <c r="C17" i="29"/>
  <c r="C18" i="29"/>
  <c r="F20" i="29"/>
  <c r="F21" i="29"/>
  <c r="C22" i="29"/>
  <c r="C23" i="29"/>
  <c r="F28" i="29"/>
  <c r="C24" i="29"/>
  <c r="C33" i="29" s="1"/>
  <c r="F24" i="29"/>
  <c r="C25" i="29"/>
  <c r="F25" i="29"/>
  <c r="C26" i="29"/>
  <c r="F26" i="29"/>
  <c r="C27" i="29"/>
  <c r="C28" i="29"/>
  <c r="C29" i="29"/>
  <c r="F29" i="29"/>
  <c r="C30" i="29"/>
  <c r="F30" i="29"/>
  <c r="F31" i="29"/>
  <c r="C34" i="29"/>
  <c r="C35" i="29"/>
  <c r="C36" i="29"/>
  <c r="C40" i="29"/>
  <c r="C41" i="29"/>
  <c r="C42" i="29"/>
  <c r="C43" i="29"/>
  <c r="C44" i="29"/>
  <c r="C45" i="29"/>
  <c r="C46" i="29"/>
  <c r="C47" i="29"/>
  <c r="C48" i="29"/>
  <c r="C51" i="29"/>
  <c r="C52" i="29"/>
  <c r="C53" i="29"/>
  <c r="C54" i="29"/>
  <c r="C58" i="29"/>
  <c r="C59" i="29"/>
  <c r="C60" i="29"/>
  <c r="C69" i="29" s="1"/>
  <c r="C61" i="29"/>
  <c r="C62" i="29"/>
  <c r="C63" i="29"/>
  <c r="C64" i="29"/>
  <c r="C65" i="29"/>
  <c r="C66" i="29"/>
  <c r="C70" i="29"/>
  <c r="C71" i="29"/>
  <c r="C72" i="29"/>
  <c r="C4" i="27"/>
  <c r="E4" i="27"/>
  <c r="J4" i="27"/>
  <c r="C5" i="27"/>
  <c r="E5" i="27"/>
  <c r="E16" i="27" s="1"/>
  <c r="J5" i="27"/>
  <c r="C6" i="27"/>
  <c r="E6" i="27"/>
  <c r="J6" i="27"/>
  <c r="C7" i="27"/>
  <c r="E7" i="27"/>
  <c r="J7" i="27"/>
  <c r="C8" i="27"/>
  <c r="J8" i="27"/>
  <c r="C9" i="27"/>
  <c r="J9" i="27"/>
  <c r="C10" i="27"/>
  <c r="J10" i="27"/>
  <c r="C11" i="27"/>
  <c r="E11" i="27"/>
  <c r="J11" i="27"/>
  <c r="C12" i="27"/>
  <c r="E12" i="27"/>
  <c r="J12" i="27"/>
  <c r="C13" i="27"/>
  <c r="J13" i="27"/>
  <c r="C14" i="27"/>
  <c r="E14" i="27"/>
  <c r="J15" i="27"/>
  <c r="C16" i="27"/>
  <c r="J16" i="27"/>
  <c r="C17" i="27"/>
  <c r="E17" i="27"/>
  <c r="J17" i="27"/>
  <c r="C18" i="27"/>
  <c r="E18" i="27"/>
  <c r="J18" i="27"/>
  <c r="C19" i="27"/>
  <c r="E19" i="27"/>
  <c r="J21" i="27"/>
  <c r="J22" i="27"/>
  <c r="C23" i="27"/>
  <c r="D23" i="27"/>
  <c r="E23" i="27"/>
  <c r="F23" i="27"/>
  <c r="G23" i="27"/>
  <c r="C24" i="27"/>
  <c r="D24" i="27"/>
  <c r="E24" i="27"/>
  <c r="F24" i="27"/>
  <c r="G24" i="27"/>
  <c r="C25" i="27"/>
  <c r="C33" i="27" s="1"/>
  <c r="D25" i="27"/>
  <c r="E25" i="27"/>
  <c r="F25" i="27"/>
  <c r="G25" i="27"/>
  <c r="C26" i="27"/>
  <c r="D26" i="27"/>
  <c r="D32" i="27" s="1"/>
  <c r="E26" i="27"/>
  <c r="F26" i="27"/>
  <c r="G26" i="27"/>
  <c r="C27" i="27"/>
  <c r="D27" i="27"/>
  <c r="E27" i="27"/>
  <c r="F27" i="27"/>
  <c r="G27" i="27"/>
  <c r="C28" i="27"/>
  <c r="D28" i="27"/>
  <c r="E28" i="27"/>
  <c r="F28" i="27"/>
  <c r="G28" i="27"/>
  <c r="C29" i="27"/>
  <c r="D29" i="27"/>
  <c r="E29" i="27"/>
  <c r="F29" i="27"/>
  <c r="G29" i="27"/>
  <c r="C30" i="27"/>
  <c r="D30" i="27"/>
  <c r="E30" i="27"/>
  <c r="F30" i="27"/>
  <c r="G30" i="27"/>
  <c r="C31" i="27"/>
  <c r="D31" i="27"/>
  <c r="E31" i="27"/>
  <c r="F31" i="27"/>
  <c r="G31" i="27"/>
  <c r="D33" i="27"/>
  <c r="E33" i="27"/>
  <c r="F33" i="27"/>
  <c r="G33" i="27"/>
  <c r="C34" i="27"/>
  <c r="D34" i="27"/>
  <c r="E34" i="27"/>
  <c r="F34" i="27"/>
  <c r="G34" i="27"/>
  <c r="C35" i="27"/>
  <c r="D35" i="27"/>
  <c r="E35" i="27"/>
  <c r="F35" i="27"/>
  <c r="G35" i="27"/>
  <c r="C36" i="27"/>
  <c r="D36" i="27"/>
  <c r="E36" i="27"/>
  <c r="F36" i="27"/>
  <c r="G36" i="27"/>
  <c r="C40" i="27"/>
  <c r="C41" i="27"/>
  <c r="D4" i="26"/>
  <c r="D5" i="26"/>
  <c r="D8" i="26"/>
  <c r="D9" i="26"/>
  <c r="D12" i="26"/>
  <c r="E8" i="27" s="1"/>
  <c r="D13" i="26"/>
  <c r="E9" i="27" s="1"/>
  <c r="D14" i="26"/>
  <c r="E10" i="27" s="1"/>
  <c r="D19" i="26"/>
  <c r="E13" i="27" s="1"/>
  <c r="D20" i="26"/>
  <c r="G42" i="20"/>
  <c r="H18" i="19"/>
  <c r="D33" i="19"/>
  <c r="H22" i="19"/>
  <c r="E18" i="19"/>
  <c r="D37" i="19"/>
  <c r="D16" i="19"/>
  <c r="D25" i="19"/>
  <c r="H38" i="19"/>
  <c r="F32" i="19"/>
  <c r="E13" i="19"/>
  <c r="D12" i="19"/>
  <c r="E24" i="19"/>
  <c r="F35" i="19"/>
  <c r="F14" i="19"/>
  <c r="F25" i="19"/>
  <c r="F27" i="19"/>
  <c r="H37" i="20"/>
  <c r="H38" i="20"/>
  <c r="D38" i="19"/>
  <c r="D14" i="19"/>
  <c r="F37" i="19"/>
  <c r="H30" i="20"/>
  <c r="H24" i="20"/>
  <c r="H14" i="19"/>
  <c r="F18" i="19"/>
  <c r="F12" i="19"/>
  <c r="H27" i="20"/>
  <c r="H35" i="20"/>
  <c r="H15" i="19"/>
  <c r="D28" i="19"/>
  <c r="E34" i="19"/>
  <c r="E38" i="19"/>
  <c r="H29" i="20"/>
  <c r="E28" i="19"/>
  <c r="H26" i="19"/>
  <c r="H36" i="19"/>
  <c r="H39" i="20"/>
  <c r="H23" i="20"/>
  <c r="F13" i="19"/>
  <c r="D17" i="19"/>
  <c r="F28" i="19"/>
  <c r="E35" i="19"/>
  <c r="H33" i="19"/>
  <c r="E36" i="19"/>
  <c r="H28" i="20"/>
  <c r="H25" i="20"/>
  <c r="H17" i="19"/>
  <c r="H28" i="19"/>
  <c r="F34" i="19"/>
  <c r="H24" i="19"/>
  <c r="D32" i="19"/>
  <c r="F16" i="19"/>
  <c r="D27" i="19"/>
  <c r="H34" i="19"/>
  <c r="D23" i="19"/>
  <c r="H25" i="19"/>
  <c r="E27" i="19"/>
  <c r="H18" i="20"/>
  <c r="F22" i="19"/>
  <c r="H35" i="19"/>
  <c r="H15" i="20"/>
  <c r="D24" i="19"/>
  <c r="H13" i="19"/>
  <c r="H32" i="19"/>
  <c r="F15" i="19"/>
  <c r="H40" i="20"/>
  <c r="E14" i="19"/>
  <c r="F33" i="19"/>
  <c r="D15" i="19"/>
  <c r="E12" i="19"/>
  <c r="F23" i="19"/>
  <c r="E26" i="19"/>
  <c r="H34" i="20"/>
  <c r="D34" i="19"/>
  <c r="H36" i="20"/>
  <c r="E33" i="19"/>
  <c r="F24" i="19"/>
  <c r="E17" i="19"/>
  <c r="H16" i="20"/>
  <c r="E23" i="19"/>
  <c r="E15" i="19"/>
  <c r="E37" i="19"/>
  <c r="F17" i="19"/>
  <c r="E25" i="19"/>
  <c r="D35" i="19"/>
  <c r="H27" i="19"/>
  <c r="H16" i="19"/>
  <c r="D18" i="19"/>
  <c r="E22" i="19"/>
  <c r="H20" i="20"/>
  <c r="D22" i="19"/>
  <c r="F36" i="19"/>
  <c r="H14" i="20"/>
  <c r="E16" i="19"/>
  <c r="H26" i="20"/>
  <c r="D26" i="19"/>
  <c r="H19" i="20"/>
  <c r="H17" i="20"/>
  <c r="E32" i="19"/>
  <c r="H23" i="19"/>
  <c r="H12" i="19"/>
  <c r="F38" i="19"/>
  <c r="D13" i="19"/>
  <c r="D36" i="19"/>
  <c r="H37" i="19"/>
  <c r="F26" i="19"/>
  <c r="E15" i="27" l="1"/>
  <c r="F32" i="27"/>
  <c r="C32" i="27"/>
  <c r="E32" i="27"/>
  <c r="G32" i="27"/>
  <c r="J14" i="27"/>
  <c r="C15" i="27"/>
  <c r="C20" i="27" s="1"/>
  <c r="F11" i="29"/>
  <c r="F17" i="29" s="1"/>
  <c r="C14" i="29"/>
  <c r="C19" i="29" s="1"/>
  <c r="C32" i="29"/>
  <c r="C50" i="29"/>
  <c r="C55" i="29" s="1"/>
  <c r="F27" i="29"/>
  <c r="F33" i="29" s="1"/>
  <c r="C68" i="29"/>
  <c r="C73" i="29" s="1"/>
  <c r="J20" i="27"/>
  <c r="J44" i="27" s="1"/>
  <c r="J46" i="27" s="1"/>
  <c r="J54" i="27" s="1"/>
  <c r="F37" i="27"/>
  <c r="C37" i="27"/>
  <c r="E37" i="27"/>
  <c r="E20" i="27"/>
  <c r="D37" i="27"/>
  <c r="G37" i="27"/>
  <c r="C37" i="29"/>
  <c r="C75" i="29" s="1"/>
  <c r="C80" i="29" s="1"/>
  <c r="F67" i="18" s="1"/>
  <c r="K33" i="20" s="1"/>
  <c r="J17" i="19"/>
  <c r="I17" i="19"/>
  <c r="I24" i="19"/>
  <c r="J24" i="19"/>
  <c r="J16" i="19"/>
  <c r="I16" i="19"/>
  <c r="I28" i="19"/>
  <c r="J28" i="19"/>
  <c r="I32" i="19"/>
  <c r="J32" i="19"/>
  <c r="J18" i="19"/>
  <c r="I18" i="19"/>
  <c r="J25" i="19"/>
  <c r="I25" i="19"/>
  <c r="I38" i="19"/>
  <c r="J38" i="19"/>
  <c r="I14" i="19"/>
  <c r="J14" i="19"/>
  <c r="I22" i="19"/>
  <c r="J22" i="19"/>
  <c r="J34" i="19"/>
  <c r="I34" i="19"/>
  <c r="I15" i="19"/>
  <c r="J15" i="19"/>
  <c r="J13" i="19"/>
  <c r="I13" i="19"/>
  <c r="I27" i="19"/>
  <c r="J27" i="19"/>
  <c r="J37" i="19"/>
  <c r="I37" i="19"/>
  <c r="J23" i="19"/>
  <c r="I23" i="19"/>
  <c r="I36" i="19"/>
  <c r="J36" i="19"/>
  <c r="J12" i="19"/>
  <c r="I12" i="19"/>
  <c r="I26" i="19"/>
  <c r="J26" i="19"/>
  <c r="I33" i="19"/>
  <c r="J33" i="19"/>
  <c r="I35" i="19"/>
  <c r="J35" i="19"/>
  <c r="I40" i="20"/>
  <c r="I28" i="20"/>
  <c r="J28" i="20" s="1"/>
  <c r="M28" i="20" s="1"/>
  <c r="I15" i="20"/>
  <c r="J15" i="20" s="1"/>
  <c r="M15" i="20" s="1"/>
  <c r="I14" i="20"/>
  <c r="J14" i="20" s="1"/>
  <c r="M14" i="20" s="1"/>
  <c r="I16" i="20"/>
  <c r="J16" i="20" s="1"/>
  <c r="M16" i="20" s="1"/>
  <c r="I19" i="20"/>
  <c r="J19" i="20" s="1"/>
  <c r="M19" i="20" s="1"/>
  <c r="I18" i="20"/>
  <c r="J18" i="20" s="1"/>
  <c r="M18" i="20" s="1"/>
  <c r="I20" i="20"/>
  <c r="J20" i="20" s="1"/>
  <c r="M20" i="20" s="1"/>
  <c r="I17" i="20"/>
  <c r="J17" i="20" s="1"/>
  <c r="M17" i="20" s="1"/>
  <c r="G31" i="20"/>
  <c r="I30" i="20"/>
  <c r="J30" i="20" s="1"/>
  <c r="M30" i="20" s="1"/>
  <c r="I29" i="20"/>
  <c r="J29" i="20" s="1"/>
  <c r="M29" i="20" s="1"/>
  <c r="I27" i="20"/>
  <c r="J27" i="20" s="1"/>
  <c r="M27" i="20" s="1"/>
  <c r="I26" i="20"/>
  <c r="J26" i="20" s="1"/>
  <c r="M26" i="20" s="1"/>
  <c r="I25" i="20"/>
  <c r="J25" i="20" s="1"/>
  <c r="M25" i="20" s="1"/>
  <c r="I24" i="20"/>
  <c r="J24" i="20" s="1"/>
  <c r="M24" i="20" s="1"/>
  <c r="F35" i="29" l="1"/>
  <c r="F80" i="29" s="1"/>
  <c r="H67" i="18" s="1"/>
  <c r="F68" i="18"/>
  <c r="J48" i="27"/>
  <c r="J56" i="27" s="1"/>
  <c r="J47" i="27"/>
  <c r="J55" i="27" s="1"/>
  <c r="J45" i="27"/>
  <c r="J53" i="27" s="1"/>
  <c r="F70" i="15"/>
  <c r="F70" i="17"/>
  <c r="C39" i="27"/>
  <c r="C44" i="27" s="1"/>
  <c r="D70" i="15" s="1"/>
  <c r="K23" i="20" s="1"/>
  <c r="J52" i="27"/>
  <c r="F83" i="29"/>
  <c r="F91" i="29" s="1"/>
  <c r="C84" i="29"/>
  <c r="C92" i="29" s="1"/>
  <c r="C81" i="29"/>
  <c r="C88" i="29"/>
  <c r="C83" i="29"/>
  <c r="C91" i="29" s="1"/>
  <c r="C82" i="29"/>
  <c r="C90" i="29" s="1"/>
  <c r="G21" i="20"/>
  <c r="G41" i="20"/>
  <c r="C25" i="18"/>
  <c r="C24" i="18"/>
  <c r="O9" i="18"/>
  <c r="E11" i="18"/>
  <c r="N11" i="18" s="1"/>
  <c r="E10" i="18"/>
  <c r="N10" i="18" s="1"/>
  <c r="O11" i="15"/>
  <c r="O11" i="17"/>
  <c r="V15" i="17"/>
  <c r="T15" i="17"/>
  <c r="U14" i="17"/>
  <c r="U15" i="17" s="1"/>
  <c r="V13" i="17"/>
  <c r="T13" i="17"/>
  <c r="U12" i="17"/>
  <c r="V11" i="17"/>
  <c r="T11" i="17"/>
  <c r="U10" i="17"/>
  <c r="J25" i="18"/>
  <c r="J24" i="18"/>
  <c r="H25" i="18"/>
  <c r="H24" i="18"/>
  <c r="F25" i="18"/>
  <c r="F24" i="18"/>
  <c r="U42" i="15"/>
  <c r="U41" i="15" s="1"/>
  <c r="U38" i="15"/>
  <c r="U39" i="15" s="1"/>
  <c r="U36" i="15"/>
  <c r="U34" i="15"/>
  <c r="U21" i="15"/>
  <c r="U22" i="15" s="1"/>
  <c r="U19" i="15"/>
  <c r="V6" i="15"/>
  <c r="V4" i="15"/>
  <c r="T35" i="15"/>
  <c r="V35" i="15"/>
  <c r="T37" i="15"/>
  <c r="V37" i="15"/>
  <c r="T39" i="15"/>
  <c r="V39" i="15"/>
  <c r="T41" i="15"/>
  <c r="V41" i="15"/>
  <c r="U17" i="15"/>
  <c r="T18" i="15"/>
  <c r="V18" i="15"/>
  <c r="T20" i="15"/>
  <c r="V20" i="15"/>
  <c r="T22" i="15"/>
  <c r="V22" i="15"/>
  <c r="F28" i="15"/>
  <c r="C28" i="17"/>
  <c r="K49" i="18"/>
  <c r="I49" i="18"/>
  <c r="F49" i="18"/>
  <c r="C49" i="18"/>
  <c r="U10" i="24"/>
  <c r="W10" i="24"/>
  <c r="Y10" i="24"/>
  <c r="U11" i="24"/>
  <c r="W11" i="24"/>
  <c r="Y11" i="24"/>
  <c r="U12" i="24"/>
  <c r="W12" i="24"/>
  <c r="Y12" i="24"/>
  <c r="U13" i="24"/>
  <c r="W13" i="24"/>
  <c r="Y13" i="24"/>
  <c r="AE11" i="24"/>
  <c r="AE13" i="24"/>
  <c r="AE15" i="24"/>
  <c r="AE17" i="24"/>
  <c r="J40" i="20"/>
  <c r="I39" i="20"/>
  <c r="J39" i="20" s="1"/>
  <c r="I38" i="20"/>
  <c r="J38" i="20" s="1"/>
  <c r="I37" i="20"/>
  <c r="J37" i="20" s="1"/>
  <c r="I36" i="20"/>
  <c r="J36" i="20" s="1"/>
  <c r="I35" i="20"/>
  <c r="J35" i="20" s="1"/>
  <c r="K51" i="18"/>
  <c r="K56" i="18"/>
  <c r="K55" i="18"/>
  <c r="K54" i="18"/>
  <c r="K53" i="18"/>
  <c r="K52" i="18"/>
  <c r="I56" i="18"/>
  <c r="I55" i="18"/>
  <c r="I54" i="18"/>
  <c r="I53" i="18"/>
  <c r="I52" i="18"/>
  <c r="I51" i="18"/>
  <c r="F56" i="18"/>
  <c r="F55" i="18"/>
  <c r="F54" i="18"/>
  <c r="F53" i="18"/>
  <c r="F52" i="18"/>
  <c r="F51" i="18"/>
  <c r="C56" i="18"/>
  <c r="C55" i="18"/>
  <c r="C54" i="18"/>
  <c r="C53" i="18"/>
  <c r="C52" i="18"/>
  <c r="C51" i="18"/>
  <c r="K36" i="18"/>
  <c r="K35" i="18"/>
  <c r="K34" i="18"/>
  <c r="H36" i="18"/>
  <c r="H35" i="18"/>
  <c r="H34" i="18"/>
  <c r="E36" i="18"/>
  <c r="E35" i="18"/>
  <c r="E34" i="18"/>
  <c r="D36" i="18"/>
  <c r="D35" i="18"/>
  <c r="D34" i="18"/>
  <c r="C36" i="18"/>
  <c r="C35" i="18"/>
  <c r="C34" i="18"/>
  <c r="A28" i="17"/>
  <c r="A28" i="15"/>
  <c r="J28" i="17"/>
  <c r="F28" i="17"/>
  <c r="I84" i="17"/>
  <c r="I83" i="17"/>
  <c r="I82" i="17"/>
  <c r="I81" i="17"/>
  <c r="L60" i="17"/>
  <c r="I60" i="17"/>
  <c r="F60" i="17"/>
  <c r="C60" i="17"/>
  <c r="L59" i="17"/>
  <c r="I59" i="17"/>
  <c r="F59" i="17"/>
  <c r="C59" i="17"/>
  <c r="L58" i="17"/>
  <c r="I58" i="17"/>
  <c r="F58" i="17"/>
  <c r="C58" i="17"/>
  <c r="L57" i="17"/>
  <c r="I57" i="17"/>
  <c r="F57" i="17"/>
  <c r="C57" i="17"/>
  <c r="L56" i="17"/>
  <c r="I56" i="17"/>
  <c r="F56" i="17"/>
  <c r="C56" i="17"/>
  <c r="L55" i="17"/>
  <c r="I55" i="17"/>
  <c r="F55" i="17"/>
  <c r="C55" i="17"/>
  <c r="L53" i="17"/>
  <c r="I53" i="17"/>
  <c r="F53" i="17"/>
  <c r="C53" i="17"/>
  <c r="L39" i="17"/>
  <c r="H39" i="17"/>
  <c r="F39" i="17"/>
  <c r="L38" i="17"/>
  <c r="H38" i="17"/>
  <c r="F38" i="17"/>
  <c r="L37" i="17"/>
  <c r="H37" i="17"/>
  <c r="F37" i="17"/>
  <c r="H28" i="17"/>
  <c r="I84" i="15"/>
  <c r="I83" i="15"/>
  <c r="I82" i="15"/>
  <c r="I81" i="15"/>
  <c r="L60" i="15"/>
  <c r="L59" i="15"/>
  <c r="L58" i="15"/>
  <c r="L57" i="15"/>
  <c r="L56" i="15"/>
  <c r="L55" i="15"/>
  <c r="I60" i="15"/>
  <c r="I59" i="15"/>
  <c r="I58" i="15"/>
  <c r="I57" i="15"/>
  <c r="I56" i="15"/>
  <c r="I55" i="15"/>
  <c r="F60" i="15"/>
  <c r="F59" i="15"/>
  <c r="F58" i="15"/>
  <c r="F57" i="15"/>
  <c r="F56" i="15"/>
  <c r="F55" i="15"/>
  <c r="C60" i="15"/>
  <c r="C59" i="15"/>
  <c r="C58" i="15"/>
  <c r="C57" i="15"/>
  <c r="C56" i="15"/>
  <c r="C55" i="15"/>
  <c r="L53" i="15"/>
  <c r="I53" i="15"/>
  <c r="F53" i="15"/>
  <c r="C53" i="15"/>
  <c r="L39" i="15"/>
  <c r="L38" i="15"/>
  <c r="L37" i="15"/>
  <c r="H39" i="15"/>
  <c r="H38" i="15"/>
  <c r="H37" i="15"/>
  <c r="F39" i="15"/>
  <c r="F38" i="15"/>
  <c r="F37" i="15"/>
  <c r="J28" i="15"/>
  <c r="H28" i="15"/>
  <c r="H21" i="19"/>
  <c r="H31" i="19"/>
  <c r="H13" i="20"/>
  <c r="H33" i="20"/>
  <c r="H11" i="19"/>
  <c r="F71" i="17" l="1"/>
  <c r="L13" i="20"/>
  <c r="F71" i="15"/>
  <c r="L23" i="20"/>
  <c r="H68" i="18"/>
  <c r="L33" i="20"/>
  <c r="F72" i="15"/>
  <c r="F72" i="17"/>
  <c r="D71" i="15"/>
  <c r="K31" i="20"/>
  <c r="F82" i="29"/>
  <c r="F90" i="29" s="1"/>
  <c r="F88" i="29"/>
  <c r="F81" i="29"/>
  <c r="F89" i="29" s="1"/>
  <c r="F84" i="29"/>
  <c r="F92" i="29" s="1"/>
  <c r="K41" i="20"/>
  <c r="C89" i="29"/>
  <c r="F69" i="18"/>
  <c r="C46" i="27"/>
  <c r="C54" i="27" s="1"/>
  <c r="C47" i="27"/>
  <c r="C55" i="27" s="1"/>
  <c r="D70" i="17"/>
  <c r="C52" i="27"/>
  <c r="C45" i="27"/>
  <c r="D72" i="15" s="1"/>
  <c r="D83" i="15" s="1"/>
  <c r="C48" i="27"/>
  <c r="C56" i="27" s="1"/>
  <c r="U20" i="15"/>
  <c r="U18" i="15"/>
  <c r="U11" i="17"/>
  <c r="U13" i="17"/>
  <c r="U35" i="15"/>
  <c r="L25" i="18"/>
  <c r="J36" i="18" s="1"/>
  <c r="F34" i="18"/>
  <c r="F36" i="18"/>
  <c r="L24" i="18"/>
  <c r="J34" i="18" s="1"/>
  <c r="F35" i="18"/>
  <c r="C28" i="15"/>
  <c r="M28" i="15" s="1"/>
  <c r="J39" i="15" s="1"/>
  <c r="M39" i="15" s="1"/>
  <c r="U37" i="15"/>
  <c r="M28" i="17"/>
  <c r="J39" i="17" s="1"/>
  <c r="M39" i="17" s="1"/>
  <c r="K13" i="20" l="1"/>
  <c r="K42" i="20" s="1"/>
  <c r="D72" i="17"/>
  <c r="D83" i="17" s="1"/>
  <c r="L83" i="17" s="1"/>
  <c r="H69" i="18"/>
  <c r="C53" i="27"/>
  <c r="D71" i="17"/>
  <c r="D82" i="17" s="1"/>
  <c r="J35" i="18"/>
  <c r="L35" i="18" s="1"/>
  <c r="L34" i="18"/>
  <c r="L36" i="18"/>
  <c r="J37" i="15"/>
  <c r="M37" i="15" s="1"/>
  <c r="J38" i="15"/>
  <c r="M38" i="15" s="1"/>
  <c r="J38" i="17"/>
  <c r="M38" i="17" s="1"/>
  <c r="J37" i="17"/>
  <c r="M37" i="17" s="1"/>
  <c r="D81" i="17" s="1"/>
  <c r="L83" i="15"/>
  <c r="J53" i="15"/>
  <c r="J53" i="17"/>
  <c r="D23" i="20"/>
  <c r="E31" i="19"/>
  <c r="E13" i="20"/>
  <c r="D33" i="20"/>
  <c r="E11" i="19"/>
  <c r="E23" i="20"/>
  <c r="E33" i="20"/>
  <c r="D31" i="19"/>
  <c r="D11" i="19"/>
  <c r="D13" i="20"/>
  <c r="H53" i="20" l="1"/>
  <c r="H51" i="20"/>
  <c r="G78" i="18"/>
  <c r="G79" i="18"/>
  <c r="K21" i="20"/>
  <c r="D82" i="15"/>
  <c r="D81" i="15"/>
  <c r="G80" i="18"/>
  <c r="D53" i="17"/>
  <c r="D58" i="17" s="1"/>
  <c r="D19" i="19"/>
  <c r="E19" i="19"/>
  <c r="E39" i="19"/>
  <c r="D39" i="19"/>
  <c r="D49" i="18"/>
  <c r="D51" i="18" s="1"/>
  <c r="J49" i="18"/>
  <c r="J55" i="18" s="1"/>
  <c r="L38" i="18"/>
  <c r="G49" i="18"/>
  <c r="G54" i="18" s="1"/>
  <c r="M41" i="15"/>
  <c r="D53" i="15"/>
  <c r="D59" i="15" s="1"/>
  <c r="G53" i="15"/>
  <c r="G56" i="15" s="1"/>
  <c r="M41" i="17"/>
  <c r="G53" i="17"/>
  <c r="G56" i="17" s="1"/>
  <c r="L81" i="17"/>
  <c r="J58" i="15"/>
  <c r="J60" i="15"/>
  <c r="J55" i="15"/>
  <c r="J57" i="15"/>
  <c r="J59" i="15"/>
  <c r="J56" i="15"/>
  <c r="I34" i="20"/>
  <c r="J34" i="20" s="1"/>
  <c r="L42" i="20" s="1"/>
  <c r="E41" i="20"/>
  <c r="J58" i="17"/>
  <c r="J60" i="17"/>
  <c r="J55" i="17"/>
  <c r="J57" i="17"/>
  <c r="J56" i="17"/>
  <c r="J59" i="17"/>
  <c r="L82" i="15"/>
  <c r="L82" i="17"/>
  <c r="F23" i="20"/>
  <c r="F13" i="20"/>
  <c r="F33" i="20"/>
  <c r="F31" i="19"/>
  <c r="D21" i="19"/>
  <c r="F21" i="19"/>
  <c r="E21" i="19"/>
  <c r="D84" i="15" l="1"/>
  <c r="D56" i="18"/>
  <c r="D56" i="17"/>
  <c r="G81" i="18"/>
  <c r="K53" i="20"/>
  <c r="K51" i="20"/>
  <c r="M53" i="17"/>
  <c r="D59" i="17"/>
  <c r="D57" i="17"/>
  <c r="D60" i="17"/>
  <c r="D55" i="17"/>
  <c r="E40" i="19"/>
  <c r="E53" i="19" s="1"/>
  <c r="E29" i="19"/>
  <c r="E42" i="20"/>
  <c r="E31" i="20"/>
  <c r="G52" i="18"/>
  <c r="G53" i="18"/>
  <c r="D52" i="18"/>
  <c r="G55" i="18"/>
  <c r="G56" i="18"/>
  <c r="F29" i="19"/>
  <c r="F31" i="20"/>
  <c r="I23" i="20"/>
  <c r="J23" i="20" s="1"/>
  <c r="D31" i="20"/>
  <c r="D42" i="20"/>
  <c r="D29" i="19"/>
  <c r="I21" i="19"/>
  <c r="J21" i="19"/>
  <c r="D40" i="19"/>
  <c r="E51" i="19" s="1"/>
  <c r="F39" i="19"/>
  <c r="D84" i="17"/>
  <c r="L84" i="17" s="1"/>
  <c r="D53" i="18"/>
  <c r="D54" i="18"/>
  <c r="D55" i="18"/>
  <c r="J52" i="18"/>
  <c r="J56" i="18"/>
  <c r="L49" i="18"/>
  <c r="L55" i="18" s="1"/>
  <c r="J51" i="18"/>
  <c r="J54" i="18"/>
  <c r="J53" i="18"/>
  <c r="G51" i="18"/>
  <c r="L81" i="15"/>
  <c r="G59" i="15"/>
  <c r="G55" i="15"/>
  <c r="D57" i="15"/>
  <c r="G57" i="15"/>
  <c r="D56" i="15"/>
  <c r="D55" i="15"/>
  <c r="M53" i="15"/>
  <c r="M60" i="15" s="1"/>
  <c r="D60" i="15"/>
  <c r="D58" i="15"/>
  <c r="G60" i="15"/>
  <c r="G58" i="15"/>
  <c r="G55" i="17"/>
  <c r="G57" i="17"/>
  <c r="G59" i="17"/>
  <c r="G60" i="17"/>
  <c r="G58" i="17"/>
  <c r="E21" i="20"/>
  <c r="M58" i="17"/>
  <c r="M57" i="17"/>
  <c r="M55" i="17"/>
  <c r="M56" i="17"/>
  <c r="M59" i="17"/>
  <c r="M60" i="17"/>
  <c r="I31" i="19"/>
  <c r="J31" i="19"/>
  <c r="D41" i="20"/>
  <c r="I33" i="20"/>
  <c r="J33" i="20" s="1"/>
  <c r="M33" i="20" s="1"/>
  <c r="M41" i="20" s="1"/>
  <c r="I11" i="19"/>
  <c r="J11" i="19"/>
  <c r="L84" i="15"/>
  <c r="D21" i="20"/>
  <c r="I13" i="20"/>
  <c r="J13" i="20" s="1"/>
  <c r="M13" i="20" s="1"/>
  <c r="F11" i="19"/>
  <c r="M21" i="20" l="1"/>
  <c r="L31" i="20"/>
  <c r="M23" i="20"/>
  <c r="M31" i="20" s="1"/>
  <c r="L21" i="20"/>
  <c r="J41" i="20"/>
  <c r="L41" i="20"/>
  <c r="J31" i="20"/>
  <c r="F42" i="20"/>
  <c r="F40" i="19"/>
  <c r="E55" i="19" s="1"/>
  <c r="F19" i="19"/>
  <c r="J40" i="19"/>
  <c r="M40" i="19" s="1"/>
  <c r="N40" i="19" s="1"/>
  <c r="I40" i="19"/>
  <c r="K40" i="19" s="1"/>
  <c r="L40" i="19" s="1"/>
  <c r="J42" i="20"/>
  <c r="L53" i="18"/>
  <c r="L52" i="18"/>
  <c r="L51" i="18"/>
  <c r="L54" i="18"/>
  <c r="L56" i="18"/>
  <c r="M56" i="15"/>
  <c r="M57" i="15"/>
  <c r="M55" i="15"/>
  <c r="M58" i="15"/>
  <c r="M59" i="15"/>
  <c r="F41" i="20"/>
  <c r="F21" i="20"/>
  <c r="J21" i="20"/>
  <c r="E53" i="20" l="1"/>
  <c r="M53" i="20" s="1"/>
  <c r="E55" i="20"/>
  <c r="M55" i="20" s="1"/>
  <c r="E51" i="20"/>
  <c r="M51" i="20" s="1"/>
  <c r="M42" i="20"/>
  <c r="O40" i="19"/>
  <c r="H53" i="19" s="1"/>
  <c r="H51" i="19" l="1"/>
  <c r="H55" i="19"/>
</calcChain>
</file>

<file path=xl/sharedStrings.xml><?xml version="1.0" encoding="utf-8"?>
<sst xmlns="http://schemas.openxmlformats.org/spreadsheetml/2006/main" count="2061" uniqueCount="934">
  <si>
    <t>General Information</t>
  </si>
  <si>
    <t>Analyst</t>
  </si>
  <si>
    <t>Agency or Company</t>
  </si>
  <si>
    <t>Date Performed</t>
  </si>
  <si>
    <t>Input Data</t>
  </si>
  <si>
    <t>Length of segment, L (mi)</t>
  </si>
  <si>
    <t>AADT (veh/day)</t>
  </si>
  <si>
    <t>Lane width (ft)</t>
  </si>
  <si>
    <t>Shoulder width (ft)</t>
  </si>
  <si>
    <t>Auto speed enforcement (present/not present)</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</si>
  <si>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</si>
  <si>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</si>
  <si>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</si>
  <si>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</si>
  <si>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</si>
  <si>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</si>
  <si>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</si>
  <si>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</si>
  <si>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</si>
  <si>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</si>
  <si>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</si>
  <si>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</si>
  <si>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</si>
  <si>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</si>
  <si>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</si>
  <si>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</si>
  <si>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</si>
  <si>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</si>
  <si>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</si>
  <si>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</si>
  <si>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</si>
  <si>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</si>
  <si>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Lane Width</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</si>
  <si>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</si>
  <si>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</si>
  <si>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</si>
  <si>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</si>
  <si>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</si>
  <si>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</si>
  <si>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</si>
  <si>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</si>
  <si>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</si>
  <si>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</si>
  <si>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</si>
  <si>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r>
      <t>Proportion of Collision Type</t>
    </r>
    <r>
      <rPr>
        <b/>
        <sz val="6"/>
        <rFont val="Arial"/>
        <family val="2"/>
      </rPr>
      <t>(TOTAL)</t>
    </r>
  </si>
  <si>
    <t>Angle collision</t>
  </si>
  <si>
    <t>Head-on collision</t>
  </si>
  <si>
    <t>Rear-end collision</t>
  </si>
  <si>
    <t>Sideswipe collision</t>
  </si>
  <si>
    <t>Crash severity level</t>
  </si>
  <si>
    <t>Predicted average crash frequency (crashes/year)</t>
  </si>
  <si>
    <t>Roadway segment length (mi)</t>
  </si>
  <si>
    <t>Crash rate (crashes/mi/year)</t>
  </si>
  <si>
    <t>Lane Width (ft)</t>
  </si>
  <si>
    <t>Shoulder Width (ft)</t>
  </si>
  <si>
    <t>Shoulder Type</t>
  </si>
  <si>
    <t>Lane Width</t>
  </si>
  <si>
    <t>TWLTL</t>
  </si>
  <si>
    <t>Lighting</t>
  </si>
  <si>
    <t>&lt; 400</t>
  </si>
  <si>
    <t>400 to 2000</t>
  </si>
  <si>
    <t>&gt; 2000</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</si>
  <si>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</si>
  <si>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</si>
  <si>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</si>
  <si>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</si>
  <si>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</si>
  <si>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</si>
  <si>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</si>
  <si>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</si>
  <si>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</si>
  <si>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</si>
  <si>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</si>
  <si>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</si>
  <si>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</si>
  <si>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</si>
  <si>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</si>
  <si>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</si>
  <si>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</si>
  <si>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Four-leg signalized intersections</t>
  </si>
  <si>
    <t>Fatal and injury</t>
  </si>
  <si>
    <t>Note: The collision types related to shoulder width to which this CMF applies include single-vehicle run-off-the-road and multiple-vehicle head-on, opposite-direction sideswipe, and same-direction sideswipe crashes.</t>
  </si>
  <si>
    <t>Present (1 lane)</t>
  </si>
  <si>
    <t>Present (2 lanes)</t>
  </si>
  <si>
    <t>Proportion of crashes that occur at night</t>
  </si>
  <si>
    <t>Roadway Type</t>
  </si>
  <si>
    <t>Note: The values for composite shoulders in this exhibit represent a shoulder for which 50 percent of the shoulder width is paved and 50 percent of the shoulder width is turf.</t>
  </si>
  <si>
    <t>Local</t>
  </si>
  <si>
    <t>Yes</t>
  </si>
  <si>
    <t>No</t>
  </si>
  <si>
    <t>Locally-Derived Values?</t>
  </si>
  <si>
    <t>Intersection</t>
  </si>
  <si>
    <t>Intersection type (3ST, 4ST, 4SG)</t>
  </si>
  <si>
    <r>
      <t>AADT</t>
    </r>
    <r>
      <rPr>
        <vertAlign val="subscript"/>
        <sz val="10"/>
        <rFont val="Arial"/>
        <family val="2"/>
      </rPr>
      <t>major</t>
    </r>
    <r>
      <rPr>
        <sz val="10"/>
        <rFont val="Arial"/>
        <family val="2"/>
      </rPr>
      <t xml:space="preserve"> (veh/day)</t>
    </r>
  </si>
  <si>
    <r>
      <t>AADT</t>
    </r>
    <r>
      <rPr>
        <vertAlign val="subscript"/>
        <sz val="10"/>
        <rFont val="Arial"/>
        <family val="2"/>
      </rPr>
      <t>minor</t>
    </r>
    <r>
      <rPr>
        <sz val="10"/>
        <rFont val="Arial"/>
        <family val="2"/>
      </rPr>
      <t xml:space="preserve"> (veh/day)</t>
    </r>
  </si>
  <si>
    <t>Intersection skew angle (degrees)</t>
  </si>
  <si>
    <t>Intersection lighting (present/not present)</t>
  </si>
  <si>
    <r>
      <t>Calibration Factor, C</t>
    </r>
    <r>
      <rPr>
        <vertAlign val="subscript"/>
        <sz val="10"/>
        <rFont val="Arial"/>
        <family val="2"/>
      </rPr>
      <t>i</t>
    </r>
  </si>
  <si>
    <t>Itype</t>
  </si>
  <si>
    <t>3ST</t>
  </si>
  <si>
    <t>4ST</t>
  </si>
  <si>
    <t>4SG</t>
  </si>
  <si>
    <t>Lapproach</t>
  </si>
  <si>
    <t>Rapproach</t>
  </si>
  <si>
    <t>Ilight</t>
  </si>
  <si>
    <t>CMF for Left-Turn Lanes</t>
  </si>
  <si>
    <t>CMF for Right-Turn Lanes</t>
  </si>
  <si>
    <t>Combined CMF</t>
  </si>
  <si>
    <t>Differ</t>
  </si>
  <si>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</si>
  <si>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</si>
  <si>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t>Predicted average crash frequency (crashes / year)</t>
  </si>
  <si>
    <t>Worksheet 1A -- General Information and Input Data for Rural Multilane Roadway Segments</t>
  </si>
  <si>
    <t>Lighting (present/not present)</t>
  </si>
  <si>
    <t>Side Slopes - for undivided only</t>
  </si>
  <si>
    <t>1:7 or flatter</t>
  </si>
  <si>
    <t>Median width (ft) - for divided only</t>
  </si>
  <si>
    <t>Shoulder type - right shoulder type for divided</t>
  </si>
  <si>
    <t>Shoulder width (ft) - right shoulder width for divided</t>
  </si>
  <si>
    <t>Roadway type (divided / undivided)</t>
  </si>
  <si>
    <t>Worksheet 1B (a) -- Crash Modification Factors for Rural Multilane Divided Roadway Segments</t>
  </si>
  <si>
    <t>CMF for Right Shoulder Width</t>
  </si>
  <si>
    <t>CMF for Median Width</t>
  </si>
  <si>
    <t>CMF 1rd</t>
  </si>
  <si>
    <t>CMF 2rd</t>
  </si>
  <si>
    <t>CMF 3rd</t>
  </si>
  <si>
    <t>CMF 4rd</t>
  </si>
  <si>
    <t>CMF 5rd</t>
  </si>
  <si>
    <t>from Equation 11-16</t>
  </si>
  <si>
    <t>from Equation 11-17</t>
  </si>
  <si>
    <t>from Section 11.7.2</t>
  </si>
  <si>
    <t>(1)*(2)*(3)*(4)*(5)</t>
  </si>
  <si>
    <t>Worksheet 1B (b) -- Crash Modification Factors for Rural Multilane Undivided Roadway Segments</t>
  </si>
  <si>
    <t>CMF 1ru</t>
  </si>
  <si>
    <t>from Equation 11-13</t>
  </si>
  <si>
    <t>CMF for Shoulder Width</t>
  </si>
  <si>
    <t>CMF 2ru</t>
  </si>
  <si>
    <t>from Equation 11-14</t>
  </si>
  <si>
    <t>CMF for Side Slopes</t>
  </si>
  <si>
    <t>CMF 3ru</t>
  </si>
  <si>
    <t>CMF 4ru</t>
  </si>
  <si>
    <t>from Equation 11-15</t>
  </si>
  <si>
    <t>from Section 11.7.1</t>
  </si>
  <si>
    <t>CMF 5ru</t>
  </si>
  <si>
    <t>SPF Coefficients</t>
  </si>
  <si>
    <t>a</t>
  </si>
  <si>
    <t>b</t>
  </si>
  <si>
    <t>c</t>
  </si>
  <si>
    <t>from Equation 11-9</t>
  </si>
  <si>
    <t>from Equation 11-10</t>
  </si>
  <si>
    <t>(6) from Worksheet   1B (a)</t>
  </si>
  <si>
    <t>(3)*(5)*(6)</t>
  </si>
  <si>
    <r>
      <t>Fatal and Injury</t>
    </r>
    <r>
      <rPr>
        <vertAlign val="superscript"/>
        <sz val="10"/>
        <rFont val="Arial"/>
        <family val="2"/>
      </rPr>
      <t>a</t>
    </r>
    <r>
      <rPr>
        <sz val="10"/>
        <rFont val="Arial"/>
        <family val="2"/>
      </rPr>
      <t xml:space="preserve"> (FI</t>
    </r>
    <r>
      <rPr>
        <vertAlign val="superscript"/>
        <sz val="10"/>
        <rFont val="Arial"/>
        <family val="2"/>
      </rPr>
      <t>a</t>
    </r>
    <r>
      <rPr>
        <sz val="10"/>
        <rFont val="Arial"/>
        <family val="2"/>
      </rPr>
      <t>)</t>
    </r>
  </si>
  <si>
    <r>
      <t>(7)</t>
    </r>
    <r>
      <rPr>
        <vertAlign val="subscript"/>
        <sz val="10"/>
        <rFont val="Arial"/>
        <family val="2"/>
      </rPr>
      <t>TOTAL</t>
    </r>
    <r>
      <rPr>
        <sz val="10"/>
        <rFont val="Arial"/>
        <family val="2"/>
      </rPr>
      <t xml:space="preserve"> - (7)</t>
    </r>
    <r>
      <rPr>
        <vertAlign val="subscript"/>
        <sz val="10"/>
        <rFont val="Arial"/>
        <family val="2"/>
      </rPr>
      <t>FI</t>
    </r>
  </si>
  <si>
    <r>
      <t xml:space="preserve">NOTE: </t>
    </r>
    <r>
      <rPr>
        <vertAlign val="superscript"/>
        <sz val="8"/>
        <rFont val="Arial"/>
        <family val="2"/>
      </rPr>
      <t>a</t>
    </r>
    <r>
      <rPr>
        <sz val="8"/>
        <rFont val="Arial"/>
        <family val="2"/>
      </rPr>
      <t xml:space="preserve"> Using the KABCO scale, these include only KAB crashes. Crashes with severity level C (possible injury) are not included.</t>
    </r>
  </si>
  <si>
    <t>from Equation 11-7</t>
  </si>
  <si>
    <t>from Equation 11-8</t>
  </si>
  <si>
    <t>(6) from Worksheet   1B (b)</t>
  </si>
  <si>
    <r>
      <t>Proportion of Collision Type (FI</t>
    </r>
    <r>
      <rPr>
        <b/>
        <vertAlign val="superscript"/>
        <sz val="10"/>
        <rFont val="Arial"/>
        <family val="2"/>
      </rPr>
      <t>a</t>
    </r>
    <r>
      <rPr>
        <b/>
        <sz val="10"/>
        <rFont val="Arial"/>
        <family val="2"/>
      </rPr>
      <t>)</t>
    </r>
  </si>
  <si>
    <r>
      <t>Proportion of Collision Type (PDO</t>
    </r>
    <r>
      <rPr>
        <b/>
        <sz val="10"/>
        <rFont val="Arial"/>
        <family val="2"/>
      </rPr>
      <t>)</t>
    </r>
  </si>
  <si>
    <r>
      <t xml:space="preserve">N </t>
    </r>
    <r>
      <rPr>
        <b/>
        <i/>
        <sz val="10"/>
        <rFont val="Arial"/>
        <family val="2"/>
      </rPr>
      <t>predicted rs</t>
    </r>
    <r>
      <rPr>
        <b/>
        <sz val="10"/>
        <rFont val="Arial"/>
        <family val="2"/>
      </rPr>
      <t xml:space="preserve"> (FI</t>
    </r>
    <r>
      <rPr>
        <b/>
        <vertAlign val="superscript"/>
        <sz val="10"/>
        <rFont val="Arial"/>
        <family val="2"/>
      </rPr>
      <t>a</t>
    </r>
    <r>
      <rPr>
        <b/>
        <sz val="10"/>
        <rFont val="Arial"/>
        <family val="2"/>
      </rPr>
      <t>) (crashes/year)</t>
    </r>
  </si>
  <si>
    <r>
      <t>(7)</t>
    </r>
    <r>
      <rPr>
        <sz val="6"/>
        <rFont val="Arial"/>
        <family val="2"/>
      </rPr>
      <t>TOTAL</t>
    </r>
    <r>
      <rPr>
        <sz val="10"/>
        <rFont val="Arial"/>
        <family val="2"/>
      </rPr>
      <t xml:space="preserve"> from Worksheet 1C (a)</t>
    </r>
  </si>
  <si>
    <r>
      <t>(7)</t>
    </r>
    <r>
      <rPr>
        <sz val="6"/>
        <rFont val="Arial"/>
        <family val="2"/>
      </rPr>
      <t>FI</t>
    </r>
    <r>
      <rPr>
        <sz val="10"/>
        <rFont val="Arial"/>
        <family val="2"/>
      </rPr>
      <t xml:space="preserve"> from Worksheet 1C (a)</t>
    </r>
  </si>
  <si>
    <r>
      <t xml:space="preserve">(7) </t>
    </r>
    <r>
      <rPr>
        <vertAlign val="subscript"/>
        <sz val="10"/>
        <rFont val="Arial"/>
        <family val="2"/>
      </rPr>
      <t>FI</t>
    </r>
    <r>
      <rPr>
        <vertAlign val="superscript"/>
        <sz val="10"/>
        <rFont val="Arial"/>
        <family val="2"/>
      </rPr>
      <t>a</t>
    </r>
    <r>
      <rPr>
        <sz val="10"/>
        <rFont val="Arial"/>
        <family val="2"/>
      </rPr>
      <t xml:space="preserve"> from Worksheet 1C (a)</t>
    </r>
  </si>
  <si>
    <r>
      <t>(7)</t>
    </r>
    <r>
      <rPr>
        <sz val="6"/>
        <rFont val="Arial"/>
        <family val="2"/>
      </rPr>
      <t>PDO</t>
    </r>
    <r>
      <rPr>
        <sz val="10"/>
        <rFont val="Arial"/>
        <family val="2"/>
      </rPr>
      <t xml:space="preserve"> from Worksheet 1C (a)</t>
    </r>
  </si>
  <si>
    <r>
      <t>(2)*(3)</t>
    </r>
    <r>
      <rPr>
        <vertAlign val="subscript"/>
        <sz val="10"/>
        <rFont val="Arial"/>
        <family val="2"/>
      </rPr>
      <t>TOTAL</t>
    </r>
  </si>
  <si>
    <r>
      <t>(4)x(5)</t>
    </r>
    <r>
      <rPr>
        <vertAlign val="subscript"/>
        <sz val="10"/>
        <rFont val="Arial"/>
        <family val="2"/>
      </rPr>
      <t>FI</t>
    </r>
  </si>
  <si>
    <r>
      <t>(6)*(7)</t>
    </r>
    <r>
      <rPr>
        <vertAlign val="subscript"/>
        <sz val="10"/>
        <rFont val="Arial"/>
        <family val="2"/>
      </rPr>
      <t xml:space="preserve"> FI</t>
    </r>
    <r>
      <rPr>
        <sz val="10"/>
        <rFont val="Arial"/>
        <family val="2"/>
      </rPr>
      <t xml:space="preserve"> </t>
    </r>
    <r>
      <rPr>
        <vertAlign val="superscript"/>
        <sz val="10"/>
        <rFont val="Arial"/>
        <family val="2"/>
      </rPr>
      <t>a</t>
    </r>
  </si>
  <si>
    <r>
      <t xml:space="preserve">(8)*(9) </t>
    </r>
    <r>
      <rPr>
        <vertAlign val="subscript"/>
        <sz val="10"/>
        <rFont val="Arial"/>
        <family val="2"/>
      </rPr>
      <t>PDO</t>
    </r>
  </si>
  <si>
    <t>Single-vehicle collision</t>
  </si>
  <si>
    <t>Other collision</t>
  </si>
  <si>
    <r>
      <t>(7)</t>
    </r>
    <r>
      <rPr>
        <sz val="6"/>
        <rFont val="Arial"/>
        <family val="2"/>
      </rPr>
      <t>TOTAL</t>
    </r>
    <r>
      <rPr>
        <sz val="10"/>
        <rFont val="Arial"/>
        <family val="2"/>
      </rPr>
      <t xml:space="preserve"> from Worksheet 1C (b)</t>
    </r>
  </si>
  <si>
    <r>
      <t>(7)</t>
    </r>
    <r>
      <rPr>
        <sz val="6"/>
        <rFont val="Arial"/>
        <family val="2"/>
      </rPr>
      <t>FI</t>
    </r>
    <r>
      <rPr>
        <sz val="10"/>
        <rFont val="Arial"/>
        <family val="2"/>
      </rPr>
      <t xml:space="preserve"> from Worksheet 1C (b)</t>
    </r>
  </si>
  <si>
    <r>
      <t xml:space="preserve">(7) </t>
    </r>
    <r>
      <rPr>
        <vertAlign val="subscript"/>
        <sz val="10"/>
        <rFont val="Arial"/>
        <family val="2"/>
      </rPr>
      <t>FI</t>
    </r>
    <r>
      <rPr>
        <vertAlign val="superscript"/>
        <sz val="10"/>
        <rFont val="Arial"/>
        <family val="2"/>
      </rPr>
      <t>a</t>
    </r>
    <r>
      <rPr>
        <sz val="10"/>
        <rFont val="Arial"/>
        <family val="2"/>
      </rPr>
      <t xml:space="preserve"> from Worksheet 1C (b)</t>
    </r>
  </si>
  <si>
    <r>
      <t>(7)</t>
    </r>
    <r>
      <rPr>
        <sz val="6"/>
        <rFont val="Arial"/>
        <family val="2"/>
      </rPr>
      <t>PDO</t>
    </r>
    <r>
      <rPr>
        <sz val="10"/>
        <rFont val="Arial"/>
        <family val="2"/>
      </rPr>
      <t xml:space="preserve"> from Worksheet 1C (b)</t>
    </r>
  </si>
  <si>
    <t>Worksheet 1E -- Summary Results for Rural Multilane Roadway Segments</t>
  </si>
  <si>
    <t>(2)/(3)</t>
  </si>
  <si>
    <t>Mwidth</t>
  </si>
  <si>
    <t>Divided</t>
  </si>
  <si>
    <t>Undivided</t>
  </si>
  <si>
    <t>Division</t>
  </si>
  <si>
    <t>Proportion of crashes by collision type and crash severity level</t>
  </si>
  <si>
    <t>Head-on</t>
  </si>
  <si>
    <t>Sideswipe</t>
  </si>
  <si>
    <t>Rear-end</t>
  </si>
  <si>
    <t>Angle</t>
  </si>
  <si>
    <t>Single</t>
  </si>
  <si>
    <t>Other</t>
  </si>
  <si>
    <r>
      <t xml:space="preserve">Fatal and injury </t>
    </r>
    <r>
      <rPr>
        <vertAlign val="superscript"/>
        <sz val="10"/>
        <rFont val="Arial"/>
        <family val="2"/>
      </rPr>
      <t>a</t>
    </r>
  </si>
  <si>
    <t>PDO</t>
  </si>
  <si>
    <r>
      <t>Calculated Shoulder Width (CMF</t>
    </r>
    <r>
      <rPr>
        <vertAlign val="subscript"/>
        <sz val="10"/>
        <rFont val="Arial"/>
        <family val="2"/>
      </rPr>
      <t>wrc</t>
    </r>
    <r>
      <rPr>
        <sz val="10"/>
        <rFont val="Arial"/>
        <family val="2"/>
      </rPr>
      <t>) :</t>
    </r>
  </si>
  <si>
    <r>
      <t>Calculated Shoulder Type (CMF</t>
    </r>
    <r>
      <rPr>
        <vertAlign val="subscript"/>
        <sz val="10"/>
        <rFont val="Arial"/>
        <family val="2"/>
      </rPr>
      <t xml:space="preserve"> trc</t>
    </r>
    <r>
      <rPr>
        <sz val="10"/>
        <rFont val="Arial"/>
        <family val="2"/>
      </rPr>
      <t>) :</t>
    </r>
  </si>
  <si>
    <t>1:2 or Steeper</t>
  </si>
  <si>
    <t>1:4</t>
  </si>
  <si>
    <t>1:5</t>
  </si>
  <si>
    <t>1:6</t>
  </si>
  <si>
    <t>1:7 or Flatter</t>
  </si>
  <si>
    <t>Proportion of total night-time crashes by severity level</t>
  </si>
  <si>
    <r>
      <t>Fatal and injury, p</t>
    </r>
    <r>
      <rPr>
        <vertAlign val="subscript"/>
        <sz val="10"/>
        <rFont val="Arial"/>
        <family val="2"/>
      </rPr>
      <t>inr</t>
    </r>
  </si>
  <si>
    <r>
      <t>PDO, p</t>
    </r>
    <r>
      <rPr>
        <vertAlign val="subscript"/>
        <sz val="10"/>
        <rFont val="Arial"/>
        <family val="2"/>
      </rPr>
      <t>pnr</t>
    </r>
  </si>
  <si>
    <r>
      <t>p</t>
    </r>
    <r>
      <rPr>
        <vertAlign val="subscript"/>
        <sz val="10"/>
        <rFont val="Arial"/>
        <family val="2"/>
      </rPr>
      <t>nr</t>
    </r>
  </si>
  <si>
    <t>4U</t>
  </si>
  <si>
    <t>Not Applicable</t>
  </si>
  <si>
    <t>Shld2</t>
  </si>
  <si>
    <t>Average Shoulder Width (ft)</t>
  </si>
  <si>
    <t>CMF</t>
  </si>
  <si>
    <t>4D</t>
  </si>
  <si>
    <t>SV run-off-rd, Head-on, Sideswipe</t>
  </si>
  <si>
    <t>Worksheet 2A -- General Information and Input Data for Rural Multilane Highway Intersections</t>
  </si>
  <si>
    <t>Worksheet 2B -- Crash Modification Factors for Rural Multilane Highway Intersections</t>
  </si>
  <si>
    <t>(2)*(3)*(4)*(5)</t>
  </si>
  <si>
    <r>
      <t xml:space="preserve">CMF for Intersection Skew Angle (CMF </t>
    </r>
    <r>
      <rPr>
        <vertAlign val="subscript"/>
        <sz val="10"/>
        <rFont val="Arial"/>
        <family val="2"/>
      </rPr>
      <t>1i</t>
    </r>
    <r>
      <rPr>
        <sz val="10"/>
        <rFont val="Arial"/>
        <family val="2"/>
      </rPr>
      <t xml:space="preserve"> )</t>
    </r>
  </si>
  <si>
    <t>from Equations 11-18 or 11-20 and 11-19 or     11-21</t>
  </si>
  <si>
    <r>
      <t xml:space="preserve">N </t>
    </r>
    <r>
      <rPr>
        <b/>
        <vertAlign val="subscript"/>
        <sz val="10"/>
        <rFont val="Arial"/>
        <family val="2"/>
      </rPr>
      <t>spf int</t>
    </r>
  </si>
  <si>
    <t>from Equation 11-11 or 11-12</t>
  </si>
  <si>
    <t>from (6) of Worksheet 2B</t>
  </si>
  <si>
    <r>
      <t>Calibration Factor, C</t>
    </r>
    <r>
      <rPr>
        <b/>
        <vertAlign val="subscript"/>
        <sz val="10"/>
        <rFont val="Arial"/>
        <family val="2"/>
      </rPr>
      <t>i</t>
    </r>
  </si>
  <si>
    <r>
      <t>Predicted average crash frequency, N</t>
    </r>
    <r>
      <rPr>
        <b/>
        <vertAlign val="subscript"/>
        <sz val="10"/>
        <rFont val="Arial"/>
        <family val="2"/>
      </rPr>
      <t xml:space="preserve"> predicted int</t>
    </r>
  </si>
  <si>
    <r>
      <t>(7)</t>
    </r>
    <r>
      <rPr>
        <sz val="6"/>
        <rFont val="Arial"/>
        <family val="2"/>
      </rPr>
      <t>TOTAL</t>
    </r>
    <r>
      <rPr>
        <sz val="10"/>
        <rFont val="Arial"/>
        <family val="2"/>
      </rPr>
      <t xml:space="preserve"> from Worksheet 2C</t>
    </r>
  </si>
  <si>
    <r>
      <t>(7)</t>
    </r>
    <r>
      <rPr>
        <sz val="6"/>
        <rFont val="Arial"/>
        <family val="2"/>
      </rPr>
      <t>FI</t>
    </r>
    <r>
      <rPr>
        <sz val="10"/>
        <rFont val="Arial"/>
        <family val="2"/>
      </rPr>
      <t xml:space="preserve"> from Worksheet 2C</t>
    </r>
  </si>
  <si>
    <r>
      <t xml:space="preserve">N </t>
    </r>
    <r>
      <rPr>
        <b/>
        <i/>
        <sz val="10"/>
        <rFont val="Arial"/>
        <family val="2"/>
      </rPr>
      <t>predicted int</t>
    </r>
    <r>
      <rPr>
        <b/>
        <sz val="10"/>
        <rFont val="Arial"/>
        <family val="2"/>
      </rPr>
      <t xml:space="preserve"> (FI</t>
    </r>
    <r>
      <rPr>
        <b/>
        <vertAlign val="superscript"/>
        <sz val="10"/>
        <rFont val="Arial"/>
        <family val="2"/>
      </rPr>
      <t>a</t>
    </r>
    <r>
      <rPr>
        <b/>
        <sz val="10"/>
        <rFont val="Arial"/>
        <family val="2"/>
      </rPr>
      <t>) (crashes/year)</t>
    </r>
  </si>
  <si>
    <r>
      <t xml:space="preserve">(7) </t>
    </r>
    <r>
      <rPr>
        <vertAlign val="subscript"/>
        <sz val="10"/>
        <rFont val="Arial"/>
        <family val="2"/>
      </rPr>
      <t>FI</t>
    </r>
    <r>
      <rPr>
        <vertAlign val="superscript"/>
        <sz val="10"/>
        <rFont val="Arial"/>
        <family val="2"/>
      </rPr>
      <t>a</t>
    </r>
    <r>
      <rPr>
        <sz val="10"/>
        <rFont val="Arial"/>
        <family val="2"/>
      </rPr>
      <t xml:space="preserve"> from Worksheet 2C</t>
    </r>
  </si>
  <si>
    <r>
      <t xml:space="preserve">N </t>
    </r>
    <r>
      <rPr>
        <b/>
        <i/>
        <vertAlign val="subscript"/>
        <sz val="10"/>
        <rFont val="Arial"/>
        <family val="2"/>
      </rPr>
      <t>predicted int</t>
    </r>
    <r>
      <rPr>
        <b/>
        <vertAlign val="subscript"/>
        <sz val="10"/>
        <rFont val="Arial"/>
        <family val="2"/>
      </rPr>
      <t xml:space="preserve"> (PDO) </t>
    </r>
    <r>
      <rPr>
        <b/>
        <sz val="10"/>
        <rFont val="Arial"/>
        <family val="2"/>
      </rPr>
      <t>(crashes/year)</t>
    </r>
  </si>
  <si>
    <r>
      <t>(7)</t>
    </r>
    <r>
      <rPr>
        <sz val="6"/>
        <rFont val="Arial"/>
        <family val="2"/>
      </rPr>
      <t>PDO</t>
    </r>
    <r>
      <rPr>
        <sz val="10"/>
        <rFont val="Arial"/>
        <family val="2"/>
      </rPr>
      <t xml:space="preserve"> from Worksheet 2C</t>
    </r>
  </si>
  <si>
    <t>Worksheet 2E -- Summary Results for Rural Multilane Highway Intersections</t>
  </si>
  <si>
    <t>Iapproach</t>
  </si>
  <si>
    <t>Number of non-STOP-controlled approaches with left-turn lanes (0, 1, 2)</t>
  </si>
  <si>
    <r>
      <t>p</t>
    </r>
    <r>
      <rPr>
        <vertAlign val="subscript"/>
        <sz val="10"/>
        <rFont val="Arial"/>
        <family val="2"/>
      </rPr>
      <t>ni</t>
    </r>
  </si>
  <si>
    <r>
      <t>Fatal and injury, p</t>
    </r>
    <r>
      <rPr>
        <vertAlign val="subscript"/>
        <sz val="10"/>
        <rFont val="Arial"/>
        <family val="2"/>
      </rPr>
      <t>ini</t>
    </r>
  </si>
  <si>
    <t>c or d (4SG)</t>
  </si>
  <si>
    <t>Four-leg intersections with minor road stop control</t>
  </si>
  <si>
    <t>Three-leg intersections with minor road stop control</t>
  </si>
  <si>
    <t>Worksheet 4A -- Predicted and Observed Crashes by Severity and Site Type Using the Project-Level EB Method</t>
  </si>
  <si>
    <t>Site type</t>
  </si>
  <si>
    <t>COMBINED (sum of column)</t>
  </si>
  <si>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</si>
  <si>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t>
    </r>
    <r>
      <rPr>
        <sz val="10"/>
        <rFont val="Arial"/>
        <family val="2"/>
      </rPr>
      <t xml:space="preserve">    (PDO)</t>
    </r>
  </si>
  <si>
    <t>ROADWAY SEGMENTS</t>
  </si>
  <si>
    <t>INTERSECTIONS</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</si>
  <si>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</si>
  <si>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</si>
  <si>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</si>
  <si>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</si>
  <si>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</si>
  <si>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</si>
  <si>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</si>
  <si>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</si>
  <si>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</si>
  <si>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</si>
  <si>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</si>
  <si>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</si>
  <si>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N</t>
    </r>
    <r>
      <rPr>
        <b/>
        <vertAlign val="subscript"/>
        <sz val="10"/>
        <rFont val="Arial"/>
        <family val="2"/>
      </rPr>
      <t>p/comb</t>
    </r>
  </si>
  <si>
    <t>Equation   A-14</t>
  </si>
  <si>
    <r>
      <t>Observed crashes,</t>
    </r>
    <r>
      <rPr>
        <sz val="10"/>
        <rFont val="Arial"/>
        <family val="2"/>
      </rPr>
      <t xml:space="preserve">   N</t>
    </r>
    <r>
      <rPr>
        <vertAlign val="subscript"/>
        <sz val="10"/>
        <rFont val="Arial"/>
        <family val="2"/>
      </rPr>
      <t>observed</t>
    </r>
    <r>
      <rPr>
        <sz val="10"/>
        <rFont val="Arial"/>
        <family val="2"/>
      </rPr>
      <t xml:space="preserve"> (crashes/year)</t>
    </r>
  </si>
  <si>
    <t>Worksheet 3A -- Predicted and Observed Crashes by Severity and Site Type Using the Site-Specific EB Method</t>
  </si>
  <si>
    <t>Weighted adjustment, w</t>
  </si>
  <si>
    <t>Equation A-5 from Part C Appendix</t>
  </si>
  <si>
    <t>Equation   A-4 from Part C Appendix</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</si>
  <si>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</si>
  <si>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</si>
  <si>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</si>
  <si>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(8)</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</si>
  <si>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</si>
  <si>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</si>
  <si>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</si>
  <si>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</si>
  <si>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t>Worksheet 4B -- Project-Level EB Method Summary Results</t>
  </si>
  <si>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</si>
  <si>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</si>
  <si>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</si>
  <si>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</si>
  <si>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</si>
  <si>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</si>
  <si>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</si>
  <si>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</si>
  <si>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</si>
  <si>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</si>
  <si>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</si>
  <si>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</si>
  <si>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Median Width (ft)</t>
  </si>
  <si>
    <t>N spf rd</t>
  </si>
  <si>
    <t>Proportion of Collision Type(FI)</t>
  </si>
  <si>
    <t>Note: The collision types related to lane width to which this CMF applies include run-off-the-road, head-on crashes, and sideswipes.</t>
  </si>
  <si>
    <t>Calculations for the CMF for Shoulder Type and Widths</t>
  </si>
  <si>
    <t>Tables Affiliated with Crash Statistics:</t>
  </si>
  <si>
    <t>Tables Affiliated with Crash Modification Factors:</t>
  </si>
  <si>
    <r>
      <t xml:space="preserve">   N</t>
    </r>
    <r>
      <rPr>
        <vertAlign val="subscript"/>
        <sz val="10"/>
        <rFont val="Arial"/>
        <family val="2"/>
      </rPr>
      <t xml:space="preserve"> predicted</t>
    </r>
    <r>
      <rPr>
        <sz val="10"/>
        <rFont val="Arial"/>
        <family val="2"/>
      </rPr>
      <t xml:space="preserve">     (FI)</t>
    </r>
  </si>
  <si>
    <r>
      <t>(CMF</t>
    </r>
    <r>
      <rPr>
        <vertAlign val="subscript"/>
        <sz val="10"/>
        <rFont val="Arial"/>
        <family val="2"/>
      </rPr>
      <t xml:space="preserve"> 2i</t>
    </r>
    <r>
      <rPr>
        <sz val="10"/>
        <rFont val="Arial"/>
        <family val="2"/>
      </rPr>
      <t xml:space="preserve"> )</t>
    </r>
  </si>
  <si>
    <r>
      <t>(CMF</t>
    </r>
    <r>
      <rPr>
        <vertAlign val="subscript"/>
        <sz val="10"/>
        <rFont val="Arial"/>
        <family val="2"/>
      </rPr>
      <t xml:space="preserve"> 3i </t>
    </r>
    <r>
      <rPr>
        <sz val="10"/>
        <rFont val="Arial"/>
        <family val="2"/>
      </rPr>
      <t>)</t>
    </r>
  </si>
  <si>
    <r>
      <t>(CMF</t>
    </r>
    <r>
      <rPr>
        <vertAlign val="subscript"/>
        <sz val="10"/>
        <rFont val="Arial"/>
        <family val="2"/>
      </rPr>
      <t xml:space="preserve"> 4i </t>
    </r>
    <r>
      <rPr>
        <sz val="10"/>
        <rFont val="Arial"/>
        <family val="2"/>
      </rPr>
      <t>)</t>
    </r>
  </si>
  <si>
    <r>
      <t>Combined CMF (CMF</t>
    </r>
    <r>
      <rPr>
        <vertAlign val="subscript"/>
        <sz val="10"/>
        <rFont val="Arial"/>
        <family val="2"/>
      </rPr>
      <t xml:space="preserve"> COMB </t>
    </r>
    <r>
      <rPr>
        <sz val="10"/>
        <rFont val="Arial"/>
        <family val="2"/>
      </rPr>
      <t>)</t>
    </r>
  </si>
  <si>
    <t>from Equation 11-22</t>
  </si>
  <si>
    <t>Number of non-STOP-controlled approaches with right-turn lanes (0, 1, 2, 3, or 4)</t>
  </si>
  <si>
    <t>RtApproach</t>
  </si>
  <si>
    <t>Shoulder width (ft) - right shoulder width for divided [if differ for directions of travel, use average width]</t>
  </si>
  <si>
    <t>1:3</t>
  </si>
  <si>
    <t>Sslope2</t>
  </si>
  <si>
    <r>
      <t>Predicted average crash frequency, N</t>
    </r>
    <r>
      <rPr>
        <b/>
        <vertAlign val="subscript"/>
        <sz val="10"/>
        <rFont val="Arial"/>
        <family val="2"/>
      </rPr>
      <t xml:space="preserve"> predicted rs(u)</t>
    </r>
  </si>
  <si>
    <r>
      <t>Predicted average crash frequency, N</t>
    </r>
    <r>
      <rPr>
        <b/>
        <vertAlign val="subscript"/>
        <sz val="10"/>
        <rFont val="Arial"/>
        <family val="2"/>
      </rPr>
      <t xml:space="preserve"> predicted rs(d)</t>
    </r>
  </si>
  <si>
    <r>
      <t xml:space="preserve">N </t>
    </r>
    <r>
      <rPr>
        <b/>
        <sz val="6"/>
        <rFont val="Arial"/>
        <family val="2"/>
      </rPr>
      <t>predicted rs(d) (TOTAL)</t>
    </r>
    <r>
      <rPr>
        <b/>
        <sz val="10"/>
        <rFont val="Arial"/>
        <family val="2"/>
      </rPr>
      <t xml:space="preserve"> (crashes/year)</t>
    </r>
  </si>
  <si>
    <r>
      <t xml:space="preserve">N </t>
    </r>
    <r>
      <rPr>
        <b/>
        <sz val="6"/>
        <rFont val="Arial"/>
        <family val="2"/>
      </rPr>
      <t>predicted rs(d) (FI)</t>
    </r>
    <r>
      <rPr>
        <b/>
        <sz val="10"/>
        <rFont val="Arial"/>
        <family val="2"/>
      </rPr>
      <t xml:space="preserve"> (crashes/year)</t>
    </r>
  </si>
  <si>
    <r>
      <t xml:space="preserve">N </t>
    </r>
    <r>
      <rPr>
        <b/>
        <vertAlign val="subscript"/>
        <sz val="10"/>
        <rFont val="Arial"/>
        <family val="2"/>
      </rPr>
      <t xml:space="preserve">predicted rs(d) (PDO) </t>
    </r>
    <r>
      <rPr>
        <b/>
        <sz val="10"/>
        <rFont val="Arial"/>
        <family val="2"/>
      </rPr>
      <t>(crashes/year)</t>
    </r>
  </si>
  <si>
    <r>
      <t xml:space="preserve">N </t>
    </r>
    <r>
      <rPr>
        <b/>
        <sz val="6"/>
        <rFont val="Arial"/>
        <family val="2"/>
      </rPr>
      <t>predicted rs(u) (TOTAL)</t>
    </r>
    <r>
      <rPr>
        <b/>
        <sz val="10"/>
        <rFont val="Arial"/>
        <family val="2"/>
      </rPr>
      <t xml:space="preserve"> (crashes/year)</t>
    </r>
  </si>
  <si>
    <r>
      <t xml:space="preserve">N </t>
    </r>
    <r>
      <rPr>
        <b/>
        <sz val="6"/>
        <rFont val="Arial"/>
        <family val="2"/>
      </rPr>
      <t>predicted rs(u) (FI)</t>
    </r>
    <r>
      <rPr>
        <b/>
        <sz val="10"/>
        <rFont val="Arial"/>
        <family val="2"/>
      </rPr>
      <t xml:space="preserve"> (crashes/year)</t>
    </r>
  </si>
  <si>
    <r>
      <t xml:space="preserve">N </t>
    </r>
    <r>
      <rPr>
        <b/>
        <vertAlign val="subscript"/>
        <sz val="10"/>
        <rFont val="Arial"/>
        <family val="2"/>
      </rPr>
      <t>predicted rs(u)</t>
    </r>
    <r>
      <rPr>
        <b/>
        <sz val="10"/>
        <rFont val="Arial"/>
        <family val="2"/>
      </rPr>
      <t xml:space="preserve"> (FI</t>
    </r>
    <r>
      <rPr>
        <b/>
        <vertAlign val="superscript"/>
        <sz val="10"/>
        <rFont val="Arial"/>
        <family val="2"/>
      </rPr>
      <t>a</t>
    </r>
    <r>
      <rPr>
        <b/>
        <sz val="10"/>
        <rFont val="Arial"/>
        <family val="2"/>
      </rPr>
      <t>) (crashes/year)</t>
    </r>
  </si>
  <si>
    <r>
      <t xml:space="preserve">N </t>
    </r>
    <r>
      <rPr>
        <b/>
        <vertAlign val="subscript"/>
        <sz val="10"/>
        <rFont val="Arial"/>
        <family val="2"/>
      </rPr>
      <t xml:space="preserve">predicted rs(u) (PDO) </t>
    </r>
    <r>
      <rPr>
        <b/>
        <sz val="10"/>
        <rFont val="Arial"/>
        <family val="2"/>
      </rPr>
      <t>(crashes/year)</t>
    </r>
  </si>
  <si>
    <t>Tables Affiliated with Crash Modification Factors for Specific Segment AADT values:</t>
  </si>
  <si>
    <t>Shld3</t>
  </si>
  <si>
    <t>Note:  The 4-leg Signalized Intersection (4SG) models do not have base conditions and so can only be used for estimation purposes.  As a result, there are not CMFs provided for the 4SG condition.</t>
  </si>
  <si>
    <t>N spf rs(u)</t>
  </si>
  <si>
    <t>Highway Safety Manual 1st Edition, Volume 2, Chapter 11-- Predictive Method for Rural Multilane Highways -- Analysis Spreadsheet Summary</t>
  </si>
  <si>
    <t>Table 11-9: Distribution of Intersection Crashes by Collision Type and Crash Severity</t>
  </si>
  <si>
    <r>
      <t>Table 11-11: CMF for Lane Width on Undivided Roadway Segments (CMF</t>
    </r>
    <r>
      <rPr>
        <b/>
        <vertAlign val="subscript"/>
        <sz val="10"/>
        <rFont val="Arial"/>
        <family val="2"/>
      </rPr>
      <t>RA</t>
    </r>
    <r>
      <rPr>
        <b/>
        <sz val="10"/>
        <rFont val="Arial"/>
        <family val="2"/>
      </rPr>
      <t>)</t>
    </r>
  </si>
  <si>
    <r>
      <t>Table 11-12: CMF for Collision Types Related to Shoulder Width (CMF</t>
    </r>
    <r>
      <rPr>
        <b/>
        <vertAlign val="subscript"/>
        <sz val="10"/>
        <rFont val="Arial"/>
        <family val="2"/>
      </rPr>
      <t>WRA</t>
    </r>
    <r>
      <rPr>
        <b/>
        <sz val="10"/>
        <rFont val="Arial"/>
        <family val="2"/>
      </rPr>
      <t>)</t>
    </r>
  </si>
  <si>
    <r>
      <t>Table 11-13: CMF for Collision Types Related to Shoulder Types and Shoulder Widths (CMF</t>
    </r>
    <r>
      <rPr>
        <b/>
        <vertAlign val="subscript"/>
        <sz val="10"/>
        <rFont val="Arial"/>
        <family val="2"/>
      </rPr>
      <t>TRA</t>
    </r>
    <r>
      <rPr>
        <b/>
        <sz val="10"/>
        <rFont val="Arial"/>
        <family val="2"/>
      </rPr>
      <t>)</t>
    </r>
  </si>
  <si>
    <r>
      <t>Table 11-14: CMF for Side Slope on Undivided Roadway Segments (CMF</t>
    </r>
    <r>
      <rPr>
        <b/>
        <vertAlign val="subscript"/>
        <sz val="10"/>
        <rFont val="Arial"/>
        <family val="2"/>
      </rPr>
      <t>3ru</t>
    </r>
    <r>
      <rPr>
        <b/>
        <sz val="10"/>
        <rFont val="Arial"/>
        <family val="2"/>
      </rPr>
      <t>)</t>
    </r>
  </si>
  <si>
    <t>from Table 11-14</t>
  </si>
  <si>
    <r>
      <t>Table 11-16: CMF for Lane Width on Divided Roadway Segments (CMF</t>
    </r>
    <r>
      <rPr>
        <b/>
        <vertAlign val="subscript"/>
        <sz val="10"/>
        <rFont val="Arial"/>
        <family val="2"/>
      </rPr>
      <t>RA</t>
    </r>
    <r>
      <rPr>
        <b/>
        <sz val="10"/>
        <rFont val="Arial"/>
        <family val="2"/>
      </rPr>
      <t>)</t>
    </r>
  </si>
  <si>
    <t>Tables Affiliated with CMFs for Specific Segment AADT values:</t>
  </si>
  <si>
    <r>
      <t>Table 11-17: CMF for Right Shoulder Width on Divided Roadway Segments (CMF2</t>
    </r>
    <r>
      <rPr>
        <b/>
        <vertAlign val="subscript"/>
        <sz val="10"/>
        <rFont val="Arial"/>
        <family val="2"/>
      </rPr>
      <t>rd</t>
    </r>
    <r>
      <rPr>
        <b/>
        <sz val="10"/>
        <rFont val="Arial"/>
        <family val="2"/>
      </rPr>
      <t>)</t>
    </r>
  </si>
  <si>
    <t>from Table 11-17</t>
  </si>
  <si>
    <r>
      <t>Table 11-18: CMF for Median Width on Divided Roadway Segments without a Median Barrier(CMF3</t>
    </r>
    <r>
      <rPr>
        <b/>
        <vertAlign val="subscript"/>
        <sz val="10"/>
        <rFont val="Arial"/>
        <family val="2"/>
      </rPr>
      <t>rd</t>
    </r>
    <r>
      <rPr>
        <b/>
        <sz val="10"/>
        <rFont val="Arial"/>
        <family val="2"/>
      </rPr>
      <t>)</t>
    </r>
  </si>
  <si>
    <t>from Table 11-18</t>
  </si>
  <si>
    <t>from Table 11-3</t>
  </si>
  <si>
    <t>from Table 11-5</t>
  </si>
  <si>
    <t>from Table 11-6</t>
  </si>
  <si>
    <t>from Table 11-4</t>
  </si>
  <si>
    <t xml:space="preserve">  from Table   11-4</t>
  </si>
  <si>
    <t>Table 11-24: Night-time Crash Proportions for Unlighted Intersections</t>
  </si>
  <si>
    <t>from Table 11-22</t>
  </si>
  <si>
    <t>from Table 11-23</t>
  </si>
  <si>
    <t>from Table 11-7 or 11-8</t>
  </si>
  <si>
    <t>from Table 11-9</t>
  </si>
  <si>
    <t xml:space="preserve">  from Table   11-9</t>
  </si>
  <si>
    <r>
      <t>AADT</t>
    </r>
    <r>
      <rPr>
        <vertAlign val="subscript"/>
        <sz val="10"/>
        <rFont val="Arial"/>
        <family val="2"/>
      </rPr>
      <t>MAX</t>
    </r>
    <r>
      <rPr>
        <sz val="10"/>
        <rFont val="Arial"/>
        <family val="2"/>
      </rPr>
      <t xml:space="preserve"> =</t>
    </r>
  </si>
  <si>
    <t>(veh/day)</t>
  </si>
  <si>
    <t>Spreadsheet developed by:</t>
  </si>
  <si>
    <t>Karen Dixon, Ph.D., P.E.</t>
  </si>
  <si>
    <t>Skew Intersection:</t>
  </si>
  <si>
    <t>Texas A&amp;M Transportation Institute</t>
  </si>
  <si>
    <t>3135 TAMU</t>
  </si>
  <si>
    <t>College Station, TX  77843-3135</t>
  </si>
  <si>
    <t>Email:  k-dixon@tamu.edu</t>
  </si>
  <si>
    <t>Phone:  979-845-9906</t>
  </si>
  <si>
    <t>Intersetion Totals:</t>
  </si>
  <si>
    <t>Segment Totals:</t>
  </si>
  <si>
    <t>Intersesection Totals:</t>
  </si>
  <si>
    <t>Last modified:</t>
  </si>
  <si>
    <t>Spreadsheet modification tracking</t>
  </si>
  <si>
    <t>Date</t>
  </si>
  <si>
    <t>Modified by</t>
  </si>
  <si>
    <t>Description</t>
  </si>
  <si>
    <t>August, 2015</t>
  </si>
  <si>
    <t>Karen Dixon (k-dixon@tamu.edu)</t>
  </si>
  <si>
    <t>Updates per errata, other</t>
  </si>
  <si>
    <t>July, 2019</t>
  </si>
  <si>
    <t>Tariq Shihadah (tariq.shihadah@jacobs.com)</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</si>
  <si>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</si>
  <si>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</si>
  <si>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</si>
  <si>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</si>
  <si>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This spreadsheet has been developed to demonstrate the predictive models for rural multilane highways as contained in the new Highway Safety Manual. The content was developed for training purposes and all users should verify that the answers they obtain with these worksheets correctly represent their target analysis.</t>
  </si>
  <si>
    <t>Current worksheet displaying overview, summary of spreadsheet worksheets, and description of color coding included in the worksheets.</t>
  </si>
  <si>
    <t>Tables 11-9 and 11-24 are intersection exhibits for estimating crash distributions and can be modified for locally-derived conditions if this information is available.</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</si>
  <si>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</si>
  <si>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Segment_Divided_1</t>
  </si>
  <si>
    <t>Segment_Undivided_1</t>
  </si>
  <si>
    <t>Reference Tables (Segment)</t>
  </si>
  <si>
    <t>Reference Tables (Intersection)</t>
  </si>
  <si>
    <t>Intersection_1</t>
  </si>
  <si>
    <t>Construction - Do Not Delete</t>
  </si>
  <si>
    <t>(enter name)</t>
  </si>
  <si>
    <t>(enter agency)</t>
  </si>
  <si>
    <t>(enter date)</t>
  </si>
  <si>
    <t>(enter roadway name)</t>
  </si>
  <si>
    <t>(enter roadway section)</t>
  </si>
  <si>
    <t>(enter jurisdiction)</t>
  </si>
  <si>
    <t>(enter intersection name)</t>
  </si>
  <si>
    <t>ROADWAY SEGMENTS (DIVIDED)</t>
  </si>
  <si>
    <t>ROADWAY SEGMENTS (UNDIVIDED)</t>
  </si>
  <si>
    <t>Intersection_2</t>
  </si>
  <si>
    <t>Intersection_3</t>
  </si>
  <si>
    <t>Intersection_4</t>
  </si>
  <si>
    <t>Intersection_5</t>
  </si>
  <si>
    <t>Intersection_6</t>
  </si>
  <si>
    <t>Intersection_7</t>
  </si>
  <si>
    <t>Intersection_8</t>
  </si>
  <si>
    <t>Segment_Divided_2</t>
  </si>
  <si>
    <t>Segment_Divided_3</t>
  </si>
  <si>
    <t>Segment_Divided_4</t>
  </si>
  <si>
    <t>Segment_Divided_5</t>
  </si>
  <si>
    <t>Segment_Divided_6</t>
  </si>
  <si>
    <t>Segment_Divided_7</t>
  </si>
  <si>
    <t>Segment_Divided_8</t>
  </si>
  <si>
    <t>Segment_Undivided_2</t>
  </si>
  <si>
    <t>Segment_Undivided_3</t>
  </si>
  <si>
    <t>Segment_Undivided_4</t>
  </si>
  <si>
    <t>Segment_Undivided_5</t>
  </si>
  <si>
    <t>Segment_Undivided_6</t>
  </si>
  <si>
    <t>Segment_Undivided_7</t>
  </si>
  <si>
    <t>Segment_Undivided_8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</si>
  <si>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</si>
  <si>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Summary Tables (Site Totals)</t>
  </si>
  <si>
    <t>Summary Tables (Project Total)</t>
  </si>
  <si>
    <t>Worksheet shows exhibits for use by the segment worksheets. These exhibits  are independent and do not depend on input values. This worksheet includes exhibits that summarize crash information and can be modified for locally-derived conditions.  These are Tables 11-4, 11-6, 11-15, and 11-19.  Tables specific to CMFs are also included. The CMF tables in this worksheet are 11-13, 11-14, 11-17, and 11-18.</t>
  </si>
  <si>
    <t>Segment_Divided_1-8</t>
  </si>
  <si>
    <t>Segment_Undivided_1-8</t>
  </si>
  <si>
    <t>Intersection_1-8</t>
  </si>
  <si>
    <t>Formatting, consistency, comments by HSM Steering Group; updated formulas in summary sheets for consistency, ease of use; modified instructional text for consistency between workbooks and clarity</t>
  </si>
  <si>
    <t>For questions:</t>
  </si>
  <si>
    <t>info@highwaysafetymanual.com</t>
  </si>
  <si>
    <t>Number of auxiliary lanes</t>
  </si>
  <si>
    <t>Wide centerline (1 to 3 ft)</t>
  </si>
  <si>
    <t>Centerline only (no median)</t>
  </si>
  <si>
    <t>Median type</t>
  </si>
  <si>
    <t>Not present</t>
  </si>
  <si>
    <t>Street lighting</t>
  </si>
  <si>
    <t>None</t>
  </si>
  <si>
    <t>Vehicle parking</t>
  </si>
  <si>
    <t>Pedestrian fencing</t>
  </si>
  <si>
    <t>Limited</t>
  </si>
  <si>
    <t>Not applicable (no crossing present)</t>
  </si>
  <si>
    <t>Advance visibility of a pedestrian crossing</t>
  </si>
  <si>
    <t>School zone flashing beacons or other active warnings present</t>
  </si>
  <si>
    <t>Not applicable (no school zone at this location)</t>
  </si>
  <si>
    <t>School zone warning</t>
  </si>
  <si>
    <t>Unsignalized marked crossing without refuge but with pedestrian hybrid beacon</t>
  </si>
  <si>
    <t>No facility</t>
  </si>
  <si>
    <t>Pedestrian crossing facility type</t>
  </si>
  <si>
    <t>Locations other than schools</t>
  </si>
  <si>
    <t>Location of pedestrian crossing</t>
  </si>
  <si>
    <t>6 to 25</t>
  </si>
  <si>
    <t>Peak hour pedestrian volume, midblock (ped/hr)</t>
  </si>
  <si>
    <t>Midblock Crossing 5</t>
  </si>
  <si>
    <t>Midblock Crossing 4</t>
  </si>
  <si>
    <t>Midblock Crossing 3</t>
  </si>
  <si>
    <t>Midblock Crossing 2</t>
  </si>
  <si>
    <t>Midblock Crossing 1</t>
  </si>
  <si>
    <t>Number of Midblock Crossing</t>
  </si>
  <si>
    <t>Pedestrian Midblock Crossing</t>
  </si>
  <si>
    <t>Paved shoulder present with width &gt;= 3 ft and &lt; 7.9 ft</t>
  </si>
  <si>
    <t>Bicycle facilities and paved shoulder provision</t>
  </si>
  <si>
    <t>Vehicle parking (Bicyclist)</t>
  </si>
  <si>
    <t>Vehicle parking (Pedestrians)</t>
  </si>
  <si>
    <t>Sidewalk or paved shoulder provision</t>
  </si>
  <si>
    <t>Shoulder rumble strips</t>
  </si>
  <si>
    <t>Clearly visible</t>
  </si>
  <si>
    <t>Presence and condition of delineation</t>
  </si>
  <si>
    <t>0% to &lt; 7.5%</t>
  </si>
  <si>
    <t>Percent grade</t>
  </si>
  <si>
    <t>Not applicable (no horizontal curve present)</t>
  </si>
  <si>
    <t>Advanced visibility of a curve</t>
  </si>
  <si>
    <t>Straight or gently curving (advisory speed &gt;= 60 mph or curve radius &gt; 2600 ft)</t>
  </si>
  <si>
    <t>Horizontal curvature</t>
  </si>
  <si>
    <t>Wide (&gt;= 10.6 ft)</t>
  </si>
  <si>
    <t>Lane width</t>
  </si>
  <si>
    <t>Two Lanes</t>
  </si>
  <si>
    <t>Number of through traffic lanes</t>
  </si>
  <si>
    <t>Motor vehicle speed (mph)</t>
  </si>
  <si>
    <t>201 to 300</t>
  </si>
  <si>
    <t>Peak hour bicycle volume (bikes/hr) (includes both directions of travel combined)</t>
  </si>
  <si>
    <t>101 to 200</t>
  </si>
  <si>
    <t>Peak hour pedestrian volume (peds/hr) (directional)</t>
  </si>
  <si>
    <t>Motor-vehicle traffic volume (veh/day) (directional)</t>
  </si>
  <si>
    <t>Median Type</t>
  </si>
  <si>
    <t>Right side of roadway</t>
  </si>
  <si>
    <t>Left side of roadway</t>
  </si>
  <si>
    <t>Roadway:</t>
  </si>
  <si>
    <r>
      <rPr>
        <b/>
        <sz val="11"/>
        <color rgb="FF000000"/>
        <rFont val="Calibri"/>
        <family val="2"/>
        <charset val="1"/>
      </rPr>
      <t>N</t>
    </r>
    <r>
      <rPr>
        <b/>
        <vertAlign val="subscript"/>
        <sz val="11"/>
        <color rgb="FF000000"/>
        <rFont val="Calibri"/>
        <family val="2"/>
        <charset val="1"/>
      </rPr>
      <t>bikers-C</t>
    </r>
  </si>
  <si>
    <r>
      <rPr>
        <b/>
        <sz val="11"/>
        <color rgb="FF000000"/>
        <rFont val="Calibri"/>
        <family val="2"/>
        <charset val="1"/>
      </rPr>
      <t>N</t>
    </r>
    <r>
      <rPr>
        <b/>
        <vertAlign val="subscript"/>
        <sz val="11"/>
        <color rgb="FF000000"/>
        <rFont val="Calibri"/>
        <family val="2"/>
        <charset val="1"/>
      </rPr>
      <t>pedrs-C</t>
    </r>
  </si>
  <si>
    <r>
      <rPr>
        <b/>
        <sz val="11"/>
        <color rgb="FF000000"/>
        <rFont val="Calibri"/>
        <family val="2"/>
        <charset val="1"/>
      </rPr>
      <t>N</t>
    </r>
    <r>
      <rPr>
        <b/>
        <vertAlign val="subscript"/>
        <sz val="11"/>
        <color rgb="FF000000"/>
        <rFont val="Calibri"/>
        <family val="2"/>
        <charset val="1"/>
      </rPr>
      <t>bikers-B</t>
    </r>
  </si>
  <si>
    <r>
      <rPr>
        <b/>
        <sz val="11"/>
        <color rgb="FF000000"/>
        <rFont val="Calibri"/>
        <family val="2"/>
        <charset val="1"/>
      </rPr>
      <t>N</t>
    </r>
    <r>
      <rPr>
        <b/>
        <vertAlign val="subscript"/>
        <sz val="11"/>
        <color rgb="FF000000"/>
        <rFont val="Calibri"/>
        <family val="2"/>
        <charset val="1"/>
      </rPr>
      <t>pedrs-B</t>
    </r>
  </si>
  <si>
    <r>
      <rPr>
        <b/>
        <sz val="11"/>
        <color rgb="FF000000"/>
        <rFont val="Calibri"/>
        <family val="2"/>
        <charset val="1"/>
      </rPr>
      <t>N</t>
    </r>
    <r>
      <rPr>
        <b/>
        <vertAlign val="subscript"/>
        <sz val="11"/>
        <color rgb="FF000000"/>
        <rFont val="Calibri"/>
        <family val="2"/>
        <charset val="1"/>
      </rPr>
      <t>bikers-A</t>
    </r>
  </si>
  <si>
    <r>
      <rPr>
        <b/>
        <sz val="11"/>
        <color rgb="FF000000"/>
        <rFont val="Calibri"/>
        <family val="2"/>
        <charset val="1"/>
      </rPr>
      <t>N</t>
    </r>
    <r>
      <rPr>
        <b/>
        <vertAlign val="subscript"/>
        <sz val="11"/>
        <color rgb="FF000000"/>
        <rFont val="Calibri"/>
        <family val="2"/>
        <charset val="1"/>
      </rPr>
      <t>pedrs-A</t>
    </r>
  </si>
  <si>
    <r>
      <rPr>
        <b/>
        <sz val="11"/>
        <color rgb="FF000000"/>
        <rFont val="Calibri"/>
        <family val="2"/>
        <charset val="1"/>
      </rPr>
      <t>N</t>
    </r>
    <r>
      <rPr>
        <b/>
        <vertAlign val="subscript"/>
        <sz val="11"/>
        <color rgb="FF000000"/>
        <rFont val="Calibri"/>
        <family val="2"/>
        <charset val="1"/>
      </rPr>
      <t>bikers-K</t>
    </r>
  </si>
  <si>
    <r>
      <rPr>
        <b/>
        <sz val="11"/>
        <color rgb="FF000000"/>
        <rFont val="Calibri"/>
        <family val="2"/>
        <charset val="1"/>
      </rPr>
      <t>N</t>
    </r>
    <r>
      <rPr>
        <b/>
        <vertAlign val="subscript"/>
        <sz val="11"/>
        <color rgb="FF000000"/>
        <rFont val="Calibri"/>
        <family val="2"/>
        <charset val="1"/>
      </rPr>
      <t>pedrs-K</t>
    </r>
  </si>
  <si>
    <r>
      <rPr>
        <b/>
        <sz val="11"/>
        <color rgb="FF000000"/>
        <rFont val="Calibri"/>
        <family val="2"/>
        <charset val="1"/>
      </rPr>
      <t>N</t>
    </r>
    <r>
      <rPr>
        <b/>
        <vertAlign val="subscript"/>
        <sz val="11"/>
        <color rgb="FF000000"/>
        <rFont val="Calibri"/>
        <family val="2"/>
        <charset val="1"/>
      </rPr>
      <t>bikers</t>
    </r>
  </si>
  <si>
    <r>
      <rPr>
        <b/>
        <sz val="11"/>
        <color rgb="FF000000"/>
        <rFont val="Calibri"/>
        <family val="2"/>
        <charset val="1"/>
      </rPr>
      <t>N</t>
    </r>
    <r>
      <rPr>
        <b/>
        <vertAlign val="subscript"/>
        <sz val="11"/>
        <color rgb="FF000000"/>
        <rFont val="Calibri"/>
        <family val="2"/>
        <charset val="1"/>
      </rPr>
      <t>pedrs</t>
    </r>
  </si>
  <si>
    <t>Number of Bicyclists Injured</t>
  </si>
  <si>
    <t>Person Level</t>
  </si>
  <si>
    <t>Number of Pedestrians Injured</t>
  </si>
  <si>
    <t>Number of Bicycle Crashes</t>
  </si>
  <si>
    <t>Crash Level</t>
  </si>
  <si>
    <t>Number of Pedestrian Crashes</t>
  </si>
  <si>
    <r>
      <rPr>
        <sz val="10"/>
        <rFont val="Arial"/>
        <family val="2"/>
      </rPr>
      <t>C</t>
    </r>
    <r>
      <rPr>
        <vertAlign val="subscript"/>
        <sz val="11"/>
        <color rgb="FF000000"/>
        <rFont val="Calibri"/>
        <family val="2"/>
        <charset val="1"/>
      </rPr>
      <t>pedrs</t>
    </r>
  </si>
  <si>
    <r>
      <t>FT</t>
    </r>
    <r>
      <rPr>
        <vertAlign val="subscript"/>
        <sz val="11"/>
        <color rgb="FF000000"/>
        <rFont val="Calibri"/>
        <family val="2"/>
        <charset val="1"/>
      </rPr>
      <t>ped</t>
    </r>
    <r>
      <rPr>
        <vertAlign val="subscript"/>
        <sz val="11"/>
        <color rgb="FF000000"/>
        <rFont val="Calibri"/>
        <family val="2"/>
      </rPr>
      <t>rs</t>
    </r>
  </si>
  <si>
    <r>
      <t>(N</t>
    </r>
    <r>
      <rPr>
        <vertAlign val="subscript"/>
        <sz val="11"/>
        <color theme="1"/>
        <rFont val="Calibri"/>
        <family val="2"/>
        <scheme val="minor"/>
      </rPr>
      <t>alongleft-ped</t>
    </r>
    <r>
      <rPr>
        <sz val="10"/>
        <rFont val="Arial"/>
        <family val="2"/>
      </rPr>
      <t xml:space="preserve"> + N</t>
    </r>
    <r>
      <rPr>
        <vertAlign val="subscript"/>
        <sz val="11"/>
        <color theme="1"/>
        <rFont val="Calibri"/>
        <family val="2"/>
        <scheme val="minor"/>
      </rPr>
      <t xml:space="preserve">alongright-ped </t>
    </r>
    <r>
      <rPr>
        <sz val="10"/>
        <rFont val="Arial"/>
        <family val="2"/>
      </rPr>
      <t>+</t>
    </r>
    <r>
      <rPr>
        <vertAlign val="subscript"/>
        <sz val="11"/>
        <color theme="1"/>
        <rFont val="Calibri"/>
        <family val="2"/>
        <scheme val="minor"/>
      </rPr>
      <t xml:space="preserve"> </t>
    </r>
    <r>
      <rPr>
        <sz val="11"/>
        <color theme="1"/>
        <rFont val="Calibri"/>
        <family val="2"/>
      </rPr>
      <t>∑N</t>
    </r>
    <r>
      <rPr>
        <vertAlign val="subscript"/>
        <sz val="11"/>
        <color theme="1"/>
        <rFont val="Calibri"/>
        <family val="2"/>
      </rPr>
      <t>midcrossing-ped</t>
    </r>
    <r>
      <rPr>
        <sz val="11"/>
        <color theme="1"/>
        <rFont val="Calibri"/>
        <family val="2"/>
      </rPr>
      <t xml:space="preserve"> )</t>
    </r>
  </si>
  <si>
    <r>
      <rPr>
        <sz val="10"/>
        <rFont val="Arial"/>
        <family val="2"/>
      </rPr>
      <t>N</t>
    </r>
    <r>
      <rPr>
        <vertAlign val="subscript"/>
        <sz val="11"/>
        <color rgb="FF000000"/>
        <rFont val="Calibri"/>
        <family val="2"/>
        <charset val="1"/>
      </rPr>
      <t>midcrossing-ped</t>
    </r>
  </si>
  <si>
    <r>
      <t>PFF</t>
    </r>
    <r>
      <rPr>
        <vertAlign val="subscript"/>
        <sz val="11"/>
        <color rgb="FF000000"/>
        <rFont val="Calibri"/>
        <family val="2"/>
        <charset val="1"/>
      </rPr>
      <t>rs</t>
    </r>
  </si>
  <si>
    <r>
      <t>MVTFF</t>
    </r>
    <r>
      <rPr>
        <vertAlign val="subscript"/>
        <sz val="11"/>
        <color rgb="FF000000"/>
        <rFont val="Calibri"/>
        <family val="2"/>
        <charset val="1"/>
      </rPr>
      <t>pedrs</t>
    </r>
  </si>
  <si>
    <r>
      <t>MVTSF</t>
    </r>
    <r>
      <rPr>
        <vertAlign val="subscript"/>
        <sz val="11"/>
        <color rgb="FF000000"/>
        <rFont val="Calibri"/>
        <family val="2"/>
        <charset val="1"/>
      </rPr>
      <t>pedrs</t>
    </r>
  </si>
  <si>
    <r>
      <rPr>
        <sz val="10"/>
        <rFont val="Arial"/>
        <family val="2"/>
      </rPr>
      <t>Severity</t>
    </r>
    <r>
      <rPr>
        <vertAlign val="subscript"/>
        <sz val="11"/>
        <color rgb="FF000000"/>
        <rFont val="Calibri"/>
        <family val="2"/>
        <charset val="1"/>
      </rPr>
      <t>midcrossing-ped</t>
    </r>
  </si>
  <si>
    <r>
      <rPr>
        <sz val="10"/>
        <rFont val="Arial"/>
        <family val="2"/>
      </rPr>
      <t>Likelihood</t>
    </r>
    <r>
      <rPr>
        <vertAlign val="subscript"/>
        <sz val="11"/>
        <color rgb="FF000000"/>
        <rFont val="Calibri"/>
        <family val="2"/>
        <charset val="1"/>
      </rPr>
      <t>midcrossing-ped</t>
    </r>
  </si>
  <si>
    <r>
      <t>AF</t>
    </r>
    <r>
      <rPr>
        <vertAlign val="subscript"/>
        <sz val="11"/>
        <color rgb="FF000000"/>
        <rFont val="Calibri"/>
        <family val="2"/>
        <charset val="1"/>
      </rPr>
      <t>LM15-ped</t>
    </r>
    <r>
      <rPr>
        <sz val="10"/>
        <rFont val="Arial"/>
        <family val="2"/>
      </rPr>
      <t xml:space="preserve"> (Median type)</t>
    </r>
  </si>
  <si>
    <r>
      <t>AF</t>
    </r>
    <r>
      <rPr>
        <vertAlign val="subscript"/>
        <sz val="11"/>
        <color rgb="FF000000"/>
        <rFont val="Calibri"/>
        <family val="2"/>
        <charset val="1"/>
      </rPr>
      <t>LM14-ped</t>
    </r>
    <r>
      <rPr>
        <sz val="10"/>
        <rFont val="Arial"/>
        <family val="2"/>
      </rPr>
      <t xml:space="preserve"> (Number of traffic lanes to be crossed)</t>
    </r>
  </si>
  <si>
    <r>
      <t>AF</t>
    </r>
    <r>
      <rPr>
        <vertAlign val="subscript"/>
        <sz val="11"/>
        <color rgb="FF000000"/>
        <rFont val="Calibri"/>
        <family val="2"/>
        <charset val="1"/>
      </rPr>
      <t>LM13-ped</t>
    </r>
    <r>
      <rPr>
        <sz val="10"/>
        <rFont val="Arial"/>
        <family val="2"/>
      </rPr>
      <t xml:space="preserve"> (Street lighting)</t>
    </r>
  </si>
  <si>
    <r>
      <t>AF</t>
    </r>
    <r>
      <rPr>
        <vertAlign val="subscript"/>
        <sz val="11"/>
        <color rgb="FF000000"/>
        <rFont val="Calibri"/>
        <family val="2"/>
        <charset val="1"/>
      </rPr>
      <t>LM12-ped</t>
    </r>
    <r>
      <rPr>
        <sz val="10"/>
        <rFont val="Arial"/>
        <family val="2"/>
      </rPr>
      <t xml:space="preserve"> (Vehicle parking)</t>
    </r>
  </si>
  <si>
    <r>
      <t>AF</t>
    </r>
    <r>
      <rPr>
        <vertAlign val="subscript"/>
        <sz val="11"/>
        <color rgb="FF000000"/>
        <rFont val="Calibri"/>
        <family val="2"/>
        <charset val="1"/>
      </rPr>
      <t>LM5-ped</t>
    </r>
    <r>
      <rPr>
        <sz val="10"/>
        <rFont val="Arial"/>
        <family val="2"/>
      </rPr>
      <t xml:space="preserve"> (Pedestrian fencing)</t>
    </r>
  </si>
  <si>
    <r>
      <t>AF</t>
    </r>
    <r>
      <rPr>
        <vertAlign val="subscript"/>
        <sz val="11"/>
        <color rgb="FF000000"/>
        <rFont val="Calibri"/>
        <family val="2"/>
        <charset val="1"/>
      </rPr>
      <t>LM4-ped</t>
    </r>
    <r>
      <rPr>
        <sz val="10"/>
        <rFont val="Arial"/>
        <family val="2"/>
      </rPr>
      <t xml:space="preserve"> (Advance visibility of a pedestrian crossing)</t>
    </r>
  </si>
  <si>
    <r>
      <t>AF</t>
    </r>
    <r>
      <rPr>
        <vertAlign val="subscript"/>
        <sz val="11"/>
        <color rgb="FF000000"/>
        <rFont val="Calibri"/>
        <family val="2"/>
        <charset val="1"/>
      </rPr>
      <t>SM3-ped</t>
    </r>
    <r>
      <rPr>
        <sz val="10"/>
        <rFont val="Arial"/>
        <family val="2"/>
      </rPr>
      <t xml:space="preserve"> (Pedestrian crossing facility type)</t>
    </r>
  </si>
  <si>
    <r>
      <t>AF</t>
    </r>
    <r>
      <rPr>
        <vertAlign val="subscript"/>
        <sz val="11"/>
        <color rgb="FF000000"/>
        <rFont val="Calibri"/>
        <family val="2"/>
        <charset val="1"/>
      </rPr>
      <t>LM3-ped</t>
    </r>
    <r>
      <rPr>
        <sz val="10"/>
        <rFont val="Arial"/>
        <family val="2"/>
      </rPr>
      <t xml:space="preserve"> (Pedestrian crossing facility type)</t>
    </r>
  </si>
  <si>
    <r>
      <t>AF</t>
    </r>
    <r>
      <rPr>
        <vertAlign val="subscript"/>
        <sz val="11"/>
        <color rgb="FF000000"/>
        <rFont val="Calibri"/>
        <family val="2"/>
        <charset val="1"/>
      </rPr>
      <t>LM2-ped</t>
    </r>
    <r>
      <rPr>
        <sz val="10"/>
        <rFont val="Arial"/>
        <family val="2"/>
      </rPr>
      <t xml:space="preserve"> (School zone warning)</t>
    </r>
  </si>
  <si>
    <r>
      <rPr>
        <sz val="10"/>
        <rFont val="Arial"/>
        <family val="2"/>
      </rPr>
      <t>C</t>
    </r>
    <r>
      <rPr>
        <vertAlign val="subscript"/>
        <sz val="11"/>
        <color rgb="FF000000"/>
        <rFont val="Calibri"/>
        <family val="2"/>
        <charset val="1"/>
      </rPr>
      <t>bikers</t>
    </r>
  </si>
  <si>
    <r>
      <rPr>
        <sz val="10"/>
        <rFont val="Arial"/>
        <family val="2"/>
      </rPr>
      <t>FT</t>
    </r>
    <r>
      <rPr>
        <vertAlign val="subscript"/>
        <sz val="11"/>
        <color rgb="FF000000"/>
        <rFont val="Calibri"/>
        <family val="2"/>
        <charset val="1"/>
      </rPr>
      <t>bikers</t>
    </r>
  </si>
  <si>
    <r>
      <t>N</t>
    </r>
    <r>
      <rPr>
        <vertAlign val="subscript"/>
        <sz val="11"/>
        <color rgb="FF000000"/>
        <rFont val="Calibri"/>
        <family val="2"/>
        <charset val="1"/>
      </rPr>
      <t>unadjusted-bikers</t>
    </r>
  </si>
  <si>
    <r>
      <rPr>
        <sz val="10"/>
        <rFont val="Arial"/>
        <family val="2"/>
      </rPr>
      <t>N</t>
    </r>
    <r>
      <rPr>
        <vertAlign val="subscript"/>
        <sz val="11"/>
        <color rgb="FF000000"/>
        <rFont val="Calibri"/>
        <family val="2"/>
        <charset val="1"/>
      </rPr>
      <t>alongright-ped</t>
    </r>
  </si>
  <si>
    <r>
      <rPr>
        <sz val="10"/>
        <rFont val="Arial"/>
        <family val="2"/>
      </rPr>
      <t>N</t>
    </r>
    <r>
      <rPr>
        <vertAlign val="subscript"/>
        <sz val="11"/>
        <color rgb="FF000000"/>
        <rFont val="Calibri"/>
        <family val="2"/>
        <charset val="1"/>
      </rPr>
      <t>alongleft-ped</t>
    </r>
  </si>
  <si>
    <r>
      <rPr>
        <sz val="10"/>
        <rFont val="Arial"/>
        <family val="2"/>
      </rPr>
      <t>PFF</t>
    </r>
    <r>
      <rPr>
        <vertAlign val="subscript"/>
        <sz val="11"/>
        <color rgb="FF000000"/>
        <rFont val="Calibri"/>
        <family val="2"/>
        <charset val="1"/>
      </rPr>
      <t>along-right</t>
    </r>
  </si>
  <si>
    <r>
      <rPr>
        <sz val="10"/>
        <rFont val="Arial"/>
        <family val="2"/>
      </rPr>
      <t>PFF</t>
    </r>
    <r>
      <rPr>
        <vertAlign val="subscript"/>
        <sz val="11"/>
        <color rgb="FF000000"/>
        <rFont val="Calibri"/>
        <family val="2"/>
        <charset val="1"/>
      </rPr>
      <t>along-left</t>
    </r>
  </si>
  <si>
    <r>
      <t>BFF</t>
    </r>
    <r>
      <rPr>
        <vertAlign val="subscript"/>
        <sz val="11"/>
        <color rgb="FF000000"/>
        <rFont val="Calibri"/>
        <family val="2"/>
        <charset val="1"/>
      </rPr>
      <t>rs</t>
    </r>
  </si>
  <si>
    <r>
      <t>MVTFF</t>
    </r>
    <r>
      <rPr>
        <vertAlign val="subscript"/>
        <sz val="11"/>
        <color rgb="FF000000"/>
        <rFont val="Calibri"/>
        <family val="2"/>
        <charset val="1"/>
      </rPr>
      <t>bikers</t>
    </r>
  </si>
  <si>
    <r>
      <t>MVTSF</t>
    </r>
    <r>
      <rPr>
        <vertAlign val="subscript"/>
        <sz val="11"/>
        <color rgb="FF000000"/>
        <rFont val="Calibri"/>
        <family val="2"/>
        <charset val="1"/>
      </rPr>
      <t>bikers</t>
    </r>
  </si>
  <si>
    <r>
      <rPr>
        <sz val="10"/>
        <rFont val="Arial"/>
        <family val="2"/>
      </rPr>
      <t>Severity</t>
    </r>
    <r>
      <rPr>
        <vertAlign val="subscript"/>
        <sz val="11"/>
        <color rgb="FF000000"/>
        <rFont val="Calibri"/>
        <family val="2"/>
        <charset val="1"/>
      </rPr>
      <t>alongright-ped</t>
    </r>
  </si>
  <si>
    <r>
      <rPr>
        <sz val="10"/>
        <rFont val="Arial"/>
        <family val="2"/>
      </rPr>
      <t>Severity</t>
    </r>
    <r>
      <rPr>
        <vertAlign val="subscript"/>
        <sz val="11"/>
        <color rgb="FF000000"/>
        <rFont val="Calibri"/>
        <family val="2"/>
        <charset val="1"/>
      </rPr>
      <t>alongleft-ped</t>
    </r>
  </si>
  <si>
    <r>
      <t>Severity</t>
    </r>
    <r>
      <rPr>
        <vertAlign val="subscript"/>
        <sz val="11"/>
        <color rgb="FF000000"/>
        <rFont val="Calibri"/>
        <family val="2"/>
        <charset val="1"/>
      </rPr>
      <t>bikers</t>
    </r>
  </si>
  <si>
    <r>
      <rPr>
        <sz val="10"/>
        <rFont val="Arial"/>
        <family val="2"/>
      </rPr>
      <t>Likelihood</t>
    </r>
    <r>
      <rPr>
        <vertAlign val="subscript"/>
        <sz val="11"/>
        <color rgb="FF000000"/>
        <rFont val="Calibri"/>
        <family val="2"/>
        <charset val="1"/>
      </rPr>
      <t>alongright-ped</t>
    </r>
  </si>
  <si>
    <r>
      <rPr>
        <sz val="10"/>
        <rFont val="Arial"/>
        <family val="2"/>
      </rPr>
      <t>Likelihood</t>
    </r>
    <r>
      <rPr>
        <vertAlign val="subscript"/>
        <sz val="11"/>
        <color rgb="FF000000"/>
        <rFont val="Calibri"/>
        <family val="2"/>
        <charset val="1"/>
      </rPr>
      <t>alongleft-ped</t>
    </r>
  </si>
  <si>
    <r>
      <t>Likelihood</t>
    </r>
    <r>
      <rPr>
        <vertAlign val="subscript"/>
        <sz val="11"/>
        <color rgb="FF000000"/>
        <rFont val="Calibri"/>
        <family val="2"/>
        <charset val="1"/>
      </rPr>
      <t>bikers</t>
    </r>
  </si>
  <si>
    <r>
      <t>AF</t>
    </r>
    <r>
      <rPr>
        <vertAlign val="subscript"/>
        <sz val="11"/>
        <color rgb="FF000000"/>
        <rFont val="Calibri"/>
        <family val="2"/>
        <charset val="1"/>
      </rPr>
      <t>LA13-ped</t>
    </r>
    <r>
      <rPr>
        <sz val="10"/>
        <rFont val="Arial"/>
        <family val="2"/>
      </rPr>
      <t xml:space="preserve"> (Street lighting)</t>
    </r>
  </si>
  <si>
    <r>
      <t>AF</t>
    </r>
    <r>
      <rPr>
        <vertAlign val="subscript"/>
        <sz val="11"/>
        <color rgb="FF000000"/>
        <rFont val="Calibri"/>
        <family val="2"/>
        <charset val="1"/>
      </rPr>
      <t>LA18-bike</t>
    </r>
    <r>
      <rPr>
        <sz val="10"/>
        <rFont val="Arial"/>
        <family val="2"/>
      </rPr>
      <t xml:space="preserve"> (Street lighting)</t>
    </r>
  </si>
  <si>
    <r>
      <t>AF</t>
    </r>
    <r>
      <rPr>
        <vertAlign val="subscript"/>
        <sz val="11"/>
        <color rgb="FF000000"/>
        <rFont val="Calibri"/>
        <family val="2"/>
        <charset val="1"/>
      </rPr>
      <t>LA12-ped</t>
    </r>
    <r>
      <rPr>
        <sz val="10"/>
        <rFont val="Arial"/>
        <family val="2"/>
      </rPr>
      <t xml:space="preserve"> (Vehicle parking)</t>
    </r>
  </si>
  <si>
    <r>
      <t>AF</t>
    </r>
    <r>
      <rPr>
        <vertAlign val="subscript"/>
        <sz val="11"/>
        <color rgb="FF000000"/>
        <rFont val="Calibri"/>
        <family val="2"/>
        <charset val="1"/>
      </rPr>
      <t>LA16-bike</t>
    </r>
    <r>
      <rPr>
        <sz val="10"/>
        <rFont val="Arial"/>
        <family val="2"/>
      </rPr>
      <t xml:space="preserve"> (Vehicle parking)</t>
    </r>
  </si>
  <si>
    <r>
      <t>AF</t>
    </r>
    <r>
      <rPr>
        <vertAlign val="subscript"/>
        <sz val="11"/>
        <color rgb="FF000000"/>
        <rFont val="Calibri"/>
        <family val="2"/>
        <charset val="1"/>
      </rPr>
      <t>LA11-ped</t>
    </r>
    <r>
      <rPr>
        <sz val="10"/>
        <rFont val="Arial"/>
        <family val="2"/>
      </rPr>
      <t xml:space="preserve"> (Shoulder rumble strips)</t>
    </r>
  </si>
  <si>
    <r>
      <t>AF</t>
    </r>
    <r>
      <rPr>
        <vertAlign val="subscript"/>
        <sz val="11"/>
        <color rgb="FF000000"/>
        <rFont val="Calibri"/>
        <family val="2"/>
        <charset val="1"/>
      </rPr>
      <t>LA15-bike</t>
    </r>
    <r>
      <rPr>
        <sz val="10"/>
        <rFont val="Arial"/>
        <family val="2"/>
      </rPr>
      <t xml:space="preserve"> (Shoulder rumble strips)</t>
    </r>
  </si>
  <si>
    <r>
      <t>AF</t>
    </r>
    <r>
      <rPr>
        <vertAlign val="subscript"/>
        <sz val="11"/>
        <color rgb="FF000000"/>
        <rFont val="Calibri"/>
        <family val="2"/>
        <charset val="1"/>
      </rPr>
      <t>LA10-ped</t>
    </r>
    <r>
      <rPr>
        <sz val="10"/>
        <rFont val="Arial"/>
        <family val="2"/>
      </rPr>
      <t xml:space="preserve"> (Presence and condition of delineation)</t>
    </r>
  </si>
  <si>
    <r>
      <t>AF</t>
    </r>
    <r>
      <rPr>
        <vertAlign val="subscript"/>
        <sz val="11"/>
        <color rgb="FF000000"/>
        <rFont val="Calibri"/>
        <family val="2"/>
        <charset val="1"/>
      </rPr>
      <t>LA14-bike</t>
    </r>
    <r>
      <rPr>
        <sz val="10"/>
        <rFont val="Arial"/>
        <family val="2"/>
      </rPr>
      <t xml:space="preserve"> (Presence and condition of delineation)</t>
    </r>
  </si>
  <si>
    <r>
      <t>AF</t>
    </r>
    <r>
      <rPr>
        <vertAlign val="subscript"/>
        <sz val="11"/>
        <color rgb="FF000000"/>
        <rFont val="Calibri"/>
        <family val="2"/>
        <charset val="1"/>
      </rPr>
      <t>LA9-ped</t>
    </r>
    <r>
      <rPr>
        <sz val="10"/>
        <rFont val="Arial"/>
        <family val="2"/>
      </rPr>
      <t xml:space="preserve"> (Percent grade)</t>
    </r>
  </si>
  <si>
    <r>
      <t>AF</t>
    </r>
    <r>
      <rPr>
        <vertAlign val="subscript"/>
        <sz val="11"/>
        <color rgb="FF000000"/>
        <rFont val="Calibri"/>
        <family val="2"/>
        <charset val="1"/>
      </rPr>
      <t>LA9-bike</t>
    </r>
    <r>
      <rPr>
        <sz val="10"/>
        <rFont val="Arial"/>
        <family val="2"/>
      </rPr>
      <t xml:space="preserve"> (Percent grade)</t>
    </r>
  </si>
  <si>
    <r>
      <t>AF</t>
    </r>
    <r>
      <rPr>
        <vertAlign val="subscript"/>
        <sz val="11"/>
        <color rgb="FF000000"/>
        <rFont val="Calibri"/>
        <family val="2"/>
        <charset val="1"/>
      </rPr>
      <t>LA8-ped</t>
    </r>
    <r>
      <rPr>
        <sz val="10"/>
        <rFont val="Arial"/>
        <family val="2"/>
      </rPr>
      <t xml:space="preserve"> (Advanced visibility of a curve)</t>
    </r>
  </si>
  <si>
    <r>
      <t>AF</t>
    </r>
    <r>
      <rPr>
        <vertAlign val="subscript"/>
        <sz val="11"/>
        <color rgb="FF000000"/>
        <rFont val="Calibri"/>
        <family val="2"/>
        <charset val="1"/>
      </rPr>
      <t>LA8-bike</t>
    </r>
    <r>
      <rPr>
        <sz val="10"/>
        <rFont val="Arial"/>
        <family val="2"/>
      </rPr>
      <t xml:space="preserve"> (Advance visibility of a curve)</t>
    </r>
  </si>
  <si>
    <r>
      <t>AF</t>
    </r>
    <r>
      <rPr>
        <vertAlign val="subscript"/>
        <sz val="11"/>
        <color rgb="FF000000"/>
        <rFont val="Calibri"/>
        <family val="2"/>
        <charset val="1"/>
      </rPr>
      <t>LA7-ped</t>
    </r>
    <r>
      <rPr>
        <sz val="10"/>
        <rFont val="Arial"/>
        <family val="2"/>
      </rPr>
      <t xml:space="preserve"> (Horizontal curvature)</t>
    </r>
  </si>
  <si>
    <r>
      <t>AF</t>
    </r>
    <r>
      <rPr>
        <vertAlign val="subscript"/>
        <sz val="11"/>
        <color rgb="FF000000"/>
        <rFont val="Calibri"/>
        <family val="2"/>
        <charset val="1"/>
      </rPr>
      <t>LA7-bike</t>
    </r>
    <r>
      <rPr>
        <sz val="10"/>
        <rFont val="Arial"/>
        <family val="2"/>
      </rPr>
      <t xml:space="preserve"> (Horizontal curvature)</t>
    </r>
  </si>
  <si>
    <r>
      <t>AF</t>
    </r>
    <r>
      <rPr>
        <vertAlign val="subscript"/>
        <sz val="11"/>
        <color rgb="FF000000"/>
        <rFont val="Calibri"/>
        <family val="2"/>
        <charset val="1"/>
      </rPr>
      <t>LA6-ped</t>
    </r>
    <r>
      <rPr>
        <sz val="10"/>
        <rFont val="Arial"/>
        <family val="2"/>
      </rPr>
      <t xml:space="preserve"> (Lane width)</t>
    </r>
  </si>
  <si>
    <r>
      <t>AF</t>
    </r>
    <r>
      <rPr>
        <vertAlign val="subscript"/>
        <sz val="11"/>
        <color rgb="FF000000"/>
        <rFont val="Calibri"/>
        <family val="2"/>
        <charset val="1"/>
      </rPr>
      <t>LA6-bike</t>
    </r>
    <r>
      <rPr>
        <sz val="10"/>
        <rFont val="Arial"/>
        <family val="2"/>
      </rPr>
      <t xml:space="preserve"> (Lane width)</t>
    </r>
  </si>
  <si>
    <r>
      <t>AF</t>
    </r>
    <r>
      <rPr>
        <vertAlign val="subscript"/>
        <sz val="11"/>
        <color rgb="FF000000"/>
        <rFont val="Calibri"/>
        <family val="2"/>
        <charset val="1"/>
      </rPr>
      <t>LA2-ped</t>
    </r>
    <r>
      <rPr>
        <sz val="10"/>
        <rFont val="Arial"/>
        <family val="2"/>
      </rPr>
      <t xml:space="preserve"> (Presence of warning signs in school zones)</t>
    </r>
  </si>
  <si>
    <r>
      <t>AF</t>
    </r>
    <r>
      <rPr>
        <vertAlign val="subscript"/>
        <sz val="11"/>
        <color rgb="FF000000"/>
        <rFont val="Calibri"/>
        <family val="2"/>
        <charset val="1"/>
      </rPr>
      <t>SA1-bike</t>
    </r>
    <r>
      <rPr>
        <sz val="10"/>
        <rFont val="Arial"/>
        <family val="2"/>
      </rPr>
      <t xml:space="preserve"> (Bicycle facilities or paved shoulder provision)</t>
    </r>
  </si>
  <si>
    <r>
      <t>AF</t>
    </r>
    <r>
      <rPr>
        <vertAlign val="subscript"/>
        <sz val="11"/>
        <color rgb="FF000000"/>
        <rFont val="Calibri"/>
        <family val="2"/>
        <charset val="1"/>
      </rPr>
      <t>SA1-ped</t>
    </r>
    <r>
      <rPr>
        <sz val="10"/>
        <rFont val="Arial"/>
        <family val="2"/>
      </rPr>
      <t xml:space="preserve"> (Sidewalk or paved shoulder provision)</t>
    </r>
  </si>
  <si>
    <r>
      <t>AF</t>
    </r>
    <r>
      <rPr>
        <vertAlign val="subscript"/>
        <sz val="11"/>
        <color rgb="FF000000"/>
        <rFont val="Calibri"/>
        <family val="2"/>
        <charset val="1"/>
      </rPr>
      <t>LA1-bike</t>
    </r>
    <r>
      <rPr>
        <sz val="10"/>
        <rFont val="Arial"/>
        <family val="2"/>
      </rPr>
      <t xml:space="preserve"> (Bicycle facilities or paved shoulder provision)</t>
    </r>
  </si>
  <si>
    <r>
      <t>AF</t>
    </r>
    <r>
      <rPr>
        <vertAlign val="subscript"/>
        <sz val="11"/>
        <color rgb="FF000000"/>
        <rFont val="Calibri"/>
        <family val="2"/>
        <charset val="1"/>
      </rPr>
      <t>LA1-ped</t>
    </r>
    <r>
      <rPr>
        <sz val="10"/>
        <rFont val="Arial"/>
        <family val="2"/>
      </rPr>
      <t xml:space="preserve"> (Sidewalk or paved shoulder provision)</t>
    </r>
  </si>
  <si>
    <t>Bicyclist</t>
  </si>
  <si>
    <t>Pedestrian</t>
  </si>
  <si>
    <t>Values</t>
  </si>
  <si>
    <t>Along the Road</t>
  </si>
  <si>
    <t>Along Right Side of Road</t>
  </si>
  <si>
    <t>Along Left Side of Road</t>
  </si>
  <si>
    <t>Calibration Factors:</t>
  </si>
  <si>
    <t>Bicycle:</t>
  </si>
  <si>
    <t>Pedestrian:</t>
  </si>
  <si>
    <t>Intersection channelization</t>
  </si>
  <si>
    <t>Substantial</t>
  </si>
  <si>
    <t>Advance visibility of an intersection</t>
  </si>
  <si>
    <t>No bicycle path, no crossing facility, or no intersection</t>
  </si>
  <si>
    <t>Bicycle path presence and pedestrian crossing facility type</t>
  </si>
  <si>
    <t>Dedicated bicycle lane on roadway</t>
  </si>
  <si>
    <t>Bicycle facilities and paved shoulder provision (exiting)</t>
  </si>
  <si>
    <t>Bicycle facilities and paved shoulder provision (entering)</t>
  </si>
  <si>
    <t>501 to 900</t>
  </si>
  <si>
    <t>Peak hour bicycle volume (bikes/hr) (both directions)</t>
  </si>
  <si>
    <t>Minor Road</t>
  </si>
  <si>
    <t>Major Road</t>
  </si>
  <si>
    <t>Bicyclists</t>
  </si>
  <si>
    <t>Advance visiblity of a pedestrian crossing</t>
  </si>
  <si>
    <t>Unsignalized marked crossing without refuge</t>
  </si>
  <si>
    <t>26 to 50</t>
  </si>
  <si>
    <t>Peak hour pedestrian volume - crossing intersection leg (ped/hr)</t>
  </si>
  <si>
    <t>Pedestrians</t>
  </si>
  <si>
    <t>Four Lanes</t>
  </si>
  <si>
    <t>Number of through traffic lanes (both directions)</t>
  </si>
  <si>
    <t>20 or less</t>
  </si>
  <si>
    <t>Motor-vehicle traffic volume (veh/day) (both directions)</t>
  </si>
  <si>
    <t>Minor Road (Leg 2)</t>
  </si>
  <si>
    <t>Minor Road (Leg 1)</t>
  </si>
  <si>
    <t>Major Road (Leg 2)</t>
  </si>
  <si>
    <t>Major Road (Leg 1)</t>
  </si>
  <si>
    <t>General Intersection Characteristics</t>
  </si>
  <si>
    <t>4-leg signalized with no exclusive left-turn lane</t>
  </si>
  <si>
    <t>Intersection type</t>
  </si>
  <si>
    <t>Intersection:</t>
  </si>
  <si>
    <r>
      <rPr>
        <b/>
        <sz val="11"/>
        <color rgb="FF000000"/>
        <rFont val="Calibri"/>
        <family val="2"/>
        <charset val="1"/>
      </rPr>
      <t>N</t>
    </r>
    <r>
      <rPr>
        <b/>
        <vertAlign val="subscript"/>
        <sz val="11"/>
        <color rgb="FF000000"/>
        <rFont val="Calibri"/>
        <family val="2"/>
        <charset val="1"/>
      </rPr>
      <t>int-bike-C</t>
    </r>
  </si>
  <si>
    <r>
      <rPr>
        <b/>
        <sz val="11"/>
        <color rgb="FF000000"/>
        <rFont val="Calibri"/>
        <family val="2"/>
        <charset val="1"/>
      </rPr>
      <t>N</t>
    </r>
    <r>
      <rPr>
        <b/>
        <vertAlign val="subscript"/>
        <sz val="11"/>
        <color rgb="FF000000"/>
        <rFont val="Calibri"/>
        <family val="2"/>
        <charset val="1"/>
      </rPr>
      <t>pedi-C</t>
    </r>
  </si>
  <si>
    <r>
      <rPr>
        <b/>
        <sz val="11"/>
        <color rgb="FF000000"/>
        <rFont val="Calibri"/>
        <family val="2"/>
        <charset val="1"/>
      </rPr>
      <t>N</t>
    </r>
    <r>
      <rPr>
        <b/>
        <vertAlign val="subscript"/>
        <sz val="11"/>
        <color rgb="FF000000"/>
        <rFont val="Calibri"/>
        <family val="2"/>
        <charset val="1"/>
      </rPr>
      <t>int-bike-B</t>
    </r>
  </si>
  <si>
    <r>
      <rPr>
        <b/>
        <sz val="11"/>
        <color rgb="FF000000"/>
        <rFont val="Calibri"/>
        <family val="2"/>
        <charset val="1"/>
      </rPr>
      <t>N</t>
    </r>
    <r>
      <rPr>
        <b/>
        <vertAlign val="subscript"/>
        <sz val="11"/>
        <color rgb="FF000000"/>
        <rFont val="Calibri"/>
        <family val="2"/>
        <charset val="1"/>
      </rPr>
      <t>pedi-B</t>
    </r>
  </si>
  <si>
    <r>
      <rPr>
        <b/>
        <sz val="11"/>
        <color rgb="FF000000"/>
        <rFont val="Calibri"/>
        <family val="2"/>
        <charset val="1"/>
      </rPr>
      <t>N</t>
    </r>
    <r>
      <rPr>
        <b/>
        <vertAlign val="subscript"/>
        <sz val="11"/>
        <color rgb="FF000000"/>
        <rFont val="Calibri"/>
        <family val="2"/>
        <charset val="1"/>
      </rPr>
      <t>int-bike-A</t>
    </r>
  </si>
  <si>
    <r>
      <rPr>
        <b/>
        <sz val="11"/>
        <color rgb="FF000000"/>
        <rFont val="Calibri"/>
        <family val="2"/>
        <charset val="1"/>
      </rPr>
      <t>N</t>
    </r>
    <r>
      <rPr>
        <b/>
        <vertAlign val="subscript"/>
        <sz val="11"/>
        <color rgb="FF000000"/>
        <rFont val="Calibri"/>
        <family val="2"/>
        <charset val="1"/>
      </rPr>
      <t>pedi-A</t>
    </r>
  </si>
  <si>
    <r>
      <rPr>
        <b/>
        <sz val="11"/>
        <color rgb="FF000000"/>
        <rFont val="Calibri"/>
        <family val="2"/>
        <charset val="1"/>
      </rPr>
      <t>N</t>
    </r>
    <r>
      <rPr>
        <b/>
        <vertAlign val="subscript"/>
        <sz val="11"/>
        <color rgb="FF000000"/>
        <rFont val="Calibri"/>
        <family val="2"/>
        <charset val="1"/>
      </rPr>
      <t>int-bike-K</t>
    </r>
  </si>
  <si>
    <r>
      <rPr>
        <b/>
        <sz val="11"/>
        <color rgb="FF000000"/>
        <rFont val="Calibri"/>
        <family val="2"/>
        <charset val="1"/>
      </rPr>
      <t>N</t>
    </r>
    <r>
      <rPr>
        <b/>
        <vertAlign val="subscript"/>
        <sz val="11"/>
        <color rgb="FF000000"/>
        <rFont val="Calibri"/>
        <family val="2"/>
        <charset val="1"/>
      </rPr>
      <t>pedi-K</t>
    </r>
  </si>
  <si>
    <r>
      <rPr>
        <b/>
        <sz val="11"/>
        <color rgb="FF000000"/>
        <rFont val="Calibri"/>
        <family val="2"/>
        <charset val="1"/>
      </rPr>
      <t>N</t>
    </r>
    <r>
      <rPr>
        <b/>
        <vertAlign val="subscript"/>
        <sz val="11"/>
        <color rgb="FF000000"/>
        <rFont val="Calibri"/>
        <family val="2"/>
        <charset val="1"/>
      </rPr>
      <t>int-bike</t>
    </r>
  </si>
  <si>
    <r>
      <rPr>
        <b/>
        <sz val="11"/>
        <color rgb="FF000000"/>
        <rFont val="Calibri"/>
        <family val="2"/>
        <charset val="1"/>
      </rPr>
      <t>N</t>
    </r>
    <r>
      <rPr>
        <b/>
        <vertAlign val="subscript"/>
        <sz val="11"/>
        <color rgb="FF000000"/>
        <rFont val="Calibri"/>
        <family val="2"/>
        <charset val="1"/>
      </rPr>
      <t>pedi</t>
    </r>
  </si>
  <si>
    <r>
      <rPr>
        <sz val="10"/>
        <rFont val="Arial"/>
        <family val="2"/>
      </rPr>
      <t>C</t>
    </r>
    <r>
      <rPr>
        <vertAlign val="subscript"/>
        <sz val="11"/>
        <color rgb="FF000000"/>
        <rFont val="Calibri"/>
        <family val="2"/>
        <charset val="1"/>
      </rPr>
      <t>pedi</t>
    </r>
  </si>
  <si>
    <r>
      <rPr>
        <sz val="10"/>
        <rFont val="Arial"/>
        <family val="2"/>
      </rPr>
      <t>FT</t>
    </r>
    <r>
      <rPr>
        <vertAlign val="subscript"/>
        <sz val="11"/>
        <color rgb="FF000000"/>
        <rFont val="Calibri"/>
        <family val="2"/>
        <charset val="1"/>
      </rPr>
      <t>pedi</t>
    </r>
  </si>
  <si>
    <t>∑ Nintcrossing-ped-j</t>
  </si>
  <si>
    <r>
      <rPr>
        <sz val="10"/>
        <rFont val="Arial"/>
        <family val="2"/>
      </rPr>
      <t>N</t>
    </r>
    <r>
      <rPr>
        <vertAlign val="subscript"/>
        <sz val="11"/>
        <color rgb="FF000000"/>
        <rFont val="Calibri"/>
        <family val="2"/>
        <charset val="1"/>
      </rPr>
      <t>intcrossing-ped-4</t>
    </r>
  </si>
  <si>
    <r>
      <rPr>
        <sz val="10"/>
        <rFont val="Arial"/>
        <family val="2"/>
      </rPr>
      <t>PFF</t>
    </r>
    <r>
      <rPr>
        <vertAlign val="subscript"/>
        <sz val="11"/>
        <color rgb="FF000000"/>
        <rFont val="Calibri"/>
        <family val="2"/>
        <charset val="1"/>
      </rPr>
      <t>intcrossing-4</t>
    </r>
  </si>
  <si>
    <r>
      <rPr>
        <sz val="10"/>
        <rFont val="Arial"/>
        <family val="2"/>
      </rPr>
      <t>MVTFF</t>
    </r>
    <r>
      <rPr>
        <vertAlign val="subscript"/>
        <sz val="11"/>
        <color rgb="FF000000"/>
        <rFont val="Calibri"/>
        <family val="2"/>
        <charset val="1"/>
      </rPr>
      <t>intrcrossing-ped-4</t>
    </r>
  </si>
  <si>
    <r>
      <rPr>
        <sz val="10"/>
        <rFont val="Arial"/>
        <family val="2"/>
      </rPr>
      <t>MVTSF</t>
    </r>
    <r>
      <rPr>
        <vertAlign val="subscript"/>
        <sz val="11"/>
        <color rgb="FF000000"/>
        <rFont val="Calibri"/>
        <family val="2"/>
        <charset val="1"/>
      </rPr>
      <t>intcrossing-ped-4</t>
    </r>
  </si>
  <si>
    <r>
      <rPr>
        <sz val="10"/>
        <rFont val="Arial"/>
        <family val="2"/>
      </rPr>
      <t>Severity</t>
    </r>
    <r>
      <rPr>
        <vertAlign val="subscript"/>
        <sz val="11"/>
        <color rgb="FF000000"/>
        <rFont val="Calibri"/>
        <family val="2"/>
        <charset val="1"/>
      </rPr>
      <t>intcrossing-ped-4</t>
    </r>
  </si>
  <si>
    <r>
      <rPr>
        <sz val="10"/>
        <rFont val="Arial"/>
        <family val="2"/>
      </rPr>
      <t>Likelihood</t>
    </r>
    <r>
      <rPr>
        <vertAlign val="subscript"/>
        <sz val="11"/>
        <color rgb="FF000000"/>
        <rFont val="Calibri"/>
        <family val="2"/>
        <charset val="1"/>
      </rPr>
      <t>intcrossing-ped-4</t>
    </r>
  </si>
  <si>
    <r>
      <t>AF</t>
    </r>
    <r>
      <rPr>
        <vertAlign val="subscript"/>
        <sz val="11"/>
        <color rgb="FF000000"/>
        <rFont val="Calibri"/>
        <family val="2"/>
        <charset val="1"/>
      </rPr>
      <t>LI16-ped</t>
    </r>
    <r>
      <rPr>
        <sz val="10"/>
        <rFont val="Arial"/>
        <family val="2"/>
      </rPr>
      <t xml:space="preserve"> (Intersection type)</t>
    </r>
  </si>
  <si>
    <r>
      <t>AF</t>
    </r>
    <r>
      <rPr>
        <vertAlign val="subscript"/>
        <sz val="11"/>
        <color rgb="FF000000"/>
        <rFont val="Calibri"/>
        <family val="2"/>
        <charset val="1"/>
      </rPr>
      <t>LI15-ped</t>
    </r>
    <r>
      <rPr>
        <sz val="10"/>
        <rFont val="Arial"/>
        <family val="2"/>
      </rPr>
      <t xml:space="preserve"> (Median type)</t>
    </r>
  </si>
  <si>
    <r>
      <t>AF</t>
    </r>
    <r>
      <rPr>
        <vertAlign val="subscript"/>
        <sz val="11"/>
        <color rgb="FF000000"/>
        <rFont val="Calibri"/>
        <family val="2"/>
        <charset val="1"/>
      </rPr>
      <t>LI14-ped</t>
    </r>
    <r>
      <rPr>
        <sz val="10"/>
        <rFont val="Arial"/>
        <family val="2"/>
      </rPr>
      <t xml:space="preserve"> (Number of traffic lanes to be crossed)</t>
    </r>
  </si>
  <si>
    <r>
      <t>AF</t>
    </r>
    <r>
      <rPr>
        <vertAlign val="subscript"/>
        <sz val="11"/>
        <color rgb="FF000000"/>
        <rFont val="Calibri"/>
        <family val="2"/>
        <charset val="1"/>
      </rPr>
      <t>LI13-ped</t>
    </r>
    <r>
      <rPr>
        <sz val="10"/>
        <rFont val="Arial"/>
        <family val="2"/>
      </rPr>
      <t xml:space="preserve"> (Street lighting)</t>
    </r>
  </si>
  <si>
    <r>
      <t>AF</t>
    </r>
    <r>
      <rPr>
        <vertAlign val="subscript"/>
        <sz val="11"/>
        <color rgb="FF000000"/>
        <rFont val="Calibri"/>
        <family val="2"/>
        <charset val="1"/>
      </rPr>
      <t>LI12-ped</t>
    </r>
    <r>
      <rPr>
        <sz val="10"/>
        <rFont val="Arial"/>
        <family val="2"/>
      </rPr>
      <t xml:space="preserve"> (Vehicle parking)</t>
    </r>
  </si>
  <si>
    <r>
      <t>AF</t>
    </r>
    <r>
      <rPr>
        <vertAlign val="subscript"/>
        <sz val="11"/>
        <color rgb="FF000000"/>
        <rFont val="Calibri"/>
        <family val="2"/>
        <charset val="1"/>
      </rPr>
      <t>LI5-ped</t>
    </r>
    <r>
      <rPr>
        <sz val="10"/>
        <rFont val="Arial"/>
        <family val="2"/>
      </rPr>
      <t xml:space="preserve"> (Pedestrian fencing)</t>
    </r>
  </si>
  <si>
    <r>
      <t>AF</t>
    </r>
    <r>
      <rPr>
        <vertAlign val="subscript"/>
        <sz val="11"/>
        <color rgb="FF000000"/>
        <rFont val="Calibri"/>
        <family val="2"/>
        <charset val="1"/>
      </rPr>
      <t>LI4-ped</t>
    </r>
    <r>
      <rPr>
        <sz val="10"/>
        <rFont val="Arial"/>
        <family val="2"/>
      </rPr>
      <t xml:space="preserve"> (Advance visibility of a pedestrian crossing)</t>
    </r>
  </si>
  <si>
    <r>
      <t>AF</t>
    </r>
    <r>
      <rPr>
        <vertAlign val="subscript"/>
        <sz val="11"/>
        <color rgb="FF000000"/>
        <rFont val="Calibri"/>
        <family val="2"/>
        <charset val="1"/>
      </rPr>
      <t>SI3-ped</t>
    </r>
    <r>
      <rPr>
        <sz val="10"/>
        <rFont val="Arial"/>
        <family val="2"/>
      </rPr>
      <t xml:space="preserve"> (Pedestrian crossing facility type)</t>
    </r>
  </si>
  <si>
    <r>
      <t>AF</t>
    </r>
    <r>
      <rPr>
        <vertAlign val="subscript"/>
        <sz val="11"/>
        <color rgb="FF000000"/>
        <rFont val="Calibri"/>
        <family val="2"/>
        <charset val="1"/>
      </rPr>
      <t>LI3-ped</t>
    </r>
    <r>
      <rPr>
        <sz val="10"/>
        <rFont val="Arial"/>
        <family val="2"/>
      </rPr>
      <t xml:space="preserve"> (Pedestrian crossing facility type)</t>
    </r>
  </si>
  <si>
    <r>
      <t>AF</t>
    </r>
    <r>
      <rPr>
        <vertAlign val="subscript"/>
        <sz val="11"/>
        <color rgb="FF000000"/>
        <rFont val="Calibri"/>
        <family val="2"/>
        <charset val="1"/>
      </rPr>
      <t>LI2-ped</t>
    </r>
    <r>
      <rPr>
        <sz val="10"/>
        <rFont val="Arial"/>
        <family val="2"/>
      </rPr>
      <t xml:space="preserve"> (School zone warning)</t>
    </r>
  </si>
  <si>
    <t>Minor road leg 2</t>
  </si>
  <si>
    <r>
      <rPr>
        <sz val="10"/>
        <rFont val="Arial"/>
        <family val="2"/>
      </rPr>
      <t>N</t>
    </r>
    <r>
      <rPr>
        <vertAlign val="subscript"/>
        <sz val="11"/>
        <color rgb="FF000000"/>
        <rFont val="Calibri"/>
        <family val="2"/>
        <charset val="1"/>
      </rPr>
      <t>intcrossing-ped-3</t>
    </r>
  </si>
  <si>
    <r>
      <rPr>
        <sz val="10"/>
        <rFont val="Arial"/>
        <family val="2"/>
      </rPr>
      <t>PFF</t>
    </r>
    <r>
      <rPr>
        <vertAlign val="subscript"/>
        <sz val="11"/>
        <color rgb="FF000000"/>
        <rFont val="Calibri"/>
        <family val="2"/>
        <charset val="1"/>
      </rPr>
      <t>intcrossing-3</t>
    </r>
  </si>
  <si>
    <r>
      <rPr>
        <sz val="10"/>
        <rFont val="Arial"/>
        <family val="2"/>
      </rPr>
      <t>MVTFF</t>
    </r>
    <r>
      <rPr>
        <vertAlign val="subscript"/>
        <sz val="11"/>
        <color rgb="FF000000"/>
        <rFont val="Calibri"/>
        <family val="2"/>
        <charset val="1"/>
      </rPr>
      <t>intrcrossing-ped-3</t>
    </r>
  </si>
  <si>
    <r>
      <rPr>
        <sz val="10"/>
        <rFont val="Arial"/>
        <family val="2"/>
      </rPr>
      <t>MVTSF</t>
    </r>
    <r>
      <rPr>
        <vertAlign val="subscript"/>
        <sz val="11"/>
        <color rgb="FF000000"/>
        <rFont val="Calibri"/>
        <family val="2"/>
        <charset val="1"/>
      </rPr>
      <t>intcrossing-ped-3</t>
    </r>
  </si>
  <si>
    <r>
      <rPr>
        <sz val="10"/>
        <rFont val="Arial"/>
        <family val="2"/>
      </rPr>
      <t>Severity</t>
    </r>
    <r>
      <rPr>
        <vertAlign val="subscript"/>
        <sz val="11"/>
        <color rgb="FF000000"/>
        <rFont val="Calibri"/>
        <family val="2"/>
        <charset val="1"/>
      </rPr>
      <t>intcrossing-ped-3</t>
    </r>
  </si>
  <si>
    <r>
      <rPr>
        <sz val="10"/>
        <rFont val="Arial"/>
        <family val="2"/>
      </rPr>
      <t>Likelihood</t>
    </r>
    <r>
      <rPr>
        <vertAlign val="subscript"/>
        <sz val="11"/>
        <color rgb="FF000000"/>
        <rFont val="Calibri"/>
        <family val="2"/>
        <charset val="1"/>
      </rPr>
      <t>intcrossing-ped-3</t>
    </r>
  </si>
  <si>
    <t>Minor road leg 1</t>
  </si>
  <si>
    <r>
      <rPr>
        <sz val="10"/>
        <rFont val="Arial"/>
        <family val="2"/>
      </rPr>
      <t>C</t>
    </r>
    <r>
      <rPr>
        <vertAlign val="subscript"/>
        <sz val="11"/>
        <color rgb="FF000000"/>
        <rFont val="Calibri"/>
        <family val="2"/>
        <charset val="1"/>
      </rPr>
      <t>bikei</t>
    </r>
  </si>
  <si>
    <r>
      <rPr>
        <sz val="10"/>
        <rFont val="Arial"/>
        <family val="2"/>
      </rPr>
      <t>N</t>
    </r>
    <r>
      <rPr>
        <vertAlign val="subscript"/>
        <sz val="11"/>
        <color rgb="FF000000"/>
        <rFont val="Calibri"/>
        <family val="2"/>
        <charset val="1"/>
      </rPr>
      <t>intcrossing-ped-2</t>
    </r>
  </si>
  <si>
    <r>
      <rPr>
        <sz val="10"/>
        <rFont val="Arial"/>
        <family val="2"/>
      </rPr>
      <t>FT</t>
    </r>
    <r>
      <rPr>
        <vertAlign val="subscript"/>
        <sz val="11"/>
        <color rgb="FF000000"/>
        <rFont val="Calibri"/>
        <family val="2"/>
        <charset val="1"/>
      </rPr>
      <t>bikei</t>
    </r>
  </si>
  <si>
    <r>
      <rPr>
        <sz val="10"/>
        <rFont val="Arial"/>
        <family val="2"/>
      </rPr>
      <t>PFF</t>
    </r>
    <r>
      <rPr>
        <vertAlign val="subscript"/>
        <sz val="11"/>
        <color rgb="FF000000"/>
        <rFont val="Calibri"/>
        <family val="2"/>
        <charset val="1"/>
      </rPr>
      <t>intcrossing-2</t>
    </r>
  </si>
  <si>
    <r>
      <t>N</t>
    </r>
    <r>
      <rPr>
        <vertAlign val="subscript"/>
        <sz val="11"/>
        <color theme="1"/>
        <rFont val="Calibri"/>
        <family val="2"/>
        <scheme val="minor"/>
      </rPr>
      <t>unadjusted-bikei</t>
    </r>
  </si>
  <si>
    <r>
      <rPr>
        <sz val="10"/>
        <rFont val="Arial"/>
        <family val="2"/>
      </rPr>
      <t>MVTFF</t>
    </r>
    <r>
      <rPr>
        <vertAlign val="subscript"/>
        <sz val="11"/>
        <color rgb="FF000000"/>
        <rFont val="Calibri"/>
        <family val="2"/>
        <charset val="1"/>
      </rPr>
      <t>intrcrossing-ped-2</t>
    </r>
  </si>
  <si>
    <r>
      <rPr>
        <sz val="10"/>
        <rFont val="Arial"/>
        <family val="2"/>
      </rPr>
      <t>MVTSF</t>
    </r>
    <r>
      <rPr>
        <vertAlign val="subscript"/>
        <sz val="11"/>
        <color rgb="FF000000"/>
        <rFont val="Calibri"/>
        <family val="2"/>
        <charset val="1"/>
      </rPr>
      <t>intcrossing-ped-2</t>
    </r>
  </si>
  <si>
    <r>
      <t>N</t>
    </r>
    <r>
      <rPr>
        <vertAlign val="subscript"/>
        <sz val="11"/>
        <color theme="1"/>
        <rFont val="Calibri"/>
        <family val="2"/>
        <scheme val="minor"/>
      </rPr>
      <t>unadjusted-bikei-minor</t>
    </r>
    <r>
      <rPr>
        <sz val="10"/>
        <rFont val="Arial"/>
        <family val="2"/>
      </rPr>
      <t xml:space="preserve"> </t>
    </r>
  </si>
  <si>
    <r>
      <rPr>
        <sz val="10"/>
        <rFont val="Arial"/>
        <family val="2"/>
      </rPr>
      <t>Severity</t>
    </r>
    <r>
      <rPr>
        <vertAlign val="subscript"/>
        <sz val="11"/>
        <color rgb="FF000000"/>
        <rFont val="Calibri"/>
        <family val="2"/>
        <charset val="1"/>
      </rPr>
      <t>intcrossing-ped-2</t>
    </r>
  </si>
  <si>
    <r>
      <rPr>
        <sz val="10"/>
        <rFont val="Arial"/>
        <family val="2"/>
      </rPr>
      <t>Likelihood</t>
    </r>
    <r>
      <rPr>
        <vertAlign val="subscript"/>
        <sz val="11"/>
        <color rgb="FF000000"/>
        <rFont val="Calibri"/>
        <family val="2"/>
        <charset val="1"/>
      </rPr>
      <t>intcrossing-ped-2</t>
    </r>
  </si>
  <si>
    <r>
      <t>BFF</t>
    </r>
    <r>
      <rPr>
        <vertAlign val="subscript"/>
        <sz val="11"/>
        <color rgb="FF000000"/>
        <rFont val="Calibri"/>
        <family val="2"/>
        <charset val="1"/>
      </rPr>
      <t>minor</t>
    </r>
  </si>
  <si>
    <r>
      <t>MVTFF</t>
    </r>
    <r>
      <rPr>
        <vertAlign val="subscript"/>
        <sz val="11"/>
        <color rgb="FF000000"/>
        <rFont val="Calibri"/>
        <family val="2"/>
        <charset val="1"/>
      </rPr>
      <t>bikei-minor</t>
    </r>
  </si>
  <si>
    <r>
      <t>MVTSF</t>
    </r>
    <r>
      <rPr>
        <vertAlign val="subscript"/>
        <sz val="11"/>
        <color rgb="FF000000"/>
        <rFont val="Calibri"/>
        <family val="2"/>
        <charset val="1"/>
      </rPr>
      <t>bikei-minor</t>
    </r>
  </si>
  <si>
    <r>
      <t>Severity</t>
    </r>
    <r>
      <rPr>
        <vertAlign val="subscript"/>
        <sz val="11"/>
        <color rgb="FF000000"/>
        <rFont val="Calibri"/>
        <family val="2"/>
        <charset val="1"/>
      </rPr>
      <t>bikei-minor</t>
    </r>
  </si>
  <si>
    <r>
      <t>Likelihood</t>
    </r>
    <r>
      <rPr>
        <vertAlign val="subscript"/>
        <sz val="11"/>
        <color rgb="FF000000"/>
        <rFont val="Calibri"/>
        <family val="2"/>
        <charset val="1"/>
      </rPr>
      <t>bikei-minor</t>
    </r>
  </si>
  <si>
    <r>
      <t>AF</t>
    </r>
    <r>
      <rPr>
        <vertAlign val="subscript"/>
        <sz val="11"/>
        <color rgb="FF000000"/>
        <rFont val="Calibri"/>
        <family val="2"/>
        <charset val="1"/>
      </rPr>
      <t>LI18-bike</t>
    </r>
    <r>
      <rPr>
        <sz val="10"/>
        <rFont val="Arial"/>
        <family val="2"/>
      </rPr>
      <t xml:space="preserve"> (Street lighting)</t>
    </r>
  </si>
  <si>
    <r>
      <t>AF</t>
    </r>
    <r>
      <rPr>
        <vertAlign val="subscript"/>
        <sz val="11"/>
        <color rgb="FF000000"/>
        <rFont val="Calibri"/>
        <family val="2"/>
        <charset val="1"/>
      </rPr>
      <t>LI5-bike</t>
    </r>
    <r>
      <rPr>
        <sz val="10"/>
        <rFont val="Arial"/>
        <family val="2"/>
      </rPr>
      <t xml:space="preserve"> (Intersection channelization)</t>
    </r>
  </si>
  <si>
    <r>
      <t>AF</t>
    </r>
    <r>
      <rPr>
        <vertAlign val="subscript"/>
        <sz val="11"/>
        <color rgb="FF000000"/>
        <rFont val="Calibri"/>
        <family val="2"/>
        <charset val="1"/>
      </rPr>
      <t>LI4-bike</t>
    </r>
    <r>
      <rPr>
        <sz val="10"/>
        <rFont val="Arial"/>
        <family val="2"/>
      </rPr>
      <t xml:space="preserve"> (Advance visibility of an intersection)</t>
    </r>
  </si>
  <si>
    <r>
      <t>AF</t>
    </r>
    <r>
      <rPr>
        <vertAlign val="subscript"/>
        <sz val="11"/>
        <color rgb="FF000000"/>
        <rFont val="Calibri"/>
        <family val="2"/>
        <charset val="1"/>
      </rPr>
      <t>SI3-bike</t>
    </r>
    <r>
      <rPr>
        <sz val="10"/>
        <rFont val="Arial"/>
        <family val="2"/>
      </rPr>
      <t xml:space="preserve"> (Intersection type)</t>
    </r>
  </si>
  <si>
    <r>
      <t>AF</t>
    </r>
    <r>
      <rPr>
        <vertAlign val="subscript"/>
        <sz val="11"/>
        <color rgb="FF000000"/>
        <rFont val="Calibri"/>
        <family val="2"/>
        <charset val="1"/>
      </rPr>
      <t>LI3-bike</t>
    </r>
    <r>
      <rPr>
        <sz val="10"/>
        <rFont val="Arial"/>
        <family val="2"/>
      </rPr>
      <t xml:space="preserve"> (Intersection type)</t>
    </r>
  </si>
  <si>
    <r>
      <t>AF</t>
    </r>
    <r>
      <rPr>
        <vertAlign val="subscript"/>
        <sz val="11"/>
        <color rgb="FF000000"/>
        <rFont val="Calibri"/>
        <family val="2"/>
        <charset val="1"/>
      </rPr>
      <t>LI2-bike</t>
    </r>
    <r>
      <rPr>
        <sz val="10"/>
        <rFont val="Arial"/>
        <family val="2"/>
      </rPr>
      <t xml:space="preserve"> (Bicycle path and pedestrian crossing type)</t>
    </r>
  </si>
  <si>
    <t>Major road leg 2</t>
  </si>
  <si>
    <r>
      <t>AF</t>
    </r>
    <r>
      <rPr>
        <vertAlign val="subscript"/>
        <sz val="11"/>
        <color rgb="FF000000"/>
        <rFont val="Calibri"/>
        <family val="2"/>
        <charset val="1"/>
      </rPr>
      <t>LI1-bike</t>
    </r>
    <r>
      <rPr>
        <sz val="10"/>
        <rFont val="Arial"/>
        <family val="2"/>
      </rPr>
      <t xml:space="preserve"> (Bicycle facilities or paved shoulder provision)</t>
    </r>
  </si>
  <si>
    <r>
      <rPr>
        <sz val="10"/>
        <rFont val="Arial"/>
        <family val="2"/>
      </rPr>
      <t>N</t>
    </r>
    <r>
      <rPr>
        <vertAlign val="subscript"/>
        <sz val="11"/>
        <color rgb="FF000000"/>
        <rFont val="Calibri"/>
        <family val="2"/>
        <charset val="1"/>
      </rPr>
      <t>intcrossing-ped-1</t>
    </r>
  </si>
  <si>
    <r>
      <rPr>
        <sz val="10"/>
        <rFont val="Arial"/>
        <family val="2"/>
      </rPr>
      <t>PFF</t>
    </r>
    <r>
      <rPr>
        <vertAlign val="subscript"/>
        <sz val="11"/>
        <color rgb="FF000000"/>
        <rFont val="Calibri"/>
        <family val="2"/>
        <charset val="1"/>
      </rPr>
      <t>intcrossing-1</t>
    </r>
  </si>
  <si>
    <r>
      <t>N</t>
    </r>
    <r>
      <rPr>
        <vertAlign val="subscript"/>
        <sz val="11"/>
        <color theme="1"/>
        <rFont val="Calibri"/>
        <family val="2"/>
        <scheme val="minor"/>
      </rPr>
      <t>unadjusted-bikei-major</t>
    </r>
  </si>
  <si>
    <r>
      <rPr>
        <sz val="10"/>
        <rFont val="Arial"/>
        <family val="2"/>
      </rPr>
      <t>MVTFF</t>
    </r>
    <r>
      <rPr>
        <vertAlign val="subscript"/>
        <sz val="11"/>
        <color rgb="FF000000"/>
        <rFont val="Calibri"/>
        <family val="2"/>
        <charset val="1"/>
      </rPr>
      <t>intrcrossing-ped-1</t>
    </r>
  </si>
  <si>
    <r>
      <rPr>
        <sz val="10"/>
        <rFont val="Arial"/>
        <family val="2"/>
      </rPr>
      <t>MVTSF</t>
    </r>
    <r>
      <rPr>
        <vertAlign val="subscript"/>
        <sz val="11"/>
        <color rgb="FF000000"/>
        <rFont val="Calibri"/>
        <family val="2"/>
        <charset val="1"/>
      </rPr>
      <t>intcrossing-ped-1</t>
    </r>
  </si>
  <si>
    <r>
      <t>BFF</t>
    </r>
    <r>
      <rPr>
        <vertAlign val="subscript"/>
        <sz val="11"/>
        <color rgb="FF000000"/>
        <rFont val="Calibri"/>
        <family val="2"/>
        <charset val="1"/>
      </rPr>
      <t>major</t>
    </r>
  </si>
  <si>
    <r>
      <rPr>
        <sz val="10"/>
        <rFont val="Arial"/>
        <family val="2"/>
      </rPr>
      <t>Severity</t>
    </r>
    <r>
      <rPr>
        <vertAlign val="subscript"/>
        <sz val="11"/>
        <color rgb="FF000000"/>
        <rFont val="Calibri"/>
        <family val="2"/>
        <charset val="1"/>
      </rPr>
      <t>intcrossing-ped-1</t>
    </r>
  </si>
  <si>
    <r>
      <t>MVTFF</t>
    </r>
    <r>
      <rPr>
        <vertAlign val="subscript"/>
        <sz val="11"/>
        <color rgb="FF000000"/>
        <rFont val="Calibri"/>
        <family val="2"/>
        <charset val="1"/>
      </rPr>
      <t>bikei-major</t>
    </r>
  </si>
  <si>
    <r>
      <rPr>
        <sz val="10"/>
        <rFont val="Arial"/>
        <family val="2"/>
      </rPr>
      <t>Likelihood</t>
    </r>
    <r>
      <rPr>
        <vertAlign val="subscript"/>
        <sz val="11"/>
        <color rgb="FF000000"/>
        <rFont val="Calibri"/>
        <family val="2"/>
        <charset val="1"/>
      </rPr>
      <t>intcrossing-ped-1</t>
    </r>
  </si>
  <si>
    <r>
      <t>MVTSF</t>
    </r>
    <r>
      <rPr>
        <vertAlign val="subscript"/>
        <sz val="11"/>
        <color rgb="FF000000"/>
        <rFont val="Calibri"/>
        <family val="2"/>
        <charset val="1"/>
      </rPr>
      <t>bikei-major</t>
    </r>
  </si>
  <si>
    <r>
      <t>Severity</t>
    </r>
    <r>
      <rPr>
        <vertAlign val="subscript"/>
        <sz val="11"/>
        <color rgb="FF000000"/>
        <rFont val="Calibri"/>
        <family val="2"/>
        <charset val="1"/>
      </rPr>
      <t>bikei-major</t>
    </r>
  </si>
  <si>
    <r>
      <t>Likelihood</t>
    </r>
    <r>
      <rPr>
        <vertAlign val="subscript"/>
        <sz val="11"/>
        <color rgb="FF000000"/>
        <rFont val="Calibri"/>
        <family val="2"/>
        <charset val="1"/>
      </rPr>
      <t>bikei-major</t>
    </r>
  </si>
  <si>
    <t>4-leg signalized with exclusive left-turn lane</t>
  </si>
  <si>
    <t>4-leg unsignalized with no exclusive left-turn lane</t>
  </si>
  <si>
    <t>4-leg unsignalized with exclusive left-turn lane</t>
  </si>
  <si>
    <t>3-leg signalized with no exclusive left-turn lane</t>
  </si>
  <si>
    <t>3SG</t>
  </si>
  <si>
    <t>3-leg signalized with exclusive left-turn lane</t>
  </si>
  <si>
    <t>3-leg unsignalized with no exclusive left-turn lane</t>
  </si>
  <si>
    <t>3-leg unsignalized with exclusive left-turn lane</t>
  </si>
  <si>
    <t>Intersection Type</t>
  </si>
  <si>
    <t>Major road leg 1</t>
  </si>
  <si>
    <t>FT(pedrs)</t>
  </si>
  <si>
    <t>Facility Type Factors for Pedestrian Crashes</t>
  </si>
  <si>
    <t>more than 900</t>
  </si>
  <si>
    <t>401 to 500</t>
  </si>
  <si>
    <t>301 to 400</t>
  </si>
  <si>
    <t>51 to 100</t>
  </si>
  <si>
    <t>1 to 5</t>
  </si>
  <si>
    <t>PFF</t>
  </si>
  <si>
    <t>Pedestrian peak-hour flow for a specific side of road or crossing (p/h)</t>
  </si>
  <si>
    <t>Table 11-26. Pedestrian Flow Factors</t>
  </si>
  <si>
    <t>90 or more</t>
  </si>
  <si>
    <t>MVTSF(ped)</t>
  </si>
  <si>
    <t>Mean speed of motor-vehicle traffic on a specific roadway segment (mph)</t>
  </si>
  <si>
    <t>Table 11-25. Motor-Vehicle Traffic Speed Factor for Pedestrian Movements</t>
  </si>
  <si>
    <t>C-injury</t>
  </si>
  <si>
    <t>B-injury</t>
  </si>
  <si>
    <t>A-injury</t>
  </si>
  <si>
    <t>Fatal</t>
  </si>
  <si>
    <t>Proportion of pedestrian Crashes by Most Severe Pedestrian Injury</t>
  </si>
  <si>
    <t>Table 11-45. Proportion of Pedestrian Crashes on Rural Multilane Roadway Segments by Injury Severity Level</t>
  </si>
  <si>
    <t>Central hatching or other flush separation (&gt; 3 ft)</t>
  </si>
  <si>
    <t>Centerline rumble strip (or flexipost)</t>
  </si>
  <si>
    <t>Continuous central turning lane</t>
  </si>
  <si>
    <t>Physical median width &gt;= 3 ft</t>
  </si>
  <si>
    <t>Physical median with traffic barrier</t>
  </si>
  <si>
    <t>AF(LM15-ped)</t>
  </si>
  <si>
    <t>Table 11-42. Crash Likelihood Adjustment Factors for Median Type</t>
  </si>
  <si>
    <t>Eight Lanes</t>
  </si>
  <si>
    <t>Seven Lanes</t>
  </si>
  <si>
    <t>Six Lanes</t>
  </si>
  <si>
    <t>Five Lanes</t>
  </si>
  <si>
    <t>Three Lanes</t>
  </si>
  <si>
    <t>One Lane</t>
  </si>
  <si>
    <t>AF(LA14-ped), AF(LM14-ped)</t>
  </si>
  <si>
    <t>Number of traffic lanes</t>
  </si>
  <si>
    <t>Table 11-41. Crash Likelihood Adjustment Factors for Number of Traffic Lanes to be Crossed</t>
  </si>
  <si>
    <t>AF(LA13-ped)</t>
  </si>
  <si>
    <t>Table 11-40.  Crash Likelihood Adjustment Factors for Street Lighting</t>
  </si>
  <si>
    <t>Two sides</t>
  </si>
  <si>
    <t>One side</t>
  </si>
  <si>
    <t>AF(LM12-ped)</t>
  </si>
  <si>
    <t>Vehicle parking (crossing)</t>
  </si>
  <si>
    <t>Table 11-39. Crash Likeliood Adjustment Factors for Vehicle Parking for Pedestrian Movements Crossing the Road</t>
  </si>
  <si>
    <t>Two sides (sidewalk present)</t>
  </si>
  <si>
    <t>One side (sidewalk present)</t>
  </si>
  <si>
    <t>AF(LA12-ped)</t>
  </si>
  <si>
    <t>Table 11-38. Crash Likeliood Adjustment Factors for Vehicle Parking for Pedestrian Movements Along the Road</t>
  </si>
  <si>
    <t>AF(LA11-ped)</t>
  </si>
  <si>
    <t>Table 11-37. Crash Likelihood Adjustment Factors for Shoulder Rumble Strips</t>
  </si>
  <si>
    <t>Loss of reflectivity (e.g., weathered or faded) or absent</t>
  </si>
  <si>
    <t>AF(LA10-ped)</t>
  </si>
  <si>
    <t>Table 11-36. Crash Likelihood Adjustment Factors for Presence and Condition ofDelineation</t>
  </si>
  <si>
    <t>&gt;= 10%</t>
  </si>
  <si>
    <t>7.5% to &lt; 10%</t>
  </si>
  <si>
    <t>AF(LA9-ped)</t>
  </si>
  <si>
    <t>Table 11-35. Crash Likelihood Adjustment Factors for Percent Grade</t>
  </si>
  <si>
    <t>AF(LA8-ped)</t>
  </si>
  <si>
    <t>Advance visibility of a curve</t>
  </si>
  <si>
    <t>Table 11-34. Crash Likelihood Adjustment Factors for Advance Visibility of a Curve</t>
  </si>
  <si>
    <t>Very sharp curve (advisory speed &lt; 25 mph or curve radius &lt; 650 ft)</t>
  </si>
  <si>
    <t>AF(LA7-ped)</t>
  </si>
  <si>
    <t>Table 11-33. Crash Likelihood Adjustment Factors for Horizontal Curvature</t>
  </si>
  <si>
    <t>Narrow (&lt; 9 ft)</t>
  </si>
  <si>
    <t>Medium (&gt;= 9 to &lt; 10.6 ft)</t>
  </si>
  <si>
    <t>AF(LA6-ped)</t>
  </si>
  <si>
    <t>Table 11-32. Crash Likelihood Adjustment Factors for Lane Width</t>
  </si>
  <si>
    <t>At pedestrian crossing</t>
  </si>
  <si>
    <t>Full length of roadway segment</t>
  </si>
  <si>
    <t>AF(LM5-ped)</t>
  </si>
  <si>
    <t>Table 11-31. Crash Likelihood Adjustment Factors for Pedestrian Fencing Categories</t>
  </si>
  <si>
    <t>AF(LM4-ped)</t>
  </si>
  <si>
    <t>Table 11-30. Crash Likelihood Adjustment Factors for Advance Visibility of a Pedestrian Crossing</t>
  </si>
  <si>
    <t>Unsignalized marked crossing with refuge and pedestrian hybrid beacon</t>
  </si>
  <si>
    <t>Refuge only</t>
  </si>
  <si>
    <t>Unsignalized marked crossing with refuge</t>
  </si>
  <si>
    <t>Signalized without refuge</t>
  </si>
  <si>
    <t>Signalized with refuge</t>
  </si>
  <si>
    <t>Grade separated facility</t>
  </si>
  <si>
    <t>Grade separated facility - pedestrian fencing present</t>
  </si>
  <si>
    <t>School locations without a crossing guard</t>
  </si>
  <si>
    <t>School locations with a crossing guard</t>
  </si>
  <si>
    <t>Pedestrian crossing facility type at midblock locations</t>
  </si>
  <si>
    <t>AF(SM3-ped)</t>
  </si>
  <si>
    <t>AF(LM3-ped)</t>
  </si>
  <si>
    <t>Table 11-29. Crash Likelihood Adjustment Factors for Pedestrian Crossing Facility Types / Table 11-44. Crash Severity Adjustment Factors for Pedestrian Crossing Facility Type</t>
  </si>
  <si>
    <t>School zone with no school zone warning present</t>
  </si>
  <si>
    <t>School zone static signs or road markings present</t>
  </si>
  <si>
    <t>AF(LM2-ped)</t>
  </si>
  <si>
    <t>AF(LA2-ped)</t>
  </si>
  <si>
    <t>Table 11-28. Crash Likelihood Adjustment Factors for School Zone Warning</t>
  </si>
  <si>
    <t>Informal path width &lt;= 3 ft separation from road with no barrier</t>
  </si>
  <si>
    <t>Informal path width &gt; 3 ft separation from road with no barrier</t>
  </si>
  <si>
    <t>Paved shoulder present with width &lt; 3 ft</t>
  </si>
  <si>
    <t>Paved shoulder present with width &gt;= 7.9 ft</t>
  </si>
  <si>
    <t>Sidewalk adjacent to the traveled way (within 3 ft)</t>
  </si>
  <si>
    <t>Sidewalk with &gt; 3 ft separation from traveled way with no barrier present</t>
  </si>
  <si>
    <t>Sidewalk with &gt; 10 ft separation from traveled way with no barrier present</t>
  </si>
  <si>
    <t>Physical barrier between sidewalk and traveled way</t>
  </si>
  <si>
    <t>AF(SA1-ped)</t>
  </si>
  <si>
    <t>AF(LA1-ped)</t>
  </si>
  <si>
    <t>Table 11-27. Crash Likelihood Adjustment Factors for Sidewalk and Paved Shoulder Provision / Table 11-43. Crash Severity Adjustment Factors for Sidewalk and Paved Shoulder Provision</t>
  </si>
  <si>
    <t>FT(bikes)</t>
  </si>
  <si>
    <t>BFF(along)</t>
  </si>
  <si>
    <t>Bicycle peak-hour flow along the road (b/h)</t>
  </si>
  <si>
    <t>Table 11-50. Bicycle Flow Factors</t>
  </si>
  <si>
    <t>MVTSF(along-bike)</t>
  </si>
  <si>
    <t>Table 11-48. Motor-Vehicle Traffic Speed Factor for Bicycle Movements Along the Road or Through an Intersection</t>
  </si>
  <si>
    <t>Proportion of bicycle Crashes by Most Severe Pedestrian Injury</t>
  </si>
  <si>
    <t>AF(LA18-bike)</t>
  </si>
  <si>
    <t>Table 11-59. Crash Likelihood Adjustment Factors for Street Lighting</t>
  </si>
  <si>
    <t>Two sides (bicycle facility present)</t>
  </si>
  <si>
    <t>One side (bicycle facility present)</t>
  </si>
  <si>
    <t>AF(LA16-bike)</t>
  </si>
  <si>
    <t>Table 11-58. Crash Likelihood Adjustment Factors for Vehicle Parking for Bicycle Movements Along the Road</t>
  </si>
  <si>
    <t>AF(LA15-bike)</t>
  </si>
  <si>
    <t>Table 11-57. Crash Likelihood Adjustment Factors for Shoulder Rumble Strips</t>
  </si>
  <si>
    <t>AF(LA14-bike)</t>
  </si>
  <si>
    <t>Presence and Condition of Delineation</t>
  </si>
  <si>
    <t>Table 11-56. Crash Likelihood Adjustment Factors for Presence and Condition of Delineation</t>
  </si>
  <si>
    <t>AF(LA9-bike)</t>
  </si>
  <si>
    <t>Table 11-55. Crash Likelihood Adjustment Factors for Percent Grade</t>
  </si>
  <si>
    <t>AF(LA8-bike)</t>
  </si>
  <si>
    <t>Advance visibility of a Curve</t>
  </si>
  <si>
    <t>Table 11-54. Crash Likelihood Adjustment Factors for Advance Visibility of a Curve</t>
  </si>
  <si>
    <t>AF(LA7-bike)</t>
  </si>
  <si>
    <t>Table 11-53. Crash Likelihood Adjustment Factors for Horizontal Curvature</t>
  </si>
  <si>
    <t>AF(LA6-bike)</t>
  </si>
  <si>
    <t>Table 11-52. Crash Likelihood Adjustment Factors for Lane Width</t>
  </si>
  <si>
    <t>Signed or marked shared roadway</t>
  </si>
  <si>
    <t>Extra wide outside lane &gt;= 14 ft</t>
  </si>
  <si>
    <t>Separated bicycle path without barrier</t>
  </si>
  <si>
    <t>Separated bicycle path with barrier</t>
  </si>
  <si>
    <t>AF(SA1-bike)</t>
  </si>
  <si>
    <t>AF(LA1-bike)</t>
  </si>
  <si>
    <t>Table 11-51. Crash Likelihood Adjustment Factors for Bicycle Facilities and Paved Shoulder Provision for Bicycle Movements Along the Road / Table 11-60. Crash Severity Adjustment Factors for Bicycle Facilities and Paved Shoulder Provision for Bicycle Movements Along the Road</t>
  </si>
  <si>
    <t>Pedestrian peak-hour flow for a specific leg (p/h)</t>
  </si>
  <si>
    <t>4-leg</t>
  </si>
  <si>
    <t>3-leg</t>
  </si>
  <si>
    <t>Table 11-47. Proportion of Pedestrian Crashes at Intersections on Rural Multilane Roadway Segments by Injury Severity Type</t>
  </si>
  <si>
    <t>FT(pedi)</t>
  </si>
  <si>
    <t>AF(LI16-ped)</t>
  </si>
  <si>
    <t>Table 11-46. Pedestrian Crash Likelihood Adjustment Factors for Intersection Type</t>
  </si>
  <si>
    <t>AF(LI15-ped)</t>
  </si>
  <si>
    <t>AF(LI14-ped)</t>
  </si>
  <si>
    <t>AF(LI13-ped)</t>
  </si>
  <si>
    <t>AF(LI12-ped)</t>
  </si>
  <si>
    <t>AF(LI5-ped)</t>
  </si>
  <si>
    <t>AF(LI4-ped)</t>
  </si>
  <si>
    <t>AF(SI3-ped)</t>
  </si>
  <si>
    <t>AF(LI3-ped)</t>
  </si>
  <si>
    <t>AF(LI2-ped)</t>
  </si>
  <si>
    <t>BFF(intersection)</t>
  </si>
  <si>
    <t>MVTSF(intersection-bike)</t>
  </si>
  <si>
    <t>4-Legs</t>
  </si>
  <si>
    <t>3-Legs</t>
  </si>
  <si>
    <t>Table 11-69. Proportion of Bicycle Crashes at Intersections on Rural Multilane Roadway Segments by Injury Severity Level</t>
  </si>
  <si>
    <t>AF(LI18-bike)</t>
  </si>
  <si>
    <t>AF(LI5-bike)</t>
  </si>
  <si>
    <t>Table 11-67. Crash Likelihood Adjustment Factors for Intersection Channelization</t>
  </si>
  <si>
    <t>Not applicable</t>
  </si>
  <si>
    <t>AF(LI4-bike)</t>
  </si>
  <si>
    <t>Advance visibility of intersection</t>
  </si>
  <si>
    <t>Table 11-66. Crash Likelihood Adjustment Factors for Visibility of an Intersection</t>
  </si>
  <si>
    <t>FT(bikei)</t>
  </si>
  <si>
    <t>AF(SI3-bike)</t>
  </si>
  <si>
    <t>AF(LI3-bike)</t>
  </si>
  <si>
    <t>Table 11-65. Bicycle Crash Likelihood Adjustment Factors for Intersection Type / Table 11-68. Bicycle Crash Severity Adjustment Factors for Intersection Type</t>
  </si>
  <si>
    <t>Bicycle path and refuge only</t>
  </si>
  <si>
    <t>Bicycle path and unsignalized marked crossing without refuge</t>
  </si>
  <si>
    <t>Bicycle path and unsignalized marked crossing with refuge</t>
  </si>
  <si>
    <t>Bicycle path and signalized without refuge</t>
  </si>
  <si>
    <t>Bicycle path and signalized with refuge</t>
  </si>
  <si>
    <t>Bicycle path and grade separated facility</t>
  </si>
  <si>
    <t>AF(LI2-bike)</t>
  </si>
  <si>
    <t>Bicycle path and pedestrian crossing facility type</t>
  </si>
  <si>
    <t>Table 11-64. Crash Likelihood Adjustment Factors for Bicycle Path and Pedestrian Crossing Facility Types for Bicycle Movements Through Intersections</t>
  </si>
  <si>
    <t>AF(LI1-bike)</t>
  </si>
  <si>
    <t>Table 11-63. Crash Likelihood Adjustment Factors for Bicycle Facilities and Paved Shoulder Provision for Bicycle Movements Through Intersections</t>
  </si>
  <si>
    <r>
      <t>Predicted N</t>
    </r>
    <r>
      <rPr>
        <b/>
        <vertAlign val="subscript"/>
        <sz val="10"/>
        <rFont val="Arial"/>
        <family val="2"/>
      </rPr>
      <t>pedi</t>
    </r>
  </si>
  <si>
    <r>
      <t>Predicted N</t>
    </r>
    <r>
      <rPr>
        <b/>
        <vertAlign val="subscript"/>
        <sz val="10"/>
        <rFont val="Arial"/>
        <family val="2"/>
      </rPr>
      <t>bikei</t>
    </r>
  </si>
  <si>
    <r>
      <t>Predicted N</t>
    </r>
    <r>
      <rPr>
        <b/>
        <vertAlign val="subscript"/>
        <sz val="10"/>
        <rFont val="Arial"/>
        <family val="2"/>
      </rPr>
      <t>biker</t>
    </r>
  </si>
  <si>
    <r>
      <t>Predicted N</t>
    </r>
    <r>
      <rPr>
        <b/>
        <vertAlign val="subscript"/>
        <sz val="10"/>
        <rFont val="Arial"/>
        <family val="2"/>
      </rPr>
      <t>pedr</t>
    </r>
  </si>
  <si>
    <t>From Ped&amp;Bike (Segment Results) Worksheet</t>
  </si>
  <si>
    <t>Pedestrian and Bicycle Collisions from Segment Models</t>
  </si>
  <si>
    <t>(7) from Worksheet 1C (a) or (b) +                                                          (Ped &amp; Bike Collisions from Segment Models)</t>
  </si>
  <si>
    <r>
      <t xml:space="preserve">Worksheet 1C (b) -- Roadway Segment Crashes for Rural Multilane Undivided Roadway Segments </t>
    </r>
    <r>
      <rPr>
        <b/>
        <sz val="10"/>
        <color rgb="FFFF0000"/>
        <rFont val="Arial"/>
        <family val="2"/>
      </rPr>
      <t>(Excluding Ped &amp; Bike Collisions)</t>
    </r>
  </si>
  <si>
    <r>
      <t xml:space="preserve">Worksheet 1D (b) -- Crashes by Severity Level and Collision Type for Rural Multilane Undivided Roadway Segments </t>
    </r>
    <r>
      <rPr>
        <b/>
        <sz val="10"/>
        <color rgb="FFFF0000"/>
        <rFont val="Arial"/>
        <family val="2"/>
      </rPr>
      <t>(Excluding Ped &amp; Bike Collisions)</t>
    </r>
  </si>
  <si>
    <r>
      <t xml:space="preserve">Worksheet 1D (a) -- Crashes by Severity Level and Collision Type for Rural Multilane Divided Roadway Segments </t>
    </r>
    <r>
      <rPr>
        <b/>
        <sz val="10"/>
        <color rgb="FFFF0000"/>
        <rFont val="Arial"/>
        <family val="2"/>
      </rPr>
      <t>(Excluding Ped &amp; Bike Collisions)</t>
    </r>
  </si>
  <si>
    <r>
      <t xml:space="preserve">Worksheet 1C (a) -- Roadway Segment Crashes for Rural Multilane Divided Roadway Segments </t>
    </r>
    <r>
      <rPr>
        <b/>
        <sz val="10"/>
        <color rgb="FFFF0000"/>
        <rFont val="Arial"/>
        <family val="2"/>
      </rPr>
      <t>(Excluding Ped &amp; Bike Collisions)</t>
    </r>
  </si>
  <si>
    <r>
      <t xml:space="preserve">Worksheet 2C -- Intersection Crashes for Rural Multilane Highway Intersections </t>
    </r>
    <r>
      <rPr>
        <b/>
        <sz val="10"/>
        <color rgb="FFFF0000"/>
        <rFont val="Arial"/>
        <family val="2"/>
      </rPr>
      <t>(Excluding Ped &amp; Bike Collisions)</t>
    </r>
  </si>
  <si>
    <r>
      <t xml:space="preserve">Worksheet 2D -- Crashes by Severity Level and Collision Type for Rural Multilane Highway Intersections </t>
    </r>
    <r>
      <rPr>
        <b/>
        <sz val="10"/>
        <color rgb="FFFF0000"/>
        <rFont val="Arial"/>
        <family val="2"/>
      </rPr>
      <t>(Excluding Ped &amp; Bike Collisions)</t>
    </r>
  </si>
  <si>
    <t>Pedestrian and Bicycle Collisions from Intersection Models</t>
  </si>
  <si>
    <t>From Ped&amp;Bike (Intersection Results) Worksheet</t>
  </si>
  <si>
    <t>(7) from Worksheet 2C  +                                                                    (Ped &amp; Bike Collisions from Intersection Models)</t>
  </si>
  <si>
    <r>
      <t xml:space="preserve">Table 11-4: Distribution of Crashes by Collision Type and Crash Severity Level for Undivided Roadway Segments </t>
    </r>
    <r>
      <rPr>
        <b/>
        <sz val="10"/>
        <color rgb="FFFF0000"/>
        <rFont val="Arial"/>
        <family val="2"/>
      </rPr>
      <t>(Excluding Ped &amp; Bike Collisions)</t>
    </r>
  </si>
  <si>
    <r>
      <t xml:space="preserve">Table 11-6: Distribution of Crashes by Collision Type and Crash Severity Level for Divided Roadway Segments </t>
    </r>
    <r>
      <rPr>
        <b/>
        <sz val="10"/>
        <color rgb="FFFF0000"/>
        <rFont val="Arial"/>
        <family val="2"/>
      </rPr>
      <t>(Excluding Ped &amp; Bike Collisions)</t>
    </r>
  </si>
  <si>
    <r>
      <t xml:space="preserve">Table 11-15: Night-time Crash Proportions for Unlighted Roadway Segments </t>
    </r>
    <r>
      <rPr>
        <b/>
        <sz val="10"/>
        <color rgb="FFFF0000"/>
        <rFont val="Arial"/>
        <family val="2"/>
      </rPr>
      <t>(Excluding Ped &amp; Bike Collisions)</t>
    </r>
  </si>
  <si>
    <r>
      <t xml:space="preserve">Table 11-19: Night-time Crash Proportions for Unlighted Roadway Segments </t>
    </r>
    <r>
      <rPr>
        <b/>
        <sz val="10"/>
        <color rgb="FFFF0000"/>
        <rFont val="Arial"/>
        <family val="2"/>
      </rPr>
      <t>(Excluding Ped &amp; Bike Collisions)</t>
    </r>
  </si>
  <si>
    <r>
      <t xml:space="preserve">Proportion of crashes by collision type and crash severity level </t>
    </r>
    <r>
      <rPr>
        <b/>
        <sz val="10"/>
        <color rgb="FFFF0000"/>
        <rFont val="Arial"/>
        <family val="2"/>
      </rPr>
      <t>(Excluding Ped &amp; Bike Collisions)</t>
    </r>
  </si>
  <si>
    <r>
      <t xml:space="preserve">HSM-Provided Values </t>
    </r>
    <r>
      <rPr>
        <b/>
        <sz val="10"/>
        <color rgb="FFFF0000"/>
        <rFont val="Arial"/>
        <family val="2"/>
      </rPr>
      <t>(Excluding Ped &amp; Bike Collisions)</t>
    </r>
  </si>
  <si>
    <r>
      <t xml:space="preserve">Locally-Derived Values </t>
    </r>
    <r>
      <rPr>
        <b/>
        <sz val="10"/>
        <color rgb="FFFF0000"/>
        <rFont val="Arial"/>
        <family val="2"/>
      </rPr>
      <t>(Excluding Ped &amp; Bike Collisions)</t>
    </r>
  </si>
  <si>
    <r>
      <t>Expected average crash frequency,               N</t>
    </r>
    <r>
      <rPr>
        <b/>
        <vertAlign val="subscript"/>
        <sz val="10"/>
        <rFont val="Arial"/>
        <family val="2"/>
      </rPr>
      <t>expected</t>
    </r>
    <r>
      <rPr>
        <b/>
        <sz val="10"/>
        <rFont val="Arial"/>
        <family val="2"/>
      </rPr>
      <t xml:space="preserve">             (Including Ped &amp; Bike Collisions)</t>
    </r>
  </si>
  <si>
    <r>
      <t xml:space="preserve"> N</t>
    </r>
    <r>
      <rPr>
        <vertAlign val="subscript"/>
        <sz val="10"/>
        <rFont val="Arial"/>
        <family val="2"/>
      </rPr>
      <t xml:space="preserve"> predicted    </t>
    </r>
    <r>
      <rPr>
        <sz val="10"/>
        <rFont val="Arial"/>
        <family val="2"/>
      </rPr>
      <t xml:space="preserve">    (FI)</t>
    </r>
  </si>
  <si>
    <r>
      <t xml:space="preserve">Analysis for rural divided multilane segments that includes AADT specific Table 11-16. The associated HSM worksheets are Worksheets 1A, 1B(a), 1C(a), 1D(a), and 1E. </t>
    </r>
    <r>
      <rPr>
        <sz val="10"/>
        <color rgb="FFFF0000"/>
        <rFont val="Arial"/>
        <family val="2"/>
      </rPr>
      <t>Updated to include estimates of pedestrian and bicycle crashes.</t>
    </r>
  </si>
  <si>
    <r>
      <t xml:space="preserve">Analysis for rural undivided multilane segments that includes AADT specific Tables 11-11 and 11-12. The associated HSM worksheets are Worksheets 1A, 1B(b), 1C(b), 1D(b), and 1E. </t>
    </r>
    <r>
      <rPr>
        <sz val="10"/>
        <color rgb="FFFF0000"/>
        <rFont val="Arial"/>
        <family val="2"/>
      </rPr>
      <t>Updated to include estimates of pedestrian and bicycle crashes.</t>
    </r>
  </si>
  <si>
    <r>
      <t>Analysis for rural multilane intersections that includes Tables 11-9 and 11-24. The associated HSM worksheets are Worksheets 2A, 2B, 2C, 2D, and 2E.</t>
    </r>
    <r>
      <rPr>
        <sz val="10"/>
        <color rgb="FFFF0000"/>
        <rFont val="Arial"/>
        <family val="2"/>
      </rPr>
      <t xml:space="preserve"> Updated to include estimates of pedestrian and bicycle crashes.</t>
    </r>
  </si>
  <si>
    <t>Ped&amp;Bike (Segments)</t>
  </si>
  <si>
    <t>Analysis of pedestrian and bicycle collisions on segments of rural multilane highways that uses lookup tables from exhibits included in the worksheet "Ped&amp;Bike (Segment Results)". Lookup tables for the calculations are provided in "Reference Tables (Ped Segment)" and "Reference Tables (Bike Segment)" worksheets. This analysis procedure was developed in NCHRP 17-84.</t>
  </si>
  <si>
    <t>Ped&amp;Bike (Intersections)</t>
  </si>
  <si>
    <t>Analysis of pedestrian and bicycle collisions for intersectons on rural multilane highways that uses lookup tables from exhibits included in the worksheet "Ped&amp;Bike (Intersection Results)". Lookup tables for the calculations are provided in "Reference Tables (Ped Intersct)" and "Reference Tables (Bike Intersct)" worksheets. This analysis procedure was developed in NCHRP 17-84.</t>
  </si>
  <si>
    <t>Ped&amp;Bike (Segment Results)</t>
  </si>
  <si>
    <t>Summary of calculations for pedestrian and bicycle crashes on segments based on user input from "Ped&amp;Bike (Segment)" worksheet. Lookup tables for the calculations are provided in "Reference Tables (Ped Segment)" and "Reference Tables (Bike Segment)" worksheets. This analysis procedure was developed in NCHRP 17-84.</t>
  </si>
  <si>
    <t>Ped&amp;Bike (Intersection Results)</t>
  </si>
  <si>
    <t>Summary of calculations for pedestrian and bicycle crashes at intersections based on user input from "Ped&amp;Bike (Intersections)" worksheet. Lookup tables for the calculations are provided in "Reference Tables (Ped Intersct)" and "Reference Tables (Bike Intersct)" worksheets. This analysis procedure was developed in NCHRP 17-84.</t>
  </si>
  <si>
    <t>Reference Tables (Ped Segment)</t>
  </si>
  <si>
    <t>Includes reference tables used for analysis of pedestrian crashes on roadway segments. The tables reference tables from the NCHRP 17-84 Final Report.</t>
  </si>
  <si>
    <t>Reference Tables (Bike Segment)</t>
  </si>
  <si>
    <t>Includes reference tables used for analysis of bicycle crashes on roadway segments. The tables reference tables from the NCHRP 17-84 Final Report.</t>
  </si>
  <si>
    <t>Reference Tables (Ped Intersct)</t>
  </si>
  <si>
    <t>Includes reference tables used for analysis of pedestrian crashes at intersections. The tables reference tables from the NCHRP 17-84 Final Report.</t>
  </si>
  <si>
    <t>Reference Tables (Bike Intersct)</t>
  </si>
  <si>
    <t>Includes reference tables used for analysis of bicycle crashes at intersections. The tables reference tables from the NCHRP 17-84 Final Report.</t>
  </si>
  <si>
    <t>Updated calculations to include analysis of pedestrian and bicycle crashes based on research from NCHRP 17-84.</t>
  </si>
  <si>
    <t>Email: d-torbic@tti.tamu.edu</t>
  </si>
  <si>
    <r>
      <t xml:space="preserve">N </t>
    </r>
    <r>
      <rPr>
        <b/>
        <vertAlign val="subscript"/>
        <sz val="10"/>
        <rFont val="Arial"/>
        <family val="2"/>
      </rPr>
      <t>expected</t>
    </r>
    <r>
      <rPr>
        <sz val="10"/>
        <rFont val="Arial"/>
        <family val="2"/>
      </rPr>
      <t xml:space="preserve"> (Excluding Ped &amp; Bike Collisions)</t>
    </r>
  </si>
  <si>
    <t>Predicted average crash frequency (crashes/year)                                   (Excluding Ped &amp; Bike Collisions)</t>
  </si>
  <si>
    <r>
      <t>Observed crashes,</t>
    </r>
    <r>
      <rPr>
        <sz val="10"/>
        <rFont val="Arial"/>
        <family val="2"/>
      </rPr>
      <t xml:space="preserve">   N</t>
    </r>
    <r>
      <rPr>
        <vertAlign val="subscript"/>
        <sz val="10"/>
        <rFont val="Arial"/>
        <family val="2"/>
      </rPr>
      <t>observed</t>
    </r>
    <r>
      <rPr>
        <sz val="10"/>
        <rFont val="Arial"/>
        <family val="2"/>
      </rPr>
      <t xml:space="preserve"> (crashes/year)</t>
    </r>
    <r>
      <rPr>
        <b/>
        <sz val="10"/>
        <rFont val="Arial"/>
        <family val="2"/>
      </rPr>
      <t xml:space="preserve"> (Excluding Ped &amp; Bike Collisions)</t>
    </r>
  </si>
  <si>
    <r>
      <t>Expected average crash frequency, N</t>
    </r>
    <r>
      <rPr>
        <b/>
        <vertAlign val="subscript"/>
        <sz val="10"/>
        <rFont val="Arial"/>
        <family val="2"/>
      </rPr>
      <t>expected</t>
    </r>
    <r>
      <rPr>
        <b/>
        <sz val="10"/>
        <rFont val="Arial"/>
        <family val="2"/>
      </rPr>
      <t xml:space="preserve"> (Excluding Ped &amp; Bike Collisions)</t>
    </r>
  </si>
  <si>
    <t>(Ped &amp; Bike Calculations work properly for Segment_1)</t>
  </si>
  <si>
    <t>(Ped &amp; Bike Calculations work properly for Intersection_1)</t>
  </si>
  <si>
    <t>Calculations for Segments 2-8 have not be updated to address NCHRP Project 17-84.</t>
  </si>
  <si>
    <t>Calculations for Intersections 2-8 have not be updated to address NCHRP Project 17-84.</t>
  </si>
  <si>
    <r>
      <t>N</t>
    </r>
    <r>
      <rPr>
        <vertAlign val="subscript"/>
        <sz val="10"/>
        <rFont val="Arial"/>
        <family val="2"/>
      </rPr>
      <t xml:space="preserve"> expected</t>
    </r>
    <r>
      <rPr>
        <sz val="10"/>
        <rFont val="Arial"/>
        <family val="2"/>
      </rPr>
      <t xml:space="preserve"> (Including Ped &amp; Bike Collisions)</t>
    </r>
  </si>
  <si>
    <t>Use the "Ped&amp;Bike (Segments)" Worksheet to input data to address pedestrian and bicycle collisions.</t>
  </si>
  <si>
    <t>Use the "Ped&amp;Bike (Intersections)" Worksheet to input data to address pedestrian and bicycle collisions.</t>
  </si>
  <si>
    <t>Darren Torbic (d-torbic@tti.tamu.edu)</t>
  </si>
  <si>
    <t>This spreadsheet has been updated to incorporate analysis of pedestrian and bicycle crashes based on the results of NCHRP Project 17-84.</t>
  </si>
  <si>
    <t>Two-lane undivided</t>
  </si>
  <si>
    <t>Multilane undivided</t>
  </si>
  <si>
    <t>Multilane divided</t>
  </si>
  <si>
    <r>
      <t xml:space="preserve">Summary of results and for site-specific EB analysis using results from the segment and intersection worksheets. This analysis can be performed if the analyst knows the exact location of historic crashes within the study limits. The associated HSM worksheets are Worksheets 3A and 3B. </t>
    </r>
    <r>
      <rPr>
        <sz val="10"/>
        <color rgb="FFFF0000"/>
        <rFont val="Arial"/>
        <family val="2"/>
      </rPr>
      <t>This worksheet has been updated so that Segment_1 and Intersection_1 include estimates for pedestrian and bicycle crashes based upon models from NCHRP Project 17-84.</t>
    </r>
  </si>
  <si>
    <r>
      <t xml:space="preserve">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 </t>
    </r>
    <r>
      <rPr>
        <sz val="10"/>
        <color rgb="FFFF0000"/>
        <rFont val="Arial"/>
        <family val="2"/>
      </rPr>
      <t>This worksheet has not been updated to include estimates of pedestrian and bicycle crashes based on models from NCHRP Project 17-84.</t>
    </r>
  </si>
  <si>
    <t>THIS WORKSHEET HAS NOT BEEN UPDATED TO ADDRESS PROJECT LEVEL ANALYSES INCORPORATING MODELS FROM NCHRP 17-84</t>
  </si>
  <si>
    <t>Moderate curvature (advisory speed in the range from 45 mph to &lt; 60 mph or curve radius in the range from 1300 ft to &lt;= 2600 ft)</t>
  </si>
  <si>
    <t>Sharp curve (advisory speed in the range from 25 mph to &lt; 45 mph or curve radius in the range from 650 ft to &lt;= 1300 ft)</t>
  </si>
  <si>
    <t>Table 11-61. Proportion of Bicycle Crashes on Rural Multilane Roadway Segments by Injury Severity Level</t>
  </si>
  <si>
    <r>
      <t>Expected average    Ped crash    frequency,                   N</t>
    </r>
    <r>
      <rPr>
        <b/>
        <vertAlign val="subscript"/>
        <sz val="10"/>
        <rFont val="Arial"/>
        <family val="2"/>
      </rPr>
      <t>ped</t>
    </r>
  </si>
  <si>
    <r>
      <t>Expected average    Bike crash frequency,                   N</t>
    </r>
    <r>
      <rPr>
        <b/>
        <vertAlign val="subscript"/>
        <sz val="10"/>
        <rFont val="Arial"/>
        <family val="2"/>
      </rPr>
      <t>bike</t>
    </r>
  </si>
  <si>
    <t>N ped(expected)</t>
  </si>
  <si>
    <t>N bike(expected)</t>
  </si>
  <si>
    <r>
      <t>(9)</t>
    </r>
    <r>
      <rPr>
        <vertAlign val="subscript"/>
        <sz val="10"/>
        <rFont val="Arial"/>
        <family val="2"/>
      </rPr>
      <t>COMB</t>
    </r>
    <r>
      <rPr>
        <sz val="10"/>
        <rFont val="Arial"/>
        <family val="2"/>
      </rPr>
      <t xml:space="preserve"> from Worksheet 3A</t>
    </r>
  </si>
  <si>
    <t>(10)COMB from Worksheet 3A</t>
  </si>
  <si>
    <t>(3)+(4)+(5)</t>
  </si>
  <si>
    <t>(8)COMB * (3)FI / (2) TOTAL</t>
  </si>
  <si>
    <t>(8)COMB * (4)PDO / (2) TOTAL</t>
  </si>
  <si>
    <t>September, 2022</t>
  </si>
  <si>
    <t>September, 2022 by Darren Torbic</t>
  </si>
  <si>
    <t>This spreadsheet is a deliverable of National Cooperative Highway Research Program (NCHRP) Project 17-84.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Any opinions and conclusions expressed or implied in resulting research products are those of the individuals and organizations who performed the research and are not necessarily those of TRB; the National Academies of Sciences, Engineering, and Medicine; the FHWA; or NCHRP sponsors.</t>
  </si>
  <si>
    <t>© 2022 National Academy of Sciences</t>
  </si>
  <si>
    <t>ACKNOWLEDGMENT OF SPONSORSHIP</t>
  </si>
  <si>
    <t xml:space="preserve">The National Cooperative Highway Research Program (NCHRP) produces ready-to-implement solutions to the challenges facing transportation professionals. NCHRP is sponsored by the individual state departments of transportation of the American Association of State Highway and Transportation Officials. NCHRP is administered by the Transportation Research Board (TRB), part of the National Academies of Sciences, Engineering, and Medicine, under a cooperative agreement with the Federal Highway Administration (FHWA).  </t>
  </si>
  <si>
    <t>COPYRIGHT</t>
  </si>
  <si>
    <t xml:space="preserve">This material and the copyrights herein are owned by the National Academies of Sciences, Engineering, and Medicine.  </t>
  </si>
  <si>
    <t>Permission to reproduce any copyrighted material included herein was obtained by the contractor.</t>
  </si>
  <si>
    <t>DISCLAIMER</t>
  </si>
  <si>
    <t>No warranty is made by the developers or their employer as to the accuracy, completeness, or reliability of this software and its associated equations and documentation. No responsibility is assumed by the developers for incorrect results or damages resulting from the use of this software. This software is offered as is, without warranty or promise of support of any kind either expressed or implied. Under no circumstance will the National Academy of Sciences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t>
  </si>
  <si>
    <t>INSTRUCTIONS</t>
  </si>
  <si>
    <t xml:space="preserve">User-provided data are entered into the green cells on each worksheet. Key outputs of the methodology are in yellow cells. All interim computation steps are shown as non-highlighted cells. Several equations, lookup tables, and diagrams are provided for reference to explain the meaning of certain variables. </t>
  </si>
  <si>
    <t xml:space="preserve">The worksheets are password protected, with only the required user inputs being editable. The password for unlocking the engine may be requested from NCHRP or the project principal investigators. All green cells need to have data entered in order for the computations to work properly. </t>
  </si>
  <si>
    <t>NCHRP Project 17-84</t>
  </si>
  <si>
    <t>This is unedited material as submitted by the contractor for NCHRP Project 17-84, "Pedestrian and Bicycle Safety Performance Functions for the Highway Safety Manual." The opinions and conclusions expressed or implied in the material are those of the research agency. They are not necessarily those of TRB; the National Academies of Sciences, Engineering, and Medicine; FHWA; or the program sponsors.</t>
  </si>
  <si>
    <t>Please read "Instructions" tab for additional information.</t>
  </si>
  <si>
    <r>
      <t xml:space="preserve">This spreadsheet tool is supplemental to </t>
    </r>
    <r>
      <rPr>
        <b/>
        <i/>
        <sz val="10"/>
        <rFont val="Arial"/>
        <family val="2"/>
      </rPr>
      <t>NCHRP Research Report 1064: Pedestrian and Bicycle Safety Performance Functions: An Update</t>
    </r>
    <r>
      <rPr>
        <b/>
        <sz val="10"/>
        <rFont val="Arial"/>
        <family val="2"/>
      </rPr>
      <t xml:space="preserve"> (NCHRP Project 17-84, "Pedestrian and Bicycle Safety Performance Functions for the Highway Safety Manual). The full report can be found on the National Academies Press website (nap.nationalacademies.org) by searching for </t>
    </r>
    <r>
      <rPr>
        <b/>
        <i/>
        <sz val="10"/>
        <rFont val="Arial"/>
        <family val="2"/>
      </rPr>
      <t>NCHRP Research Report 1064</t>
    </r>
    <r>
      <rPr>
        <b/>
        <sz val="10"/>
        <rFont val="Arial"/>
        <family val="2"/>
      </rPr>
      <t>.</t>
    </r>
  </si>
  <si>
    <r>
      <t xml:space="preserve">Pedestrian and Bicycle Safety Performance Functions for the </t>
    </r>
    <r>
      <rPr>
        <i/>
        <sz val="22"/>
        <rFont val="Arial"/>
        <family val="2"/>
      </rPr>
      <t xml:space="preserve">Highway Safety Manual - </t>
    </r>
    <r>
      <rPr>
        <sz val="22"/>
        <rFont val="Arial"/>
        <family val="2"/>
      </rPr>
      <t>Rural Multilane Roads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</si>
</sst>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mm/dd/yy;@"/>
    <numFmt numFmtId="166" formatCode="0.0"/>
    <numFmt numFmtId="167" formatCode="#,##0.000"/>
    <numFmt numFmtId="168" formatCode="_(* #,##0_);_(* \(#,##0\);_(* &quot;-&quot;??_);_(@_)"/>
    <numFmt numFmtId="169" formatCode="0.0000000E+00"/>
    <numFmt numFmtId="170" formatCode="0.00000000"/>
  </numFmts>
  <fonts count="52"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u/>
      <sz val="10"/>
      <name val="Arial"/>
      <family val="2"/>
    </font>
    <font>
      <b/>
      <sz val="10"/>
      <color rgb="FF002060"/>
      <name val="Arial"/>
      <family val="2"/>
    </font>
    <font>
      <b/>
      <u/>
      <sz val="10"/>
      <color rgb="FF002060"/>
      <name val="Arial"/>
      <family val="2"/>
    </font>
    <font>
      <u/>
      <sz val="10"/>
      <color theme="10"/>
      <name val="Arial"/>
      <family val="2"/>
    </font>
    <font>
      <sz val="11"/>
      <color rgb="FF3F3F76"/>
      <name val="Calibri"/>
      <family val="2"/>
      <scheme val="minor"/>
    </font>
    <font>
      <sz val="11"/>
      <color rgb="FF000000"/>
      <name val="Calibri"/>
      <family val="2"/>
      <charset val="1"/>
    </font>
    <font>
      <b/>
      <sz val="11"/>
      <color rgb="FF000000"/>
      <name val="Calibri"/>
      <family val="2"/>
      <charset val="1"/>
    </font>
    <font>
      <b/>
      <sz val="14"/>
      <color rgb="FF000000"/>
      <name val="Calibri"/>
      <family val="2"/>
    </font>
    <font>
      <b/>
      <sz val="20"/>
      <color rgb="FF000000"/>
      <name val="Calibri"/>
      <family val="2"/>
      <charset val="1"/>
    </font>
    <font>
      <b/>
      <vertAlign val="subscript"/>
      <sz val="11"/>
      <color rgb="FF000000"/>
      <name val="Calibri"/>
      <family val="2"/>
      <charset val="1"/>
    </font>
    <font>
      <vertAlign val="subscript"/>
      <sz val="11"/>
      <color rgb="FF000000"/>
      <name val="Calibri"/>
      <family val="2"/>
      <charset val="1"/>
    </font>
    <font>
      <vertAlign val="subscript"/>
      <sz val="11"/>
      <color rgb="FF000000"/>
      <name val="Calibri"/>
      <family val="2"/>
    </font>
    <font>
      <sz val="11"/>
      <color rgb="FF000000"/>
      <name val="Calibri"/>
      <family val="2"/>
    </font>
    <font>
      <vertAlign val="subscript"/>
      <sz val="11"/>
      <color theme="1"/>
      <name val="Calibri"/>
      <family val="2"/>
      <scheme val="minor"/>
    </font>
    <font>
      <sz val="11"/>
      <color theme="1"/>
      <name val="Calibri"/>
      <family val="2"/>
    </font>
    <font>
      <vertAlign val="subscript"/>
      <sz val="11"/>
      <color theme="1"/>
      <name val="Calibri"/>
      <family val="2"/>
    </font>
    <font>
      <b/>
      <sz val="11"/>
      <color rgb="FF000000"/>
      <name val="Calibri"/>
      <family val="2"/>
    </font>
    <font>
      <b/>
      <sz val="16"/>
      <color rgb="FF000000"/>
      <name val="Calibri"/>
      <family val="2"/>
      <charset val="1"/>
    </font>
    <font>
      <sz val="16"/>
      <color rgb="FF000000"/>
      <name val="Calibri"/>
      <family val="2"/>
      <charset val="1"/>
    </font>
    <font>
      <b/>
      <sz val="14"/>
      <color rgb="FF000000"/>
      <name val="Calibri"/>
      <family val="2"/>
      <charset val="1"/>
    </font>
    <font>
      <b/>
      <sz val="11"/>
      <color rgb="FFFF0000"/>
      <name val="Calibri"/>
      <family val="2"/>
    </font>
    <font>
      <b/>
      <sz val="10"/>
      <color rgb="FFFF0000"/>
      <name val="Arial"/>
      <family val="2"/>
    </font>
    <font>
      <sz val="10"/>
      <color rgb="FFFF0000"/>
      <name val="Arial"/>
      <family val="2"/>
    </font>
    <font>
      <u/>
      <sz val="10"/>
      <color rgb="FFFF0000"/>
      <name val="Arial"/>
      <family val="2"/>
    </font>
    <font>
      <b/>
      <sz val="14"/>
      <color rgb="FFFF0000"/>
      <name val="Arial"/>
      <family val="2"/>
    </font>
    <font>
      <b/>
      <sz val="16"/>
      <color rgb="FFFF0000"/>
      <name val="Arial"/>
      <family val="2"/>
    </font>
    <font>
      <sz val="14"/>
      <color rgb="FFFF0000"/>
      <name val="Arial"/>
      <family val="2"/>
    </font>
    <font>
      <sz val="16"/>
      <color rgb="FFFF0000"/>
      <name val="Arial"/>
      <family val="2"/>
    </font>
    <font>
      <b/>
      <sz val="12"/>
      <color rgb="FFFF0000"/>
      <name val="Arial"/>
      <family val="2"/>
    </font>
    <font>
      <sz val="16"/>
      <color rgb="FFFF0000"/>
      <name val="Calibri"/>
      <family val="2"/>
      <charset val="1"/>
    </font>
    <font>
      <sz val="11"/>
      <name val="Calibri"/>
      <family val="2"/>
      <charset val="1"/>
    </font>
    <font>
      <b/>
      <u/>
      <sz val="14"/>
      <name val="Arial"/>
      <family val="2"/>
    </font>
    <font>
      <sz val="22"/>
      <name val="Arial"/>
      <family val="2"/>
    </font>
    <font>
      <i/>
      <sz val="22"/>
      <name val="Arial"/>
      <family val="2"/>
    </font>
  </fonts>
  <fills count="17">
    <fill>
      <patternFill patternType="none"/>
    </fill>
    <fill>
      <patternFill patternType="gray125"/>
    </fill>
    <fill>
      <patternFill patternType="solid">
        <fgColor rgb="FF56B4E9"/>
        <bgColor indexed="64"/>
      </patternFill>
    </fill>
    <fill>
      <patternFill patternType="solid">
        <fgColor rgb="FFE69F00"/>
        <bgColor indexed="64"/>
      </patternFill>
    </fill>
    <fill>
      <patternFill patternType="solid">
        <fgColor rgb="FFF0E442"/>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CC99"/>
      </patternFill>
    </fill>
    <fill>
      <patternFill patternType="solid">
        <fgColor rgb="FFFFFF00"/>
        <bgColor rgb="FFFFFF00"/>
      </patternFill>
    </fill>
    <fill>
      <patternFill patternType="solid">
        <fgColor rgb="FFFFFFFF"/>
        <bgColor rgb="FFFFFFCC"/>
      </patternFill>
    </fill>
    <fill>
      <patternFill patternType="solid">
        <fgColor rgb="FF56B4E9"/>
        <bgColor rgb="FFFF9900"/>
      </patternFill>
    </fill>
    <fill>
      <patternFill patternType="solid">
        <fgColor rgb="FFF0E442"/>
        <bgColor rgb="FFFF9900"/>
      </patternFill>
    </fill>
    <fill>
      <patternFill patternType="solid">
        <fgColor rgb="FF00B050"/>
        <bgColor rgb="FFFFFF00"/>
      </patternFill>
    </fill>
    <fill>
      <patternFill patternType="solid">
        <fgColor rgb="FF00B050"/>
        <bgColor rgb="FF33CCCC"/>
      </patternFill>
    </fill>
    <fill>
      <patternFill patternType="solid">
        <fgColor rgb="FF00B050"/>
        <bgColor rgb="FFFF9900"/>
      </patternFill>
    </fill>
  </fills>
  <borders count="5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double">
        <color indexed="64"/>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s>
  <cellStyleXfs count="5">
    <xf numFmtId="0" fontId="0" fillId="0" borderId="0"/>
    <xf numFmtId="0" fontId="21" fillId="0" borderId="0" applyNumberFormat="0" applyFill="0" applyBorder="0" applyAlignment="0" applyProtection="0"/>
    <xf numFmtId="0" fontId="22" fillId="9" borderId="49" applyNumberFormat="0" applyAlignment="0" applyProtection="0"/>
    <xf numFmtId="0" fontId="23" fillId="0" borderId="0"/>
    <xf numFmtId="43" fontId="23" fillId="0" borderId="0" applyFont="0" applyFill="0" applyBorder="0" applyAlignment="0" applyProtection="0"/>
  </cellStyleXfs>
  <cellXfs count="824">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3" fillId="0" borderId="0" xfId="0" applyFont="1" applyAlignment="1">
      <alignment horizontal="center"/>
    </xf>
    <xf numFmtId="0" fontId="0" fillId="0" borderId="3" xfId="0" quotePrefix="1" applyBorder="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166" fontId="0" fillId="0" borderId="0" xfId="0" applyNumberFormat="1" applyAlignment="1">
      <alignment horizontal="center"/>
    </xf>
    <xf numFmtId="0" fontId="3" fillId="0" borderId="4" xfId="0" applyFont="1" applyBorder="1" applyAlignment="1">
      <alignment horizontal="center"/>
    </xf>
    <xf numFmtId="2" fontId="0" fillId="0" borderId="2"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Alignment="1">
      <alignment wrapText="1"/>
    </xf>
    <xf numFmtId="0" fontId="0" fillId="0" borderId="0" xfId="0" applyAlignment="1">
      <alignment vertical="center"/>
    </xf>
    <xf numFmtId="0" fontId="3" fillId="0" borderId="2" xfId="0" applyFont="1" applyBorder="1" applyAlignment="1">
      <alignment horizontal="center" vertical="top" wrapText="1"/>
    </xf>
    <xf numFmtId="0" fontId="3" fillId="0" borderId="2" xfId="0" applyFont="1" applyBorder="1" applyAlignment="1">
      <alignment horizontal="center"/>
    </xf>
    <xf numFmtId="0" fontId="0" fillId="0" borderId="9" xfId="0" quotePrefix="1" applyBorder="1" applyAlignment="1">
      <alignment horizontal="center"/>
    </xf>
    <xf numFmtId="0" fontId="0" fillId="0" borderId="11" xfId="0" applyBorder="1"/>
    <xf numFmtId="0" fontId="1" fillId="0" borderId="0" xfId="0" applyFont="1"/>
    <xf numFmtId="0" fontId="1" fillId="0" borderId="12" xfId="0" applyFont="1" applyBorder="1"/>
    <xf numFmtId="0" fontId="1" fillId="0" borderId="13" xfId="0" applyFont="1" applyBorder="1"/>
    <xf numFmtId="0" fontId="1" fillId="0" borderId="0" xfId="0" applyFont="1" applyAlignment="1">
      <alignment horizontal="center"/>
    </xf>
    <xf numFmtId="2" fontId="0" fillId="0" borderId="0" xfId="0" applyNumberFormat="1" applyAlignment="1">
      <alignment horizontal="center"/>
    </xf>
    <xf numFmtId="0" fontId="0" fillId="0" borderId="14" xfId="0" quotePrefix="1" applyBorder="1" applyAlignment="1">
      <alignment horizontal="center"/>
    </xf>
    <xf numFmtId="0" fontId="0" fillId="0" borderId="14" xfId="0" applyBorder="1"/>
    <xf numFmtId="0" fontId="0" fillId="0" borderId="11" xfId="0" applyBorder="1" applyAlignment="1">
      <alignment horizontal="center"/>
    </xf>
    <xf numFmtId="2" fontId="0" fillId="0" borderId="0" xfId="0" applyNumberFormat="1"/>
    <xf numFmtId="0" fontId="0" fillId="0" borderId="0" xfId="0" quotePrefix="1" applyAlignment="1">
      <alignment horizontal="center"/>
    </xf>
    <xf numFmtId="0" fontId="4" fillId="0" borderId="0" xfId="0" applyFont="1" applyAlignment="1">
      <alignment horizontal="center"/>
    </xf>
    <xf numFmtId="164"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top"/>
    </xf>
    <xf numFmtId="0" fontId="0" fillId="0" borderId="0" xfId="0" quotePrefix="1" applyAlignment="1">
      <alignment horizontal="center" vertical="top"/>
    </xf>
    <xf numFmtId="0" fontId="1" fillId="0" borderId="0" xfId="0" quotePrefix="1" applyFont="1" applyAlignment="1">
      <alignment horizontal="center"/>
    </xf>
    <xf numFmtId="0" fontId="1" fillId="0" borderId="0" xfId="0" applyFont="1" applyAlignment="1">
      <alignment horizontal="center" vertical="top"/>
    </xf>
    <xf numFmtId="0" fontId="1" fillId="0" borderId="1" xfId="0" quotePrefix="1" applyFont="1" applyBorder="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0" fillId="0" borderId="0" xfId="0" applyAlignment="1">
      <alignment horizontal="left"/>
    </xf>
    <xf numFmtId="0" fontId="3"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center"/>
    </xf>
    <xf numFmtId="164" fontId="0" fillId="0" borderId="15" xfId="0" applyNumberFormat="1" applyBorder="1" applyAlignment="1">
      <alignment horizontal="center"/>
    </xf>
    <xf numFmtId="164" fontId="0" fillId="0" borderId="5" xfId="0" applyNumberFormat="1" applyBorder="1" applyAlignment="1">
      <alignment horizontal="center"/>
    </xf>
    <xf numFmtId="2" fontId="1" fillId="0" borderId="0" xfId="0" applyNumberFormat="1" applyFont="1" applyAlignment="1">
      <alignment horizontal="center"/>
    </xf>
    <xf numFmtId="0" fontId="1" fillId="0" borderId="0" xfId="0" applyFont="1" applyAlignment="1">
      <alignment horizontal="center" vertical="center"/>
    </xf>
    <xf numFmtId="0" fontId="0" fillId="0" borderId="0" xfId="0" quotePrefix="1" applyAlignment="1">
      <alignment horizontal="center" vertical="center"/>
    </xf>
    <xf numFmtId="2" fontId="1" fillId="0" borderId="2" xfId="0" applyNumberFormat="1" applyFont="1" applyBorder="1" applyAlignment="1">
      <alignment horizontal="center"/>
    </xf>
    <xf numFmtId="164" fontId="0" fillId="0" borderId="4" xfId="0" applyNumberFormat="1" applyBorder="1" applyAlignment="1">
      <alignment horizontal="center"/>
    </xf>
    <xf numFmtId="0" fontId="1" fillId="0" borderId="3" xfId="0" quotePrefix="1" applyFont="1" applyBorder="1" applyAlignment="1">
      <alignment horizontal="center"/>
    </xf>
    <xf numFmtId="2" fontId="1" fillId="0" borderId="0" xfId="0" applyNumberFormat="1" applyFont="1" applyAlignment="1">
      <alignment horizontal="left"/>
    </xf>
    <xf numFmtId="49" fontId="3" fillId="0" borderId="0" xfId="0" applyNumberFormat="1" applyFont="1" applyAlignment="1">
      <alignment horizontal="center"/>
    </xf>
    <xf numFmtId="49" fontId="0" fillId="0" borderId="0" xfId="0" applyNumberFormat="1"/>
    <xf numFmtId="49" fontId="3" fillId="0" borderId="0" xfId="0" applyNumberFormat="1" applyFont="1"/>
    <xf numFmtId="166" fontId="6" fillId="0" borderId="0" xfId="0" applyNumberFormat="1" applyFont="1" applyAlignment="1">
      <alignment horizontal="center"/>
    </xf>
    <xf numFmtId="166" fontId="3" fillId="0" borderId="0" xfId="0" applyNumberFormat="1" applyFont="1" applyAlignment="1">
      <alignment horizontal="center" vertical="top"/>
    </xf>
    <xf numFmtId="0" fontId="3" fillId="0" borderId="0" xfId="0" applyFont="1" applyAlignment="1">
      <alignment vertical="top"/>
    </xf>
    <xf numFmtId="164" fontId="6" fillId="0" borderId="2"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0" fillId="0" borderId="0" xfId="0" applyAlignment="1">
      <alignment vertical="top"/>
    </xf>
    <xf numFmtId="49" fontId="1" fillId="0" borderId="0" xfId="0" applyNumberFormat="1" applyFont="1" applyAlignment="1">
      <alignment horizontal="center"/>
    </xf>
    <xf numFmtId="49" fontId="6" fillId="0" borderId="0" xfId="0" applyNumberFormat="1" applyFont="1" applyAlignment="1">
      <alignment horizontal="center"/>
    </xf>
    <xf numFmtId="164" fontId="6" fillId="0" borderId="0" xfId="0" applyNumberFormat="1" applyFont="1" applyAlignment="1">
      <alignment horizontal="center"/>
    </xf>
    <xf numFmtId="2" fontId="2" fillId="0" borderId="0" xfId="0" applyNumberFormat="1" applyFont="1" applyAlignment="1">
      <alignment horizontal="left"/>
    </xf>
    <xf numFmtId="2" fontId="3" fillId="0" borderId="0" xfId="0" applyNumberFormat="1" applyFont="1" applyAlignment="1">
      <alignment horizontal="center" vertical="top"/>
    </xf>
    <xf numFmtId="2" fontId="1" fillId="0" borderId="0" xfId="0" quotePrefix="1" applyNumberFormat="1" applyFont="1" applyAlignment="1">
      <alignment horizontal="center" vertical="center"/>
    </xf>
    <xf numFmtId="0" fontId="1" fillId="0" borderId="0" xfId="0" quotePrefix="1" applyFont="1" applyAlignment="1">
      <alignment horizontal="center" vertical="center"/>
    </xf>
    <xf numFmtId="20" fontId="1" fillId="0" borderId="0" xfId="0" quotePrefix="1" applyNumberFormat="1" applyFont="1" applyAlignment="1">
      <alignment horizontal="center"/>
    </xf>
    <xf numFmtId="164" fontId="6" fillId="0" borderId="5" xfId="0" applyNumberFormat="1" applyFont="1" applyBorder="1" applyAlignment="1">
      <alignment horizontal="center"/>
    </xf>
    <xf numFmtId="0" fontId="2" fillId="0" borderId="0" xfId="0" applyFont="1" applyAlignment="1">
      <alignment vertical="center"/>
    </xf>
    <xf numFmtId="0" fontId="1" fillId="0" borderId="0" xfId="0" applyFont="1" applyAlignment="1">
      <alignment vertical="center"/>
    </xf>
    <xf numFmtId="0" fontId="2" fillId="0" borderId="0" xfId="0" applyFont="1"/>
    <xf numFmtId="1" fontId="1" fillId="0" borderId="0" xfId="0" applyNumberFormat="1" applyFont="1"/>
    <xf numFmtId="164" fontId="0" fillId="0" borderId="17" xfId="0" applyNumberFormat="1" applyBorder="1" applyAlignment="1">
      <alignment horizontal="center"/>
    </xf>
    <xf numFmtId="164" fontId="0" fillId="0" borderId="0" xfId="0" applyNumberFormat="1" applyAlignment="1">
      <alignment horizontal="center" vertical="top"/>
    </xf>
    <xf numFmtId="2" fontId="0" fillId="0" borderId="0" xfId="0" applyNumberFormat="1" applyAlignment="1">
      <alignment horizontal="center" vertical="top"/>
    </xf>
    <xf numFmtId="1" fontId="1" fillId="0" borderId="0" xfId="0" applyNumberFormat="1" applyFont="1" applyAlignment="1">
      <alignment horizontal="center" vertical="center"/>
    </xf>
    <xf numFmtId="1" fontId="0" fillId="0" borderId="0" xfId="0" applyNumberFormat="1" applyAlignment="1">
      <alignment horizontal="center" vertical="center"/>
    </xf>
    <xf numFmtId="2" fontId="1" fillId="0" borderId="0" xfId="0" quotePrefix="1" applyNumberFormat="1" applyFont="1" applyAlignment="1">
      <alignment horizontal="center" vertical="top"/>
    </xf>
    <xf numFmtId="0" fontId="5" fillId="0" borderId="0" xfId="0" applyFont="1" applyAlignment="1">
      <alignment vertical="center"/>
    </xf>
    <xf numFmtId="0" fontId="1" fillId="0" borderId="18" xfId="0" quotePrefix="1" applyFont="1" applyBorder="1" applyAlignment="1">
      <alignment horizontal="center"/>
    </xf>
    <xf numFmtId="164" fontId="0" fillId="0" borderId="19" xfId="0" applyNumberFormat="1" applyBorder="1" applyAlignment="1">
      <alignment horizontal="center"/>
    </xf>
    <xf numFmtId="0" fontId="1" fillId="0" borderId="2" xfId="0" quotePrefix="1" applyFont="1" applyBorder="1" applyAlignment="1">
      <alignment horizontal="center"/>
    </xf>
    <xf numFmtId="0" fontId="1" fillId="0" borderId="0" xfId="0" applyFont="1" applyAlignment="1">
      <alignment vertical="top"/>
    </xf>
    <xf numFmtId="167" fontId="0" fillId="0" borderId="2" xfId="0" applyNumberFormat="1" applyBorder="1" applyAlignment="1">
      <alignment horizontal="center"/>
    </xf>
    <xf numFmtId="164" fontId="1" fillId="0" borderId="2" xfId="0" quotePrefix="1" applyNumberFormat="1" applyFont="1" applyBorder="1" applyAlignment="1">
      <alignment horizontal="center"/>
    </xf>
    <xf numFmtId="167" fontId="0" fillId="0" borderId="17" xfId="0" applyNumberFormat="1" applyBorder="1" applyAlignment="1">
      <alignment horizontal="center" vertical="center"/>
    </xf>
    <xf numFmtId="164" fontId="0" fillId="0" borderId="17" xfId="0" applyNumberFormat="1" applyBorder="1" applyAlignment="1">
      <alignment horizontal="center" vertical="center"/>
    </xf>
    <xf numFmtId="167" fontId="1" fillId="0" borderId="17" xfId="0" quotePrefix="1" applyNumberFormat="1" applyFont="1" applyBorder="1" applyAlignment="1">
      <alignment horizontal="center" vertical="center"/>
    </xf>
    <xf numFmtId="0" fontId="1" fillId="0" borderId="17" xfId="0" quotePrefix="1" applyFont="1" applyBorder="1" applyAlignment="1">
      <alignment horizontal="center" vertical="center"/>
    </xf>
    <xf numFmtId="0" fontId="17" fillId="0" borderId="0" xfId="0" applyFont="1"/>
    <xf numFmtId="0" fontId="3" fillId="0" borderId="20" xfId="0" applyFont="1" applyBorder="1"/>
    <xf numFmtId="0" fontId="0" fillId="2" borderId="4" xfId="0" applyFill="1" applyBorder="1" applyAlignment="1">
      <alignment horizontal="center"/>
    </xf>
    <xf numFmtId="0" fontId="0" fillId="2" borderId="2" xfId="0"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164" fontId="0" fillId="3" borderId="17" xfId="0" applyNumberFormat="1" applyFill="1" applyBorder="1" applyAlignment="1">
      <alignment horizontal="center"/>
    </xf>
    <xf numFmtId="164" fontId="0" fillId="3" borderId="19" xfId="0" applyNumberFormat="1" applyFill="1" applyBorder="1" applyAlignment="1">
      <alignment horizontal="center"/>
    </xf>
    <xf numFmtId="0" fontId="1" fillId="2" borderId="4" xfId="0" applyFont="1" applyFill="1" applyBorder="1" applyAlignment="1">
      <alignment horizontal="center"/>
    </xf>
    <xf numFmtId="164" fontId="6" fillId="3" borderId="2" xfId="0" applyNumberFormat="1" applyFont="1" applyFill="1" applyBorder="1" applyAlignment="1">
      <alignment horizontal="center"/>
    </xf>
    <xf numFmtId="164" fontId="0" fillId="3" borderId="15" xfId="0" applyNumberFormat="1" applyFill="1" applyBorder="1" applyAlignment="1">
      <alignment horizontal="center"/>
    </xf>
    <xf numFmtId="1" fontId="0" fillId="4" borderId="17" xfId="0" applyNumberFormat="1" applyFill="1" applyBorder="1" applyAlignment="1">
      <alignment horizontal="center" vertical="center"/>
    </xf>
    <xf numFmtId="0" fontId="0" fillId="4" borderId="15" xfId="0" applyFill="1" applyBorder="1"/>
    <xf numFmtId="0" fontId="0" fillId="4" borderId="3" xfId="0" applyFill="1" applyBorder="1"/>
    <xf numFmtId="0" fontId="0" fillId="2" borderId="15" xfId="0" applyFill="1" applyBorder="1"/>
    <xf numFmtId="0" fontId="0" fillId="2" borderId="3" xfId="0" applyFill="1" applyBorder="1"/>
    <xf numFmtId="0" fontId="0" fillId="3" borderId="15" xfId="0" applyFill="1" applyBorder="1"/>
    <xf numFmtId="0" fontId="0" fillId="3" borderId="3" xfId="0" applyFill="1" applyBorder="1"/>
    <xf numFmtId="0" fontId="3" fillId="0" borderId="0" xfId="0" applyFont="1" applyAlignment="1">
      <alignment horizontal="center" wrapText="1"/>
    </xf>
    <xf numFmtId="20" fontId="1" fillId="0" borderId="21" xfId="0" quotePrefix="1" applyNumberFormat="1" applyFont="1" applyBorder="1"/>
    <xf numFmtId="20" fontId="1" fillId="0" borderId="18" xfId="0" quotePrefix="1" applyNumberFormat="1" applyFont="1" applyBorder="1"/>
    <xf numFmtId="2" fontId="0" fillId="0" borderId="12" xfId="0" applyNumberFormat="1" applyBorder="1" applyAlignment="1">
      <alignment horizontal="center"/>
    </xf>
    <xf numFmtId="164" fontId="0" fillId="0" borderId="19" xfId="0" applyNumberFormat="1" applyBorder="1" applyAlignment="1">
      <alignment horizontal="center" vertical="center"/>
    </xf>
    <xf numFmtId="0" fontId="1" fillId="5" borderId="22" xfId="0" applyFont="1" applyFill="1" applyBorder="1" applyAlignment="1">
      <alignment horizontal="right"/>
    </xf>
    <xf numFmtId="3" fontId="0" fillId="5" borderId="23" xfId="0" applyNumberFormat="1" applyFill="1" applyBorder="1" applyAlignment="1">
      <alignment horizontal="center"/>
    </xf>
    <xf numFmtId="0" fontId="1" fillId="5" borderId="24" xfId="0" applyFont="1" applyFill="1" applyBorder="1" applyAlignment="1">
      <alignment horizontal="left"/>
    </xf>
    <xf numFmtId="3" fontId="0" fillId="0" borderId="0" xfId="0" applyNumberFormat="1"/>
    <xf numFmtId="0" fontId="18" fillId="0" borderId="0" xfId="0" applyFont="1"/>
    <xf numFmtId="0" fontId="19" fillId="0" borderId="0" xfId="0" applyFont="1"/>
    <xf numFmtId="0" fontId="20" fillId="0" borderId="0" xfId="0" applyFont="1"/>
    <xf numFmtId="167" fontId="0" fillId="0" borderId="15" xfId="0" applyNumberFormat="1" applyBorder="1" applyAlignment="1">
      <alignment horizontal="center"/>
    </xf>
    <xf numFmtId="164" fontId="0" fillId="0" borderId="16" xfId="0" applyNumberFormat="1" applyBorder="1" applyAlignment="1">
      <alignment horizontal="center"/>
    </xf>
    <xf numFmtId="164" fontId="0" fillId="0" borderId="25" xfId="0" applyNumberFormat="1" applyBorder="1" applyAlignment="1">
      <alignment horizontal="center"/>
    </xf>
    <xf numFmtId="167" fontId="0" fillId="0" borderId="25" xfId="0" applyNumberFormat="1" applyBorder="1" applyAlignment="1">
      <alignment horizontal="center"/>
    </xf>
    <xf numFmtId="164" fontId="0" fillId="0" borderId="26" xfId="0" applyNumberFormat="1" applyBorder="1" applyAlignment="1">
      <alignment horizontal="center"/>
    </xf>
    <xf numFmtId="164" fontId="0" fillId="0" borderId="27" xfId="0" applyNumberFormat="1" applyBorder="1" applyAlignment="1">
      <alignment horizontal="center"/>
    </xf>
    <xf numFmtId="167" fontId="0" fillId="0" borderId="27" xfId="0" applyNumberFormat="1" applyBorder="1" applyAlignment="1">
      <alignment horizontal="center"/>
    </xf>
    <xf numFmtId="164" fontId="0" fillId="0" borderId="28" xfId="0" applyNumberFormat="1" applyBorder="1" applyAlignment="1">
      <alignment horizontal="center"/>
    </xf>
    <xf numFmtId="0" fontId="1" fillId="0" borderId="15" xfId="0" quotePrefix="1" applyFont="1" applyBorder="1" applyAlignment="1">
      <alignment horizontal="center"/>
    </xf>
    <xf numFmtId="0" fontId="1" fillId="0" borderId="27" xfId="0" quotePrefix="1" applyFont="1" applyBorder="1" applyAlignment="1">
      <alignment horizontal="center"/>
    </xf>
    <xf numFmtId="0" fontId="0" fillId="0" borderId="27" xfId="0" applyBorder="1" applyAlignment="1">
      <alignment horizontal="center"/>
    </xf>
    <xf numFmtId="0" fontId="0" fillId="0" borderId="27" xfId="0" applyBorder="1"/>
    <xf numFmtId="0" fontId="1" fillId="0" borderId="28" xfId="0" quotePrefix="1" applyFont="1" applyBorder="1" applyAlignment="1">
      <alignment horizontal="center"/>
    </xf>
    <xf numFmtId="0" fontId="1" fillId="0" borderId="25" xfId="0" quotePrefix="1" applyFont="1" applyBorder="1" applyAlignment="1">
      <alignment horizontal="center"/>
    </xf>
    <xf numFmtId="164" fontId="0" fillId="0" borderId="25" xfId="0" applyNumberFormat="1" applyBorder="1"/>
    <xf numFmtId="0" fontId="1" fillId="0" borderId="26" xfId="0" quotePrefix="1" applyFont="1" applyBorder="1" applyAlignment="1">
      <alignment horizontal="center"/>
    </xf>
    <xf numFmtId="2" fontId="1" fillId="0" borderId="2" xfId="0" applyNumberFormat="1" applyFont="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1" fillId="5" borderId="22" xfId="0" applyFont="1" applyFill="1" applyBorder="1" applyAlignment="1">
      <alignment horizontal="right" vertical="center"/>
    </xf>
    <xf numFmtId="3" fontId="0" fillId="5" borderId="23" xfId="0" applyNumberFormat="1" applyFill="1" applyBorder="1" applyAlignment="1">
      <alignment horizontal="center" vertical="center"/>
    </xf>
    <xf numFmtId="0" fontId="1" fillId="5" borderId="24" xfId="0" applyFont="1" applyFill="1" applyBorder="1" applyAlignment="1">
      <alignment horizontal="left" vertical="center"/>
    </xf>
    <xf numFmtId="3" fontId="0" fillId="0" borderId="0" xfId="0" applyNumberFormat="1" applyAlignment="1">
      <alignment vertical="center"/>
    </xf>
    <xf numFmtId="0" fontId="0" fillId="0" borderId="14" xfId="0" applyBorder="1" applyAlignment="1">
      <alignment horizontal="center" vertical="center"/>
    </xf>
    <xf numFmtId="0" fontId="0" fillId="0" borderId="14" xfId="0" applyBorder="1" applyAlignment="1">
      <alignment vertical="center"/>
    </xf>
    <xf numFmtId="0" fontId="17" fillId="0" borderId="0" xfId="0" applyFont="1" applyAlignment="1">
      <alignment vertical="center"/>
    </xf>
    <xf numFmtId="2" fontId="0" fillId="0" borderId="2" xfId="0" applyNumberFormat="1" applyBorder="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2" fontId="0" fillId="0" borderId="0" xfId="0" applyNumberFormat="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0" fontId="0" fillId="0" borderId="1" xfId="0" quotePrefix="1" applyBorder="1" applyAlignment="1">
      <alignment horizontal="center" vertical="center"/>
    </xf>
    <xf numFmtId="49" fontId="0" fillId="0" borderId="0" xfId="0" applyNumberFormat="1" applyAlignment="1">
      <alignment vertical="center"/>
    </xf>
    <xf numFmtId="166" fontId="0" fillId="0" borderId="0" xfId="0" applyNumberFormat="1" applyAlignment="1">
      <alignment horizontal="center" vertical="center"/>
    </xf>
    <xf numFmtId="164" fontId="0" fillId="0" borderId="2" xfId="0" applyNumberFormat="1" applyBorder="1" applyAlignment="1">
      <alignment horizontal="center" vertical="center"/>
    </xf>
    <xf numFmtId="0" fontId="6" fillId="0" borderId="0" xfId="0" applyFont="1" applyAlignment="1">
      <alignment vertical="center"/>
    </xf>
    <xf numFmtId="164" fontId="0" fillId="0" borderId="0" xfId="0" applyNumberFormat="1" applyAlignment="1">
      <alignment horizontal="center" vertical="center"/>
    </xf>
    <xf numFmtId="0" fontId="0" fillId="0" borderId="3" xfId="0" quotePrefix="1" applyBorder="1" applyAlignment="1">
      <alignment horizontal="center" vertical="center"/>
    </xf>
    <xf numFmtId="0" fontId="1" fillId="0" borderId="3" xfId="0" quotePrefix="1" applyFont="1"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166" fontId="6" fillId="0" borderId="0" xfId="0" applyNumberFormat="1" applyFont="1" applyAlignment="1">
      <alignment horizontal="center" vertical="center"/>
    </xf>
    <xf numFmtId="164" fontId="0" fillId="4" borderId="2" xfId="0" quotePrefix="1" applyNumberFormat="1" applyFill="1" applyBorder="1" applyAlignment="1">
      <alignment horizontal="center"/>
    </xf>
    <xf numFmtId="164" fontId="0" fillId="4" borderId="2" xfId="0" applyNumberFormat="1" applyFill="1" applyBorder="1" applyAlignment="1">
      <alignment horizontal="center"/>
    </xf>
    <xf numFmtId="164" fontId="6" fillId="4" borderId="2" xfId="0" applyNumberFormat="1" applyFont="1" applyFill="1" applyBorder="1" applyAlignment="1">
      <alignment horizontal="center"/>
    </xf>
    <xf numFmtId="164" fontId="1" fillId="4" borderId="2" xfId="0" applyNumberFormat="1" applyFont="1" applyFill="1" applyBorder="1" applyAlignment="1">
      <alignment horizontal="center"/>
    </xf>
    <xf numFmtId="164" fontId="0" fillId="4" borderId="15" xfId="0" quotePrefix="1" applyNumberFormat="1" applyFill="1" applyBorder="1" applyAlignment="1">
      <alignment horizontal="center"/>
    </xf>
    <xf numFmtId="164" fontId="0" fillId="6" borderId="27" xfId="0" quotePrefix="1" applyNumberFormat="1" applyFill="1" applyBorder="1" applyAlignment="1">
      <alignment horizontal="center"/>
    </xf>
    <xf numFmtId="164" fontId="0" fillId="4" borderId="15" xfId="0" applyNumberFormat="1" applyFill="1" applyBorder="1" applyAlignment="1">
      <alignment horizontal="center"/>
    </xf>
    <xf numFmtId="164" fontId="0" fillId="6" borderId="25" xfId="0" applyNumberFormat="1" applyFill="1" applyBorder="1" applyAlignment="1">
      <alignment horizontal="center"/>
    </xf>
    <xf numFmtId="0" fontId="21" fillId="0" borderId="0" xfId="1"/>
    <xf numFmtId="0" fontId="0" fillId="0" borderId="0" xfId="0" applyAlignment="1">
      <alignment horizontal="left" vertical="top" wrapText="1"/>
    </xf>
    <xf numFmtId="0" fontId="23" fillId="0" borderId="0" xfId="3"/>
    <xf numFmtId="0" fontId="23" fillId="0" borderId="2" xfId="3" applyBorder="1"/>
    <xf numFmtId="0" fontId="24" fillId="0" borderId="2" xfId="3" applyFont="1" applyBorder="1"/>
    <xf numFmtId="0" fontId="24" fillId="0" borderId="3" xfId="3" applyFont="1" applyBorder="1"/>
    <xf numFmtId="0" fontId="25" fillId="0" borderId="2" xfId="3" applyFont="1" applyBorder="1"/>
    <xf numFmtId="0" fontId="26" fillId="0" borderId="0" xfId="3" applyFont="1"/>
    <xf numFmtId="0" fontId="24" fillId="10" borderId="2" xfId="3" applyFont="1" applyFill="1" applyBorder="1"/>
    <xf numFmtId="0" fontId="24" fillId="11" borderId="2" xfId="3" applyFont="1" applyFill="1" applyBorder="1"/>
    <xf numFmtId="0" fontId="24" fillId="0" borderId="0" xfId="3" applyFont="1"/>
    <xf numFmtId="164" fontId="24" fillId="10" borderId="2" xfId="3" applyNumberFormat="1" applyFont="1" applyFill="1" applyBorder="1"/>
    <xf numFmtId="169" fontId="24" fillId="0" borderId="0" xfId="3" applyNumberFormat="1" applyFont="1"/>
    <xf numFmtId="0" fontId="23" fillId="0" borderId="2" xfId="3" applyBorder="1" applyAlignment="1">
      <alignment horizontal="center"/>
    </xf>
    <xf numFmtId="0" fontId="34" fillId="0" borderId="2" xfId="3" applyFont="1" applyBorder="1" applyAlignment="1">
      <alignment horizontal="center"/>
    </xf>
    <xf numFmtId="0" fontId="34" fillId="0" borderId="0" xfId="3" applyFont="1" applyAlignment="1">
      <alignment horizontal="center"/>
    </xf>
    <xf numFmtId="0" fontId="23" fillId="0" borderId="4" xfId="3" applyBorder="1"/>
    <xf numFmtId="0" fontId="24" fillId="0" borderId="0" xfId="3" applyFont="1" applyAlignment="1">
      <alignment horizontal="center"/>
    </xf>
    <xf numFmtId="0" fontId="35" fillId="0" borderId="0" xfId="3" applyFont="1"/>
    <xf numFmtId="0" fontId="36" fillId="0" borderId="2" xfId="3" applyFont="1" applyBorder="1"/>
    <xf numFmtId="0" fontId="24" fillId="0" borderId="20" xfId="3" applyFont="1" applyBorder="1"/>
    <xf numFmtId="0" fontId="24" fillId="10" borderId="3" xfId="3" applyFont="1" applyFill="1" applyBorder="1"/>
    <xf numFmtId="170" fontId="34" fillId="8" borderId="0" xfId="3" applyNumberFormat="1" applyFont="1" applyFill="1"/>
    <xf numFmtId="0" fontId="23" fillId="0" borderId="15" xfId="3" applyBorder="1"/>
    <xf numFmtId="0" fontId="34" fillId="0" borderId="0" xfId="3" applyFont="1"/>
    <xf numFmtId="0" fontId="23" fillId="0" borderId="0" xfId="3" applyAlignment="1">
      <alignment horizontal="right"/>
    </xf>
    <xf numFmtId="0" fontId="37" fillId="0" borderId="0" xfId="3" applyFont="1"/>
    <xf numFmtId="0" fontId="25" fillId="0" borderId="0" xfId="3" applyFont="1"/>
    <xf numFmtId="0" fontId="23" fillId="0" borderId="0" xfId="3" applyAlignment="1">
      <alignment wrapText="1"/>
    </xf>
    <xf numFmtId="0" fontId="23" fillId="0" borderId="0" xfId="3" applyAlignment="1">
      <alignment horizontal="center" wrapText="1"/>
    </xf>
    <xf numFmtId="0" fontId="24" fillId="0" borderId="0" xfId="3" applyFont="1" applyAlignment="1">
      <alignment horizontal="center" wrapText="1"/>
    </xf>
    <xf numFmtId="0" fontId="37" fillId="0" borderId="0" xfId="3" applyFont="1" applyAlignment="1">
      <alignment wrapText="1"/>
    </xf>
    <xf numFmtId="0" fontId="23" fillId="10" borderId="0" xfId="3" applyFill="1"/>
    <xf numFmtId="2" fontId="2" fillId="0" borderId="0" xfId="0" applyNumberFormat="1" applyFont="1" applyAlignment="1">
      <alignment horizontal="left" vertical="center"/>
    </xf>
    <xf numFmtId="16" fontId="23" fillId="12" borderId="2" xfId="3" applyNumberFormat="1" applyFill="1" applyBorder="1" applyAlignment="1">
      <alignment horizontal="right"/>
    </xf>
    <xf numFmtId="0" fontId="23" fillId="12" borderId="2" xfId="3" applyFill="1" applyBorder="1"/>
    <xf numFmtId="16" fontId="23" fillId="12" borderId="2" xfId="3" applyNumberFormat="1" applyFill="1" applyBorder="1"/>
    <xf numFmtId="0" fontId="23" fillId="2" borderId="2" xfId="3" applyFill="1" applyBorder="1"/>
    <xf numFmtId="0" fontId="23" fillId="13" borderId="2" xfId="3" applyFill="1" applyBorder="1"/>
    <xf numFmtId="168" fontId="0" fillId="13" borderId="2" xfId="4" applyNumberFormat="1" applyFont="1" applyFill="1" applyBorder="1"/>
    <xf numFmtId="0" fontId="23" fillId="4" borderId="2" xfId="3" applyFill="1" applyBorder="1"/>
    <xf numFmtId="0" fontId="23" fillId="13" borderId="12" xfId="3" applyFill="1" applyBorder="1"/>
    <xf numFmtId="0" fontId="23" fillId="12" borderId="12" xfId="3" applyFill="1" applyBorder="1"/>
    <xf numFmtId="2" fontId="30" fillId="14" borderId="2" xfId="3" applyNumberFormat="1" applyFont="1" applyFill="1" applyBorder="1"/>
    <xf numFmtId="0" fontId="23" fillId="7" borderId="2" xfId="3" applyFill="1" applyBorder="1"/>
    <xf numFmtId="0" fontId="23" fillId="15" borderId="2" xfId="3" applyFill="1" applyBorder="1"/>
    <xf numFmtId="0" fontId="22" fillId="4" borderId="2" xfId="2" applyFill="1" applyBorder="1"/>
    <xf numFmtId="0" fontId="22" fillId="0" borderId="0" xfId="2" applyFill="1" applyBorder="1"/>
    <xf numFmtId="0" fontId="23" fillId="16" borderId="2" xfId="3" applyFill="1" applyBorder="1"/>
    <xf numFmtId="0" fontId="24" fillId="7" borderId="2" xfId="3" applyFont="1" applyFill="1" applyBorder="1"/>
    <xf numFmtId="0" fontId="24" fillId="14" borderId="2" xfId="3" applyFont="1" applyFill="1" applyBorder="1"/>
    <xf numFmtId="0" fontId="23" fillId="15" borderId="15" xfId="3" applyFill="1" applyBorder="1"/>
    <xf numFmtId="0" fontId="40" fillId="0" borderId="0" xfId="0" applyFont="1"/>
    <xf numFmtId="0" fontId="40" fillId="0" borderId="0" xfId="0" applyFont="1" applyAlignment="1">
      <alignment horizontal="left" vertical="top" wrapText="1"/>
    </xf>
    <xf numFmtId="164" fontId="0" fillId="0" borderId="34" xfId="0" applyNumberFormat="1" applyBorder="1" applyAlignment="1">
      <alignment horizontal="center"/>
    </xf>
    <xf numFmtId="164" fontId="0" fillId="0" borderId="50" xfId="0" applyNumberFormat="1" applyBorder="1" applyAlignment="1">
      <alignment horizontal="center"/>
    </xf>
    <xf numFmtId="164" fontId="1" fillId="0" borderId="2" xfId="0" applyNumberFormat="1" applyFont="1" applyBorder="1" applyAlignment="1">
      <alignment horizontal="center"/>
    </xf>
    <xf numFmtId="164" fontId="1" fillId="0" borderId="5" xfId="0" applyNumberFormat="1" applyFont="1" applyBorder="1" applyAlignment="1">
      <alignment horizontal="center"/>
    </xf>
    <xf numFmtId="0" fontId="1" fillId="0" borderId="43" xfId="0" quotePrefix="1" applyFont="1" applyBorder="1" applyAlignment="1">
      <alignment horizontal="center"/>
    </xf>
    <xf numFmtId="0" fontId="0" fillId="0" borderId="31" xfId="0" applyBorder="1"/>
    <xf numFmtId="0" fontId="6" fillId="0" borderId="31" xfId="0" applyFont="1" applyBorder="1"/>
    <xf numFmtId="49" fontId="42" fillId="0" borderId="0" xfId="0" applyNumberFormat="1" applyFont="1"/>
    <xf numFmtId="0" fontId="46" fillId="8" borderId="0" xfId="0" applyFont="1" applyFill="1" applyAlignment="1">
      <alignment horizontal="left"/>
    </xf>
    <xf numFmtId="0" fontId="0" fillId="8" borderId="0" xfId="0" applyFill="1"/>
    <xf numFmtId="0" fontId="3" fillId="8" borderId="0" xfId="0" applyFont="1" applyFill="1" applyAlignment="1">
      <alignment horizontal="center"/>
    </xf>
    <xf numFmtId="0" fontId="36" fillId="0" borderId="0" xfId="3" applyFont="1"/>
    <xf numFmtId="0" fontId="23" fillId="2" borderId="0" xfId="3" applyFill="1"/>
    <xf numFmtId="0" fontId="38" fillId="0" borderId="0" xfId="3" applyFont="1"/>
    <xf numFmtId="0" fontId="47" fillId="0" borderId="0" xfId="3" applyFont="1"/>
    <xf numFmtId="0" fontId="48" fillId="0" borderId="0" xfId="3" applyFont="1"/>
    <xf numFmtId="0" fontId="23" fillId="0" borderId="11" xfId="3" applyBorder="1"/>
    <xf numFmtId="0" fontId="3" fillId="0" borderId="0" xfId="0" quotePrefix="1" applyFont="1" applyAlignment="1">
      <alignment horizontal="center"/>
    </xf>
    <xf numFmtId="0" fontId="3" fillId="0" borderId="0" xfId="0" quotePrefix="1" applyFont="1" applyAlignment="1">
      <alignment horizontal="center" vertical="top"/>
    </xf>
    <xf numFmtId="164" fontId="0" fillId="0" borderId="2" xfId="0" applyNumberFormat="1" applyBorder="1"/>
    <xf numFmtId="164" fontId="0" fillId="0" borderId="0" xfId="0" applyNumberFormat="1"/>
    <xf numFmtId="0" fontId="46" fillId="0" borderId="0" xfId="0" applyFont="1" applyAlignment="1">
      <alignment horizontal="left"/>
    </xf>
    <xf numFmtId="0" fontId="23" fillId="0" borderId="52" xfId="3" applyBorder="1"/>
    <xf numFmtId="0" fontId="23" fillId="0" borderId="14" xfId="3" applyBorder="1"/>
    <xf numFmtId="0" fontId="23" fillId="0" borderId="53" xfId="3" applyBorder="1"/>
    <xf numFmtId="0" fontId="23" fillId="0" borderId="54" xfId="3" applyBorder="1"/>
    <xf numFmtId="0" fontId="23" fillId="0" borderId="55" xfId="3" applyBorder="1"/>
    <xf numFmtId="0" fontId="23" fillId="0" borderId="56" xfId="3" applyBorder="1"/>
    <xf numFmtId="0" fontId="23" fillId="0" borderId="51" xfId="3" applyBorder="1"/>
    <xf numFmtId="0" fontId="23" fillId="0" borderId="57" xfId="3" applyBorder="1"/>
    <xf numFmtId="0" fontId="23" fillId="0" borderId="0" xfId="3" applyAlignment="1">
      <alignment vertical="center" wrapText="1"/>
    </xf>
    <xf numFmtId="0" fontId="23" fillId="0" borderId="0" xfId="3" applyAlignment="1">
      <alignment vertical="center"/>
    </xf>
    <xf numFmtId="0" fontId="3" fillId="0" borderId="0" xfId="3" applyFont="1"/>
    <xf numFmtId="0" fontId="23" fillId="0" borderId="0" xfId="3" applyAlignment="1">
      <alignment vertical="top" wrapText="1"/>
    </xf>
    <xf numFmtId="0" fontId="3" fillId="0" borderId="0" xfId="3" applyFont="1" applyAlignment="1">
      <alignment vertical="center"/>
    </xf>
    <xf numFmtId="0" fontId="23" fillId="0" borderId="0" xfId="3" quotePrefix="1"/>
    <xf numFmtId="14" fontId="23" fillId="0" borderId="0" xfId="3" quotePrefix="1" applyNumberFormat="1" applyAlignment="1">
      <alignment vertical="center"/>
    </xf>
    <xf numFmtId="0" fontId="23" fillId="0" borderId="0" xfId="3"/>
    <xf numFmtId="0" fontId="23" fillId="0" borderId="0" xfId="3" applyAlignment="1">
      <alignment vertical="center" wrapText="1"/>
    </xf>
    <xf numFmtId="0" fontId="49" fillId="0" borderId="0" xfId="3" applyFont="1" applyAlignment="1">
      <alignment horizontal="center"/>
    </xf>
    <xf numFmtId="0" fontId="50" fillId="0" borderId="54" xfId="3" applyFont="1" applyBorder="1" applyAlignment="1">
      <alignment horizontal="center" vertical="center" wrapText="1"/>
    </xf>
    <xf numFmtId="0" fontId="50" fillId="0" borderId="0" xfId="3" applyFont="1" applyAlignment="1">
      <alignment vertical="center" wrapText="1"/>
    </xf>
    <xf numFmtId="0" fontId="50" fillId="0" borderId="55" xfId="3" applyFont="1" applyBorder="1" applyAlignment="1">
      <alignment vertical="center" wrapText="1"/>
    </xf>
    <xf numFmtId="0" fontId="23" fillId="0" borderId="0" xfId="3" applyAlignment="1">
      <alignment horizontal="center" wrapText="1"/>
    </xf>
    <xf numFmtId="0" fontId="3" fillId="0" borderId="0" xfId="3" applyFont="1" applyAlignment="1">
      <alignment vertical="center" wrapText="1"/>
    </xf>
    <xf numFmtId="0" fontId="3" fillId="0" borderId="0" xfId="0" applyFont="1" applyAlignment="1">
      <alignment horizontal="left" vertical="center" wrapText="1"/>
    </xf>
    <xf numFmtId="0" fontId="0" fillId="0" borderId="0" xfId="0" applyAlignment="1">
      <alignment horizontal="left" vertical="top" wrapText="1"/>
    </xf>
    <xf numFmtId="0" fontId="1" fillId="0" borderId="0" xfId="0" applyFont="1" applyAlignment="1">
      <alignment horizontal="left" vertical="top" wrapText="1"/>
    </xf>
    <xf numFmtId="0" fontId="40" fillId="0" borderId="0" xfId="0" applyFont="1" applyAlignment="1">
      <alignment horizontal="left" vertical="top" wrapText="1"/>
    </xf>
    <xf numFmtId="0" fontId="0" fillId="0" borderId="43" xfId="0" applyBorder="1" applyAlignment="1">
      <alignment horizontal="left" wrapText="1"/>
    </xf>
    <xf numFmtId="0" fontId="0" fillId="0" borderId="20" xfId="0" applyBorder="1" applyAlignment="1">
      <alignment horizontal="left" wrapText="1"/>
    </xf>
    <xf numFmtId="0" fontId="1" fillId="0" borderId="20" xfId="0" applyFont="1" applyBorder="1" applyAlignment="1">
      <alignment horizontal="left" wrapText="1"/>
    </xf>
    <xf numFmtId="0" fontId="0" fillId="0" borderId="10" xfId="0" applyBorder="1" applyAlignment="1">
      <alignment horizontal="left" wrapText="1"/>
    </xf>
    <xf numFmtId="0" fontId="0" fillId="0" borderId="42" xfId="0" applyBorder="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7" xfId="0" applyBorder="1" applyAlignment="1">
      <alignment horizontal="left" wrapText="1"/>
    </xf>
    <xf numFmtId="17" fontId="40" fillId="0" borderId="42" xfId="0" applyNumberFormat="1" applyFont="1" applyBorder="1" applyAlignment="1">
      <alignment horizontal="left" wrapText="1"/>
    </xf>
    <xf numFmtId="0" fontId="40" fillId="0" borderId="0" xfId="0" applyFont="1" applyAlignment="1">
      <alignment horizontal="left" wrapText="1"/>
    </xf>
    <xf numFmtId="0" fontId="41" fillId="0" borderId="0" xfId="1" applyFont="1" applyBorder="1" applyAlignment="1">
      <alignment horizontal="left" wrapText="1"/>
    </xf>
    <xf numFmtId="0" fontId="40" fillId="0" borderId="7" xfId="0" applyFont="1" applyBorder="1" applyAlignment="1">
      <alignment horizontal="left" wrapText="1"/>
    </xf>
    <xf numFmtId="0" fontId="1" fillId="0" borderId="42" xfId="0" applyFont="1" applyBorder="1" applyAlignment="1">
      <alignment horizontal="left" wrapText="1"/>
    </xf>
    <xf numFmtId="0" fontId="3" fillId="0" borderId="0" xfId="0" applyFont="1" applyAlignment="1">
      <alignment horizontal="center"/>
    </xf>
    <xf numFmtId="0" fontId="1" fillId="0" borderId="0" xfId="0" applyFont="1" applyAlignment="1">
      <alignment horizontal="center"/>
    </xf>
    <xf numFmtId="0" fontId="1" fillId="0" borderId="16" xfId="0" applyFont="1" applyBorder="1" applyAlignment="1">
      <alignment horizontal="left" wrapText="1"/>
    </xf>
    <xf numFmtId="0" fontId="0" fillId="0" borderId="11" xfId="0" applyBorder="1" applyAlignment="1">
      <alignment horizontal="left" wrapText="1"/>
    </xf>
    <xf numFmtId="0" fontId="1" fillId="0" borderId="11" xfId="0" applyFont="1" applyBorder="1" applyAlignment="1">
      <alignment horizontal="left" wrapText="1"/>
    </xf>
    <xf numFmtId="0" fontId="0" fillId="0" borderId="8" xfId="0" applyBorder="1" applyAlignment="1">
      <alignment horizontal="left" wrapText="1"/>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12" xfId="0" applyBorder="1" applyAlignment="1">
      <alignment horizontal="center" vertical="center"/>
    </xf>
    <xf numFmtId="0" fontId="0" fillId="0" borderId="2" xfId="0" applyBorder="1" applyAlignment="1">
      <alignment horizontal="center" vertical="center"/>
    </xf>
    <xf numFmtId="0" fontId="6" fillId="0" borderId="32" xfId="0" applyFont="1" applyBorder="1" applyAlignment="1">
      <alignment horizontal="center" vertical="center"/>
    </xf>
    <xf numFmtId="0" fontId="0" fillId="0" borderId="13" xfId="0" applyBorder="1" applyAlignment="1">
      <alignment horizontal="center" vertical="center"/>
    </xf>
    <xf numFmtId="0" fontId="6" fillId="0" borderId="12" xfId="0" applyFont="1" applyBorder="1" applyAlignment="1">
      <alignment horizontal="center" vertical="center"/>
    </xf>
    <xf numFmtId="0" fontId="0" fillId="0" borderId="29" xfId="0" applyBorder="1" applyAlignment="1">
      <alignment horizontal="center" vertical="center"/>
    </xf>
    <xf numFmtId="0" fontId="2" fillId="0" borderId="30" xfId="0" applyFont="1" applyBorder="1" applyAlignment="1">
      <alignment vertical="center" wrapText="1"/>
    </xf>
    <xf numFmtId="0" fontId="0" fillId="0" borderId="30" xfId="0" applyBorder="1"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9" xfId="0" applyFont="1" applyBorder="1" applyAlignment="1">
      <alignment horizontal="center" vertical="center"/>
    </xf>
    <xf numFmtId="0" fontId="3" fillId="0" borderId="2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0" fillId="0" borderId="11" xfId="0" applyBorder="1" applyAlignment="1">
      <alignment horizontal="center" vertical="center"/>
    </xf>
    <xf numFmtId="2" fontId="0" fillId="7" borderId="6" xfId="0" applyNumberFormat="1" applyFill="1" applyBorder="1" applyAlignment="1">
      <alignment horizontal="center" vertical="center"/>
    </xf>
    <xf numFmtId="0" fontId="0" fillId="7" borderId="32" xfId="0" applyFill="1" applyBorder="1" applyAlignment="1">
      <alignment horizontal="center" vertical="center"/>
    </xf>
    <xf numFmtId="0" fontId="4" fillId="7" borderId="2" xfId="0" applyFont="1" applyFill="1" applyBorder="1" applyAlignment="1">
      <alignment horizontal="center" vertical="center"/>
    </xf>
    <xf numFmtId="0" fontId="0" fillId="7" borderId="4" xfId="0" applyFill="1" applyBorder="1" applyAlignment="1">
      <alignment vertical="center"/>
    </xf>
    <xf numFmtId="0" fontId="1" fillId="7" borderId="2" xfId="0" quotePrefix="1" applyFont="1" applyFill="1" applyBorder="1" applyAlignment="1">
      <alignment horizontal="center" vertical="center" wrapText="1"/>
    </xf>
    <xf numFmtId="0" fontId="0" fillId="2" borderId="4" xfId="0" applyFill="1" applyBorder="1" applyAlignment="1">
      <alignment horizontal="center" vertical="center"/>
    </xf>
    <xf numFmtId="0" fontId="0" fillId="2" borderId="29" xfId="0" applyFill="1" applyBorder="1" applyAlignment="1">
      <alignment vertical="center"/>
    </xf>
    <xf numFmtId="0" fontId="3" fillId="7" borderId="33" xfId="0" applyFont="1" applyFill="1" applyBorder="1" applyAlignment="1">
      <alignment horizontal="center" vertical="center"/>
    </xf>
    <xf numFmtId="0" fontId="0" fillId="7" borderId="33" xfId="0" applyFill="1" applyBorder="1" applyAlignment="1">
      <alignment horizontal="center" vertical="center"/>
    </xf>
    <xf numFmtId="0" fontId="0" fillId="7" borderId="1" xfId="0" quotePrefix="1" applyFill="1" applyBorder="1" applyAlignment="1">
      <alignment horizontal="center" vertical="center"/>
    </xf>
    <xf numFmtId="0" fontId="0" fillId="7" borderId="18" xfId="0" applyFill="1" applyBorder="1" applyAlignment="1">
      <alignment vertical="center"/>
    </xf>
    <xf numFmtId="0" fontId="0" fillId="7" borderId="8" xfId="0" applyFill="1" applyBorder="1" applyAlignment="1">
      <alignment horizontal="center" vertical="center" wrapText="1"/>
    </xf>
    <xf numFmtId="0" fontId="0" fillId="7" borderId="15" xfId="0" applyFill="1" applyBorder="1" applyAlignment="1">
      <alignment vertical="center" wrapText="1"/>
    </xf>
    <xf numFmtId="0" fontId="0" fillId="7" borderId="10" xfId="0" applyFill="1" applyBorder="1" applyAlignment="1">
      <alignment vertical="center" wrapText="1"/>
    </xf>
    <xf numFmtId="0" fontId="0" fillId="7" borderId="3" xfId="0" applyFill="1" applyBorder="1" applyAlignment="1">
      <alignment vertical="center" wrapText="1"/>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vertical="center" wrapText="1"/>
    </xf>
    <xf numFmtId="0" fontId="0" fillId="7" borderId="43" xfId="0" applyFill="1" applyBorder="1" applyAlignment="1">
      <alignment vertical="center" wrapText="1"/>
    </xf>
    <xf numFmtId="0" fontId="1" fillId="0" borderId="29" xfId="0" applyFont="1" applyBorder="1" applyAlignment="1">
      <alignment vertical="center"/>
    </xf>
    <xf numFmtId="0" fontId="0" fillId="0" borderId="29" xfId="0" applyBorder="1" applyAlignment="1">
      <alignment vertical="center"/>
    </xf>
    <xf numFmtId="0" fontId="0" fillId="0" borderId="12" xfId="0" applyBorder="1" applyAlignment="1">
      <alignment vertical="center"/>
    </xf>
    <xf numFmtId="0" fontId="6" fillId="0" borderId="4" xfId="0"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2" fontId="0" fillId="0" borderId="40" xfId="0" applyNumberFormat="1" applyBorder="1" applyAlignment="1">
      <alignment horizontal="center" vertical="center"/>
    </xf>
    <xf numFmtId="2" fontId="0" fillId="0" borderId="39" xfId="0" applyNumberFormat="1" applyBorder="1" applyAlignment="1">
      <alignment vertical="center"/>
    </xf>
    <xf numFmtId="0" fontId="1" fillId="7" borderId="12" xfId="0" applyFont="1" applyFill="1" applyBorder="1" applyAlignment="1">
      <alignment horizontal="center" vertical="center"/>
    </xf>
    <xf numFmtId="0" fontId="0" fillId="7" borderId="2" xfId="0" applyFill="1" applyBorder="1" applyAlignment="1">
      <alignment horizontal="center" vertical="center"/>
    </xf>
    <xf numFmtId="0" fontId="1" fillId="7" borderId="2" xfId="0" applyFont="1" applyFill="1" applyBorder="1" applyAlignment="1">
      <alignment horizontal="center" vertical="center"/>
    </xf>
    <xf numFmtId="0" fontId="0" fillId="7" borderId="2" xfId="0" applyFill="1" applyBorder="1" applyAlignment="1">
      <alignment vertical="center"/>
    </xf>
    <xf numFmtId="2" fontId="0" fillId="7" borderId="13" xfId="0" applyNumberFormat="1" applyFill="1" applyBorder="1" applyAlignment="1">
      <alignment horizontal="center" vertical="center"/>
    </xf>
    <xf numFmtId="0" fontId="0" fillId="7" borderId="32" xfId="0" applyFill="1" applyBorder="1" applyAlignment="1">
      <alignment vertical="center"/>
    </xf>
    <xf numFmtId="0" fontId="0" fillId="7" borderId="13" xfId="0" applyFill="1" applyBorder="1" applyAlignment="1">
      <alignment vertical="center"/>
    </xf>
    <xf numFmtId="2" fontId="0" fillId="7" borderId="32" xfId="0" applyNumberFormat="1" applyFill="1" applyBorder="1" applyAlignment="1">
      <alignment horizontal="center" vertical="center"/>
    </xf>
    <xf numFmtId="2" fontId="1" fillId="7" borderId="16" xfId="0" quotePrefix="1" applyNumberFormat="1" applyFont="1" applyFill="1" applyBorder="1" applyAlignment="1">
      <alignment horizontal="center" vertical="center"/>
    </xf>
    <xf numFmtId="0" fontId="0" fillId="7" borderId="8"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164" fontId="0" fillId="7" borderId="4" xfId="0" applyNumberFormat="1" applyFill="1" applyBorder="1" applyAlignment="1">
      <alignment horizontal="center" vertical="center"/>
    </xf>
    <xf numFmtId="164" fontId="0" fillId="7" borderId="12" xfId="0" applyNumberFormat="1" applyFill="1" applyBorder="1" applyAlignment="1">
      <alignment horizontal="center" vertical="center"/>
    </xf>
    <xf numFmtId="2" fontId="1" fillId="0" borderId="16" xfId="0" quotePrefix="1" applyNumberFormat="1" applyFont="1"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64" fontId="0" fillId="0" borderId="4" xfId="0" applyNumberFormat="1" applyBorder="1" applyAlignment="1">
      <alignment horizontal="center" vertical="center"/>
    </xf>
    <xf numFmtId="164" fontId="0" fillId="0" borderId="12" xfId="0" applyNumberFormat="1" applyBorder="1" applyAlignment="1">
      <alignment horizontal="center" vertical="center"/>
    </xf>
    <xf numFmtId="0" fontId="1" fillId="0" borderId="2" xfId="0" applyFont="1" applyBorder="1" applyAlignment="1">
      <alignment horizontal="center" vertical="center"/>
    </xf>
    <xf numFmtId="2" fontId="0" fillId="0" borderId="4" xfId="0" applyNumberFormat="1" applyBorder="1" applyAlignment="1">
      <alignment horizontal="center" vertical="center"/>
    </xf>
    <xf numFmtId="2" fontId="0" fillId="0" borderId="12" xfId="0" applyNumberFormat="1" applyBorder="1" applyAlignment="1">
      <alignment horizontal="center" vertical="center"/>
    </xf>
    <xf numFmtId="164" fontId="0" fillId="7" borderId="29" xfId="0" applyNumberFormat="1" applyFill="1" applyBorder="1" applyAlignment="1">
      <alignment horizontal="center" vertical="center"/>
    </xf>
    <xf numFmtId="2" fontId="1" fillId="7" borderId="2" xfId="0" applyNumberFormat="1" applyFont="1" applyFill="1" applyBorder="1" applyAlignment="1">
      <alignment horizontal="center" vertical="center"/>
    </xf>
    <xf numFmtId="0" fontId="0" fillId="7" borderId="4" xfId="0" applyFill="1" applyBorder="1" applyAlignment="1">
      <alignment horizontal="center" vertical="center"/>
    </xf>
    <xf numFmtId="0" fontId="3" fillId="7" borderId="2" xfId="0" applyFont="1" applyFill="1" applyBorder="1" applyAlignment="1">
      <alignment horizontal="center" vertical="center" wrapText="1"/>
    </xf>
    <xf numFmtId="0" fontId="0" fillId="7" borderId="4" xfId="0" applyFill="1" applyBorder="1" applyAlignment="1">
      <alignment vertical="center" wrapText="1"/>
    </xf>
    <xf numFmtId="0" fontId="0" fillId="7" borderId="2" xfId="0" applyFill="1" applyBorder="1" applyAlignment="1">
      <alignment vertical="center" wrapText="1"/>
    </xf>
    <xf numFmtId="0" fontId="3" fillId="0" borderId="33" xfId="0"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0" fillId="0" borderId="21" xfId="0" quotePrefix="1" applyBorder="1" applyAlignment="1">
      <alignment horizontal="center" vertical="center"/>
    </xf>
    <xf numFmtId="0" fontId="0" fillId="0" borderId="1" xfId="0" applyBorder="1" applyAlignment="1">
      <alignment vertical="center"/>
    </xf>
    <xf numFmtId="0" fontId="1" fillId="0" borderId="1" xfId="0" quotePrefix="1" applyFont="1" applyBorder="1" applyAlignment="1">
      <alignment horizontal="center" vertical="center"/>
    </xf>
    <xf numFmtId="0" fontId="0" fillId="7" borderId="1" xfId="0" applyFill="1" applyBorder="1" applyAlignment="1">
      <alignment vertical="center"/>
    </xf>
    <xf numFmtId="0" fontId="0" fillId="0" borderId="1" xfId="0" quotePrefix="1" applyBorder="1" applyAlignment="1">
      <alignment horizontal="center" vertical="center"/>
    </xf>
    <xf numFmtId="0" fontId="3" fillId="0" borderId="12" xfId="0" applyFont="1" applyBorder="1" applyAlignment="1">
      <alignment horizontal="center" vertical="center" wrapText="1"/>
    </xf>
    <xf numFmtId="0" fontId="0" fillId="0" borderId="2" xfId="0" applyBorder="1" applyAlignment="1">
      <alignment vertical="center"/>
    </xf>
    <xf numFmtId="2"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12" xfId="0" applyFont="1" applyBorder="1" applyAlignment="1">
      <alignment vertical="center"/>
    </xf>
    <xf numFmtId="2" fontId="1" fillId="0" borderId="12" xfId="0" applyNumberFormat="1" applyFont="1" applyBorder="1" applyAlignment="1">
      <alignment horizontal="left" vertical="center"/>
    </xf>
    <xf numFmtId="164" fontId="0" fillId="0" borderId="29" xfId="0" applyNumberFormat="1" applyBorder="1" applyAlignment="1">
      <alignment horizontal="center" vertical="center"/>
    </xf>
    <xf numFmtId="0" fontId="1" fillId="0" borderId="12" xfId="0" applyFont="1" applyBorder="1" applyAlignment="1">
      <alignment horizontal="left" vertical="center"/>
    </xf>
    <xf numFmtId="166" fontId="0" fillId="0" borderId="2" xfId="0" applyNumberFormat="1" applyBorder="1" applyAlignment="1">
      <alignment horizontal="center" vertical="center"/>
    </xf>
    <xf numFmtId="166" fontId="0" fillId="0" borderId="4" xfId="0" applyNumberFormat="1" applyBorder="1" applyAlignment="1">
      <alignment horizontal="center" vertical="center"/>
    </xf>
    <xf numFmtId="0" fontId="3" fillId="0" borderId="4" xfId="0" applyFont="1" applyBorder="1" applyAlignment="1">
      <alignment horizontal="center" vertical="center"/>
    </xf>
    <xf numFmtId="164" fontId="3" fillId="0" borderId="2" xfId="0" applyNumberFormat="1" applyFont="1" applyBorder="1" applyAlignment="1">
      <alignment horizontal="center" vertical="center"/>
    </xf>
    <xf numFmtId="0" fontId="0" fillId="0" borderId="13" xfId="0" applyBorder="1" applyAlignment="1">
      <alignment horizontal="left" vertical="center"/>
    </xf>
    <xf numFmtId="0" fontId="0" fillId="0" borderId="5" xfId="0" applyBorder="1" applyAlignment="1">
      <alignment horizontal="left" vertical="center"/>
    </xf>
    <xf numFmtId="166" fontId="0" fillId="7" borderId="5" xfId="0" applyNumberFormat="1" applyFill="1" applyBorder="1" applyAlignment="1">
      <alignment horizontal="center" vertical="center"/>
    </xf>
    <xf numFmtId="164" fontId="0" fillId="7" borderId="2" xfId="0" applyNumberFormat="1" applyFill="1" applyBorder="1" applyAlignment="1">
      <alignment horizontal="center"/>
    </xf>
    <xf numFmtId="0" fontId="1" fillId="0" borderId="35" xfId="0" applyFont="1" applyBorder="1" applyAlignment="1">
      <alignment horizontal="left" vertical="center"/>
    </xf>
    <xf numFmtId="0" fontId="0" fillId="0" borderId="46" xfId="0" applyBorder="1" applyAlignment="1">
      <alignment horizontal="left" vertical="center"/>
    </xf>
    <xf numFmtId="2" fontId="2" fillId="0" borderId="0" xfId="0" applyNumberFormat="1" applyFont="1" applyAlignment="1">
      <alignment vertical="center"/>
    </xf>
    <xf numFmtId="164" fontId="1" fillId="7" borderId="5" xfId="0" applyNumberFormat="1" applyFont="1" applyFill="1" applyBorder="1" applyAlignment="1">
      <alignment horizontal="center"/>
    </xf>
    <xf numFmtId="164" fontId="0" fillId="7" borderId="5" xfId="0" applyNumberFormat="1" applyFill="1" applyBorder="1" applyAlignment="1">
      <alignment horizontal="center"/>
    </xf>
    <xf numFmtId="2" fontId="2" fillId="0" borderId="30" xfId="0" applyNumberFormat="1" applyFont="1" applyBorder="1" applyAlignment="1">
      <alignment horizontal="left" vertical="center"/>
    </xf>
    <xf numFmtId="0" fontId="0" fillId="0" borderId="30" xfId="0" applyBorder="1" applyAlignment="1">
      <alignment horizontal="left" vertical="center"/>
    </xf>
    <xf numFmtId="2" fontId="1" fillId="0" borderId="13" xfId="0" applyNumberFormat="1" applyFont="1" applyBorder="1" applyAlignment="1">
      <alignment horizontal="left" vertical="center"/>
    </xf>
    <xf numFmtId="0" fontId="0" fillId="0" borderId="5" xfId="0" applyBorder="1" applyAlignment="1">
      <alignment vertical="center"/>
    </xf>
    <xf numFmtId="166" fontId="0" fillId="7" borderId="2" xfId="0" applyNumberFormat="1" applyFill="1" applyBorder="1" applyAlignment="1">
      <alignment horizontal="center" vertical="center"/>
    </xf>
    <xf numFmtId="0" fontId="0" fillId="0" borderId="21" xfId="0" quotePrefix="1" applyBorder="1" applyAlignment="1">
      <alignment horizontal="center"/>
    </xf>
    <xf numFmtId="0" fontId="0" fillId="0" borderId="1" xfId="0" applyBorder="1"/>
    <xf numFmtId="0" fontId="3" fillId="0" borderId="12" xfId="0" applyFont="1" applyBorder="1" applyAlignment="1">
      <alignment vertical="center" wrapText="1"/>
    </xf>
    <xf numFmtId="0" fontId="0" fillId="0" borderId="12" xfId="0" applyBorder="1" applyAlignment="1">
      <alignment vertical="center" wrapText="1"/>
    </xf>
    <xf numFmtId="0" fontId="1" fillId="0" borderId="12" xfId="0" applyFont="1" applyBorder="1"/>
    <xf numFmtId="0" fontId="1" fillId="0" borderId="2" xfId="0" applyFont="1" applyBorder="1"/>
    <xf numFmtId="0" fontId="1" fillId="7" borderId="1" xfId="0" quotePrefix="1" applyFont="1" applyFill="1" applyBorder="1" applyAlignment="1">
      <alignment horizontal="center"/>
    </xf>
    <xf numFmtId="0" fontId="1" fillId="7" borderId="18" xfId="0" quotePrefix="1" applyFont="1" applyFill="1" applyBorder="1" applyAlignment="1">
      <alignment horizontal="center"/>
    </xf>
    <xf numFmtId="0" fontId="3" fillId="7" borderId="4"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2" xfId="0" applyFill="1" applyBorder="1" applyAlignment="1">
      <alignment horizontal="center" vertical="center" wrapText="1"/>
    </xf>
    <xf numFmtId="164" fontId="0" fillId="7" borderId="4" xfId="0" applyNumberFormat="1" applyFill="1" applyBorder="1" applyAlignment="1">
      <alignment horizontal="center"/>
    </xf>
    <xf numFmtId="164" fontId="0" fillId="7" borderId="29" xfId="0" applyNumberFormat="1" applyFill="1" applyBorder="1" applyAlignment="1">
      <alignment horizontal="center"/>
    </xf>
    <xf numFmtId="2" fontId="0" fillId="0" borderId="2" xfId="0" applyNumberFormat="1" applyBorder="1" applyAlignment="1">
      <alignment horizontal="center" vertical="center"/>
    </xf>
    <xf numFmtId="2" fontId="1" fillId="0" borderId="2" xfId="0" applyNumberFormat="1" applyFont="1" applyBorder="1" applyAlignment="1">
      <alignment horizontal="center" vertical="center"/>
    </xf>
    <xf numFmtId="0" fontId="1" fillId="0" borderId="2" xfId="0" quotePrefix="1" applyFont="1"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quotePrefix="1" applyFont="1" applyBorder="1" applyAlignment="1">
      <alignment horizontal="center" vertical="center" wrapText="1"/>
    </xf>
    <xf numFmtId="0" fontId="0" fillId="0" borderId="2" xfId="0" quotePrefix="1" applyBorder="1" applyAlignment="1">
      <alignment horizontal="center" vertical="center" wrapText="1"/>
    </xf>
    <xf numFmtId="2" fontId="1" fillId="0" borderId="2" xfId="0" quotePrefix="1" applyNumberFormat="1" applyFont="1" applyBorder="1" applyAlignment="1">
      <alignment horizontal="center" vertical="center"/>
    </xf>
    <xf numFmtId="0" fontId="0" fillId="0" borderId="5" xfId="0" applyBorder="1" applyAlignment="1">
      <alignment horizontal="center" vertical="center"/>
    </xf>
    <xf numFmtId="164" fontId="0" fillId="7" borderId="6" xfId="0" applyNumberFormat="1" applyFill="1" applyBorder="1" applyAlignment="1">
      <alignment horizontal="center" vertical="center"/>
    </xf>
    <xf numFmtId="164" fontId="0" fillId="7" borderId="32" xfId="0" applyNumberFormat="1" applyFill="1" applyBorder="1" applyAlignment="1">
      <alignment horizontal="center" vertical="center"/>
    </xf>
    <xf numFmtId="0" fontId="0" fillId="0" borderId="4" xfId="0" quotePrefix="1" applyBorder="1" applyAlignment="1">
      <alignment horizontal="center" vertical="center" wrapText="1"/>
    </xf>
    <xf numFmtId="0" fontId="0" fillId="0" borderId="36" xfId="0" quotePrefix="1" applyBorder="1" applyAlignment="1">
      <alignment horizontal="center" vertical="center"/>
    </xf>
    <xf numFmtId="0" fontId="0" fillId="0" borderId="21" xfId="0" applyBorder="1" applyAlignment="1">
      <alignment vertical="center"/>
    </xf>
    <xf numFmtId="0" fontId="0" fillId="0" borderId="18" xfId="0" quotePrefix="1" applyBorder="1" applyAlignment="1">
      <alignment horizontal="center" vertical="center"/>
    </xf>
    <xf numFmtId="0" fontId="0" fillId="0" borderId="9" xfId="0" quotePrefix="1" applyBorder="1" applyAlignment="1">
      <alignment horizontal="center" vertical="center"/>
    </xf>
    <xf numFmtId="0" fontId="0" fillId="0" borderId="37" xfId="0" quotePrefix="1" applyBorder="1" applyAlignment="1">
      <alignment horizontal="center" vertical="center"/>
    </xf>
    <xf numFmtId="0" fontId="0" fillId="0" borderId="30" xfId="0" quotePrefix="1" applyBorder="1" applyAlignment="1">
      <alignment horizontal="center" vertical="center"/>
    </xf>
    <xf numFmtId="0" fontId="1" fillId="0" borderId="9" xfId="0" quotePrefix="1" applyFont="1" applyBorder="1" applyAlignment="1">
      <alignment horizontal="center" vertical="center"/>
    </xf>
    <xf numFmtId="0" fontId="0" fillId="0" borderId="30" xfId="0" applyBorder="1" applyAlignment="1">
      <alignment horizontal="center" vertical="center"/>
    </xf>
    <xf numFmtId="0" fontId="0" fillId="0" borderId="13" xfId="0" applyBorder="1" applyAlignment="1">
      <alignment vertical="center"/>
    </xf>
    <xf numFmtId="2" fontId="0" fillId="4" borderId="40" xfId="0" applyNumberFormat="1" applyFill="1" applyBorder="1" applyAlignment="1">
      <alignment horizontal="center" vertical="center"/>
    </xf>
    <xf numFmtId="0" fontId="0" fillId="4" borderId="38" xfId="0" applyFill="1" applyBorder="1" applyAlignment="1">
      <alignment vertical="center"/>
    </xf>
    <xf numFmtId="0" fontId="0" fillId="7" borderId="21" xfId="0" quotePrefix="1" applyFill="1" applyBorder="1" applyAlignment="1">
      <alignment horizontal="center" vertical="center"/>
    </xf>
    <xf numFmtId="0" fontId="42" fillId="0" borderId="51" xfId="0" applyFont="1" applyBorder="1" applyAlignment="1">
      <alignment horizontal="center" vertical="center"/>
    </xf>
    <xf numFmtId="0" fontId="4" fillId="7" borderId="12" xfId="0" applyFont="1" applyFill="1" applyBorder="1" applyAlignment="1">
      <alignment horizontal="center" vertical="center"/>
    </xf>
    <xf numFmtId="0" fontId="0" fillId="0" borderId="2" xfId="0" applyBorder="1" applyAlignment="1">
      <alignment horizontal="left" vertical="center"/>
    </xf>
    <xf numFmtId="0" fontId="0" fillId="0" borderId="12" xfId="0" applyBorder="1" applyAlignment="1">
      <alignment horizontal="left" vertical="center"/>
    </xf>
    <xf numFmtId="0" fontId="3" fillId="7" borderId="2" xfId="0" applyFont="1" applyFill="1" applyBorder="1" applyAlignment="1">
      <alignment horizontal="center" vertical="center"/>
    </xf>
    <xf numFmtId="0" fontId="1" fillId="7" borderId="1" xfId="0" quotePrefix="1" applyFont="1" applyFill="1" applyBorder="1" applyAlignment="1">
      <alignment horizontal="center" vertical="center"/>
    </xf>
    <xf numFmtId="0" fontId="0" fillId="7" borderId="1" xfId="0" applyFill="1" applyBorder="1" applyAlignment="1">
      <alignment horizontal="center" vertical="center"/>
    </xf>
    <xf numFmtId="164" fontId="1" fillId="0" borderId="1" xfId="0" quotePrefix="1" applyNumberFormat="1" applyFont="1"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1" fillId="0" borderId="21" xfId="0" quotePrefix="1" applyFont="1" applyBorder="1" applyAlignment="1">
      <alignment horizontal="center" vertical="center"/>
    </xf>
    <xf numFmtId="0" fontId="1" fillId="0" borderId="4" xfId="0" applyFont="1" applyBorder="1" applyAlignment="1">
      <alignment horizontal="center" vertical="center"/>
    </xf>
    <xf numFmtId="3" fontId="0" fillId="4" borderId="4" xfId="0" applyNumberFormat="1" applyFill="1" applyBorder="1" applyAlignment="1">
      <alignment horizontal="center" vertical="center"/>
    </xf>
    <xf numFmtId="3" fontId="0" fillId="4" borderId="29" xfId="0" applyNumberFormat="1" applyFill="1" applyBorder="1" applyAlignment="1">
      <alignment vertical="center"/>
    </xf>
    <xf numFmtId="0" fontId="0" fillId="4" borderId="16" xfId="0" applyFill="1" applyBorder="1" applyAlignment="1">
      <alignment horizontal="center" vertical="center"/>
    </xf>
    <xf numFmtId="0" fontId="0" fillId="4" borderId="11" xfId="0" applyFill="1" applyBorder="1" applyAlignment="1">
      <alignment vertical="center"/>
    </xf>
    <xf numFmtId="0" fontId="0" fillId="0" borderId="4" xfId="0" quotePrefix="1" applyBorder="1" applyAlignment="1">
      <alignment horizontal="center" vertical="center"/>
    </xf>
    <xf numFmtId="0" fontId="0" fillId="0" borderId="41" xfId="0" applyBorder="1" applyAlignment="1">
      <alignment vertical="center"/>
    </xf>
    <xf numFmtId="0" fontId="1" fillId="0" borderId="16" xfId="0" applyFont="1" applyBorder="1" applyAlignment="1">
      <alignment horizontal="center" vertical="center"/>
    </xf>
    <xf numFmtId="0" fontId="0" fillId="0" borderId="8" xfId="0" applyBorder="1" applyAlignment="1">
      <alignment vertical="center"/>
    </xf>
    <xf numFmtId="0" fontId="0" fillId="0" borderId="11" xfId="0" applyBorder="1" applyAlignment="1">
      <alignment vertical="center"/>
    </xf>
    <xf numFmtId="0" fontId="3" fillId="0" borderId="29" xfId="0" applyFont="1" applyBorder="1" applyAlignment="1">
      <alignment horizontal="center" vertical="center"/>
    </xf>
    <xf numFmtId="0" fontId="0" fillId="0" borderId="20" xfId="0" applyBorder="1" applyAlignment="1">
      <alignment vertical="center"/>
    </xf>
    <xf numFmtId="0" fontId="0" fillId="0" borderId="42" xfId="0" applyBorder="1" applyAlignment="1">
      <alignment vertical="center"/>
    </xf>
    <xf numFmtId="0" fontId="0" fillId="0" borderId="7" xfId="0" applyBorder="1" applyAlignment="1">
      <alignment vertical="center"/>
    </xf>
    <xf numFmtId="0" fontId="6" fillId="4" borderId="43" xfId="0" applyFont="1" applyFill="1" applyBorder="1" applyAlignment="1">
      <alignment horizontal="center" vertical="center"/>
    </xf>
    <xf numFmtId="0" fontId="0" fillId="4" borderId="20" xfId="0" applyFill="1" applyBorder="1" applyAlignment="1">
      <alignment vertical="center"/>
    </xf>
    <xf numFmtId="165" fontId="0" fillId="4" borderId="42" xfId="0" applyNumberFormat="1" applyFill="1" applyBorder="1" applyAlignment="1">
      <alignment horizontal="center" vertical="center"/>
    </xf>
    <xf numFmtId="0" fontId="0" fillId="4" borderId="0" xfId="0" applyFill="1" applyAlignment="1">
      <alignment vertical="center"/>
    </xf>
    <xf numFmtId="0" fontId="0" fillId="4" borderId="7" xfId="0" applyFill="1" applyBorder="1" applyAlignment="1">
      <alignment vertical="center"/>
    </xf>
    <xf numFmtId="0" fontId="1" fillId="4" borderId="42" xfId="0" applyFont="1" applyFill="1" applyBorder="1" applyAlignment="1">
      <alignment horizontal="center" vertical="center"/>
    </xf>
    <xf numFmtId="0" fontId="3" fillId="0" borderId="0" xfId="0" applyFont="1" applyAlignment="1">
      <alignment horizontal="center" vertical="center"/>
    </xf>
    <xf numFmtId="0" fontId="3" fillId="0" borderId="43" xfId="0" applyFont="1" applyBorder="1" applyAlignment="1">
      <alignment horizontal="center" vertical="center"/>
    </xf>
    <xf numFmtId="0" fontId="0" fillId="0" borderId="20" xfId="0" applyBorder="1" applyAlignment="1">
      <alignment horizontal="center" vertical="center"/>
    </xf>
    <xf numFmtId="0" fontId="1" fillId="4" borderId="16" xfId="0" applyFont="1" applyFill="1" applyBorder="1" applyAlignment="1">
      <alignment horizontal="center" vertical="center"/>
    </xf>
    <xf numFmtId="0" fontId="0" fillId="4" borderId="8" xfId="0" applyFill="1" applyBorder="1" applyAlignment="1">
      <alignment vertical="center"/>
    </xf>
    <xf numFmtId="0" fontId="0" fillId="0" borderId="16" xfId="0" applyBorder="1" applyAlignment="1">
      <alignment vertical="center"/>
    </xf>
    <xf numFmtId="164" fontId="0" fillId="8" borderId="4" xfId="0" applyNumberFormat="1" applyFill="1" applyBorder="1" applyAlignment="1">
      <alignment horizontal="center" vertical="center"/>
    </xf>
    <xf numFmtId="164" fontId="0" fillId="8" borderId="12" xfId="0" applyNumberFormat="1" applyFill="1" applyBorder="1" applyAlignment="1">
      <alignment horizontal="center" vertical="center"/>
    </xf>
    <xf numFmtId="0" fontId="44" fillId="0" borderId="51" xfId="0" applyFont="1" applyBorder="1" applyAlignment="1">
      <alignment horizontal="center" vertical="center"/>
    </xf>
    <xf numFmtId="0" fontId="1" fillId="2" borderId="4"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xf numFmtId="0" fontId="0" fillId="0" borderId="2" xfId="0" applyBorder="1"/>
    <xf numFmtId="0" fontId="1" fillId="0" borderId="12" xfId="0" applyFont="1" applyBorder="1" applyAlignment="1">
      <alignment horizontal="left"/>
    </xf>
    <xf numFmtId="164" fontId="0" fillId="0" borderId="4" xfId="0" applyNumberFormat="1" applyBorder="1" applyAlignment="1">
      <alignment horizontal="center"/>
    </xf>
    <xf numFmtId="164" fontId="0" fillId="0" borderId="12" xfId="0" applyNumberFormat="1" applyBorder="1" applyAlignment="1">
      <alignment horizontal="center"/>
    </xf>
    <xf numFmtId="2" fontId="1" fillId="7" borderId="32" xfId="0" applyNumberFormat="1" applyFont="1" applyFill="1" applyBorder="1" applyAlignment="1">
      <alignment horizontal="left"/>
    </xf>
    <xf numFmtId="2" fontId="0" fillId="7" borderId="32" xfId="0" applyNumberFormat="1" applyFill="1" applyBorder="1" applyAlignment="1">
      <alignment horizontal="left"/>
    </xf>
    <xf numFmtId="2" fontId="0" fillId="7" borderId="5" xfId="0" applyNumberFormat="1" applyFill="1" applyBorder="1" applyAlignment="1">
      <alignment horizontal="center"/>
    </xf>
    <xf numFmtId="0" fontId="0" fillId="7" borderId="5" xfId="0" applyFill="1" applyBorder="1" applyAlignment="1">
      <alignment horizontal="center"/>
    </xf>
    <xf numFmtId="0" fontId="1" fillId="0" borderId="1" xfId="0" quotePrefix="1" applyFont="1" applyBorder="1" applyAlignment="1">
      <alignment horizontal="center"/>
    </xf>
    <xf numFmtId="0" fontId="3" fillId="0" borderId="2" xfId="0" applyFont="1" applyBorder="1" applyAlignment="1">
      <alignment horizontal="center" vertical="top" wrapText="1"/>
    </xf>
    <xf numFmtId="0" fontId="0" fillId="0" borderId="2" xfId="0" applyBorder="1" applyAlignment="1">
      <alignment horizontal="center"/>
    </xf>
    <xf numFmtId="0" fontId="0" fillId="7" borderId="5" xfId="0" applyFill="1" applyBorder="1"/>
    <xf numFmtId="0" fontId="0" fillId="7" borderId="1" xfId="0" quotePrefix="1" applyFill="1" applyBorder="1" applyAlignment="1">
      <alignment horizontal="center"/>
    </xf>
    <xf numFmtId="0" fontId="0" fillId="7" borderId="1" xfId="0" applyFill="1" applyBorder="1"/>
    <xf numFmtId="0" fontId="0" fillId="0" borderId="9" xfId="0" quotePrefix="1" applyBorder="1" applyAlignment="1">
      <alignment horizontal="center"/>
    </xf>
    <xf numFmtId="0" fontId="0" fillId="0" borderId="37" xfId="0" quotePrefix="1" applyBorder="1" applyAlignment="1">
      <alignment horizontal="center"/>
    </xf>
    <xf numFmtId="164" fontId="0" fillId="7" borderId="12" xfId="0" applyNumberFormat="1" applyFill="1" applyBorder="1" applyAlignment="1">
      <alignment horizontal="center"/>
    </xf>
    <xf numFmtId="0" fontId="0" fillId="0" borderId="12" xfId="0" applyBorder="1" applyAlignment="1">
      <alignment horizontal="center"/>
    </xf>
    <xf numFmtId="0" fontId="3" fillId="0" borderId="12" xfId="0" applyFont="1" applyBorder="1" applyAlignment="1">
      <alignment horizontal="center" vertical="top" wrapText="1"/>
    </xf>
    <xf numFmtId="0" fontId="3" fillId="7" borderId="2" xfId="0" applyFont="1" applyFill="1" applyBorder="1" applyAlignment="1">
      <alignment horizontal="center" vertical="top" wrapText="1"/>
    </xf>
    <xf numFmtId="0" fontId="0" fillId="7" borderId="2" xfId="0" applyFill="1" applyBorder="1" applyAlignment="1">
      <alignment horizontal="center"/>
    </xf>
    <xf numFmtId="0" fontId="0" fillId="7" borderId="2" xfId="0" applyFill="1" applyBorder="1"/>
    <xf numFmtId="164" fontId="0" fillId="0" borderId="29" xfId="0" applyNumberFormat="1" applyBorder="1" applyAlignment="1">
      <alignment horizontal="center"/>
    </xf>
    <xf numFmtId="3" fontId="0" fillId="4" borderId="4" xfId="0" applyNumberFormat="1" applyFill="1" applyBorder="1" applyAlignment="1">
      <alignment horizontal="center"/>
    </xf>
    <xf numFmtId="0" fontId="0" fillId="4" borderId="29" xfId="0" applyFill="1" applyBorder="1"/>
    <xf numFmtId="0" fontId="3" fillId="0" borderId="15" xfId="0" applyFont="1" applyBorder="1" applyAlignment="1">
      <alignment horizontal="center" vertical="top" wrapText="1"/>
    </xf>
    <xf numFmtId="0" fontId="0" fillId="0" borderId="45" xfId="0" applyBorder="1" applyAlignment="1">
      <alignment horizontal="center" wrapText="1"/>
    </xf>
    <xf numFmtId="0" fontId="0" fillId="0" borderId="3" xfId="0" applyBorder="1" applyAlignment="1">
      <alignment horizontal="center" wrapText="1"/>
    </xf>
    <xf numFmtId="0" fontId="1" fillId="0" borderId="9" xfId="0" quotePrefix="1" applyFont="1" applyBorder="1" applyAlignment="1">
      <alignment horizontal="center"/>
    </xf>
    <xf numFmtId="0" fontId="0" fillId="0" borderId="30" xfId="0" applyBorder="1" applyAlignment="1">
      <alignment horizontal="center"/>
    </xf>
    <xf numFmtId="0" fontId="1" fillId="7" borderId="42" xfId="0" applyFont="1" applyFill="1" applyBorder="1" applyAlignment="1">
      <alignment horizontal="center" vertical="top" wrapText="1"/>
    </xf>
    <xf numFmtId="0" fontId="0" fillId="7" borderId="0" xfId="0" applyFill="1" applyAlignment="1">
      <alignment horizontal="center" vertical="top" wrapText="1"/>
    </xf>
    <xf numFmtId="0" fontId="0" fillId="7" borderId="42" xfId="0" applyFill="1" applyBorder="1" applyAlignment="1">
      <alignment vertical="top" wrapText="1"/>
    </xf>
    <xf numFmtId="0" fontId="0" fillId="7" borderId="0" xfId="0" applyFill="1" applyAlignment="1">
      <alignment vertical="top" wrapText="1"/>
    </xf>
    <xf numFmtId="0" fontId="0" fillId="7" borderId="18" xfId="0" quotePrefix="1" applyFill="1" applyBorder="1" applyAlignment="1">
      <alignment horizontal="center"/>
    </xf>
    <xf numFmtId="0" fontId="0" fillId="7" borderId="36" xfId="0" applyFill="1" applyBorder="1"/>
    <xf numFmtId="0" fontId="1" fillId="7" borderId="45" xfId="0" applyFont="1" applyFill="1" applyBorder="1" applyAlignment="1">
      <alignment horizontal="center"/>
    </xf>
    <xf numFmtId="0" fontId="0" fillId="7" borderId="45" xfId="0" applyFill="1" applyBorder="1" applyAlignment="1">
      <alignment horizontal="center"/>
    </xf>
    <xf numFmtId="2" fontId="0" fillId="7" borderId="15" xfId="0" applyNumberFormat="1" applyFill="1" applyBorder="1" applyAlignment="1">
      <alignment horizontal="center"/>
    </xf>
    <xf numFmtId="0" fontId="1" fillId="7" borderId="42" xfId="0" applyFont="1" applyFill="1" applyBorder="1" applyAlignment="1">
      <alignment horizontal="center"/>
    </xf>
    <xf numFmtId="0" fontId="0" fillId="7" borderId="7" xfId="0" applyFill="1" applyBorder="1"/>
    <xf numFmtId="2" fontId="0" fillId="7" borderId="6" xfId="0" applyNumberFormat="1" applyFill="1" applyBorder="1" applyAlignment="1">
      <alignment horizontal="center"/>
    </xf>
    <xf numFmtId="0" fontId="3" fillId="7" borderId="16" xfId="0" applyFont="1" applyFill="1" applyBorder="1" applyAlignment="1">
      <alignment horizontal="center" vertical="top" wrapText="1"/>
    </xf>
    <xf numFmtId="0" fontId="0" fillId="7" borderId="11" xfId="0" applyFill="1" applyBorder="1" applyAlignment="1">
      <alignment wrapText="1"/>
    </xf>
    <xf numFmtId="0" fontId="0" fillId="7" borderId="43" xfId="0" applyFill="1" applyBorder="1" applyAlignment="1">
      <alignment wrapText="1"/>
    </xf>
    <xf numFmtId="0" fontId="0" fillId="7" borderId="20" xfId="0" applyFill="1" applyBorder="1" applyAlignment="1">
      <alignment wrapText="1"/>
    </xf>
    <xf numFmtId="164" fontId="0" fillId="7" borderId="6" xfId="0" applyNumberFormat="1" applyFill="1" applyBorder="1" applyAlignment="1">
      <alignment horizontal="center"/>
    </xf>
    <xf numFmtId="0" fontId="0" fillId="7" borderId="32" xfId="0" applyFill="1" applyBorder="1" applyAlignment="1">
      <alignment horizontal="center"/>
    </xf>
    <xf numFmtId="0" fontId="0" fillId="7" borderId="29" xfId="0" applyFill="1" applyBorder="1" applyAlignment="1">
      <alignment horizontal="center"/>
    </xf>
    <xf numFmtId="2" fontId="1" fillId="7" borderId="4" xfId="0" applyNumberFormat="1" applyFont="1" applyFill="1" applyBorder="1" applyAlignment="1">
      <alignment horizontal="center"/>
    </xf>
    <xf numFmtId="0" fontId="0" fillId="0" borderId="4" xfId="0" applyBorder="1" applyAlignment="1">
      <alignment horizontal="center"/>
    </xf>
    <xf numFmtId="0" fontId="3" fillId="0" borderId="16" xfId="0" applyFont="1" applyBorder="1" applyAlignment="1">
      <alignment horizontal="center" vertical="top" wrapText="1"/>
    </xf>
    <xf numFmtId="0" fontId="0" fillId="0" borderId="8" xfId="0" applyBorder="1"/>
    <xf numFmtId="0" fontId="0" fillId="0" borderId="43" xfId="0" applyBorder="1"/>
    <xf numFmtId="0" fontId="0" fillId="0" borderId="10" xfId="0" applyBorder="1"/>
    <xf numFmtId="0" fontId="0" fillId="7" borderId="13" xfId="0" applyFill="1" applyBorder="1" applyAlignment="1">
      <alignment horizontal="left"/>
    </xf>
    <xf numFmtId="0" fontId="0" fillId="7" borderId="5" xfId="0" applyFill="1" applyBorder="1" applyAlignment="1">
      <alignment horizontal="left"/>
    </xf>
    <xf numFmtId="0" fontId="0" fillId="7" borderId="12" xfId="0" applyFill="1" applyBorder="1" applyAlignment="1">
      <alignment horizontal="left"/>
    </xf>
    <xf numFmtId="0" fontId="0" fillId="7" borderId="2" xfId="0" applyFill="1" applyBorder="1" applyAlignment="1">
      <alignment horizontal="left"/>
    </xf>
    <xf numFmtId="166" fontId="0" fillId="7" borderId="4" xfId="0" applyNumberFormat="1" applyFill="1" applyBorder="1" applyAlignment="1">
      <alignment horizontal="center"/>
    </xf>
    <xf numFmtId="166" fontId="0" fillId="7" borderId="29" xfId="0" applyNumberFormat="1" applyFill="1" applyBorder="1" applyAlignment="1">
      <alignment horizontal="center"/>
    </xf>
    <xf numFmtId="166" fontId="0" fillId="7" borderId="6" xfId="0" applyNumberFormat="1" applyFill="1" applyBorder="1" applyAlignment="1">
      <alignment horizontal="center"/>
    </xf>
    <xf numFmtId="166" fontId="0" fillId="7" borderId="32" xfId="0" applyNumberFormat="1" applyFill="1" applyBorder="1" applyAlignment="1">
      <alignment horizontal="center"/>
    </xf>
    <xf numFmtId="0" fontId="0" fillId="7" borderId="21" xfId="0" quotePrefix="1" applyFill="1" applyBorder="1" applyAlignment="1">
      <alignment horizontal="center"/>
    </xf>
    <xf numFmtId="0" fontId="0" fillId="7" borderId="1" xfId="0" applyFill="1" applyBorder="1" applyAlignment="1">
      <alignment horizontal="center"/>
    </xf>
    <xf numFmtId="0" fontId="0" fillId="7" borderId="18" xfId="0" applyFill="1" applyBorder="1" applyAlignment="1">
      <alignment horizontal="center"/>
    </xf>
    <xf numFmtId="2" fontId="2" fillId="0" borderId="30" xfId="0" applyNumberFormat="1" applyFont="1" applyBorder="1" applyAlignment="1">
      <alignment horizontal="left"/>
    </xf>
    <xf numFmtId="0" fontId="0" fillId="0" borderId="30" xfId="0" applyBorder="1" applyAlignment="1">
      <alignment horizontal="left"/>
    </xf>
    <xf numFmtId="0" fontId="1" fillId="7" borderId="29" xfId="0" applyFont="1" applyFill="1" applyBorder="1" applyAlignment="1">
      <alignment horizontal="left"/>
    </xf>
    <xf numFmtId="0" fontId="0" fillId="7" borderId="29" xfId="0" applyFill="1" applyBorder="1" applyAlignment="1">
      <alignment horizontal="left"/>
    </xf>
    <xf numFmtId="0" fontId="0" fillId="7" borderId="12" xfId="0" applyFill="1" applyBorder="1"/>
    <xf numFmtId="0" fontId="3" fillId="7" borderId="12" xfId="0" applyFont="1" applyFill="1" applyBorder="1" applyAlignment="1">
      <alignment horizontal="center" vertical="top" wrapText="1"/>
    </xf>
    <xf numFmtId="0" fontId="0" fillId="7" borderId="12" xfId="0" applyFill="1" applyBorder="1" applyAlignment="1">
      <alignment vertical="top" wrapText="1"/>
    </xf>
    <xf numFmtId="0" fontId="0" fillId="7" borderId="2" xfId="0" applyFill="1" applyBorder="1" applyAlignment="1">
      <alignment vertical="top" wrapText="1"/>
    </xf>
    <xf numFmtId="0" fontId="3" fillId="7" borderId="2" xfId="0" applyFont="1" applyFill="1" applyBorder="1" applyAlignment="1">
      <alignment horizontal="center"/>
    </xf>
    <xf numFmtId="0" fontId="3" fillId="7" borderId="4" xfId="0" applyFont="1" applyFill="1" applyBorder="1" applyAlignment="1">
      <alignment horizontal="center"/>
    </xf>
    <xf numFmtId="0" fontId="1" fillId="7" borderId="2" xfId="0" quotePrefix="1" applyFont="1" applyFill="1" applyBorder="1" applyAlignment="1">
      <alignment horizontal="center" wrapText="1"/>
    </xf>
    <xf numFmtId="0" fontId="0" fillId="7" borderId="2" xfId="0" applyFill="1" applyBorder="1" applyAlignment="1">
      <alignment wrapText="1"/>
    </xf>
    <xf numFmtId="0" fontId="0" fillId="7" borderId="4" xfId="0" applyFill="1" applyBorder="1" applyAlignment="1">
      <alignment wrapText="1"/>
    </xf>
    <xf numFmtId="2" fontId="3" fillId="0" borderId="2" xfId="0" applyNumberFormat="1" applyFont="1" applyBorder="1" applyAlignment="1">
      <alignment horizontal="center" vertical="top"/>
    </xf>
    <xf numFmtId="0" fontId="3" fillId="0" borderId="2" xfId="0" applyFont="1" applyBorder="1" applyAlignment="1">
      <alignment horizontal="center" vertical="top"/>
    </xf>
    <xf numFmtId="0" fontId="1" fillId="0" borderId="2" xfId="0" applyFont="1" applyBorder="1" applyAlignment="1">
      <alignment horizontal="center"/>
    </xf>
    <xf numFmtId="2" fontId="1" fillId="0" borderId="15" xfId="0" applyNumberFormat="1" applyFont="1" applyBorder="1" applyAlignment="1">
      <alignment horizontal="center" wrapText="1"/>
    </xf>
    <xf numFmtId="2" fontId="1" fillId="0" borderId="12" xfId="0" applyNumberFormat="1" applyFont="1" applyBorder="1" applyAlignment="1">
      <alignment horizontal="left"/>
    </xf>
    <xf numFmtId="2" fontId="1" fillId="0" borderId="13" xfId="0" applyNumberFormat="1" applyFont="1" applyBorder="1" applyAlignment="1">
      <alignment horizontal="left"/>
    </xf>
    <xf numFmtId="0" fontId="0" fillId="0" borderId="5" xfId="0" applyBorder="1"/>
    <xf numFmtId="0" fontId="1" fillId="0" borderId="15" xfId="0" quotePrefix="1" applyFont="1" applyBorder="1" applyAlignment="1">
      <alignment horizontal="center" vertical="center" wrapText="1"/>
    </xf>
    <xf numFmtId="0" fontId="0" fillId="0" borderId="3" xfId="0" applyBorder="1" applyAlignment="1">
      <alignment horizontal="center"/>
    </xf>
    <xf numFmtId="0" fontId="0" fillId="0" borderId="18" xfId="0" quotePrefix="1" applyBorder="1" applyAlignment="1">
      <alignment horizontal="center"/>
    </xf>
    <xf numFmtId="0" fontId="0" fillId="0" borderId="21" xfId="0" applyBorder="1"/>
    <xf numFmtId="0" fontId="0" fillId="0" borderId="33" xfId="0" applyBorder="1"/>
    <xf numFmtId="0" fontId="0" fillId="7" borderId="15" xfId="0" applyFill="1" applyBorder="1"/>
    <xf numFmtId="0" fontId="0" fillId="7" borderId="21" xfId="0" applyFill="1" applyBorder="1"/>
    <xf numFmtId="0" fontId="0" fillId="7" borderId="0" xfId="0" applyFill="1" applyAlignment="1">
      <alignment horizontal="center"/>
    </xf>
    <xf numFmtId="0" fontId="0" fillId="7" borderId="7" xfId="0" applyFill="1" applyBorder="1" applyAlignment="1">
      <alignment horizontal="center"/>
    </xf>
    <xf numFmtId="0" fontId="0" fillId="7" borderId="7" xfId="0" applyFill="1" applyBorder="1" applyAlignment="1">
      <alignment horizontal="center" vertical="top" wrapText="1"/>
    </xf>
    <xf numFmtId="0" fontId="0" fillId="7" borderId="7" xfId="0" applyFill="1" applyBorder="1" applyAlignment="1">
      <alignment vertical="top" wrapText="1"/>
    </xf>
    <xf numFmtId="2" fontId="1" fillId="0" borderId="30" xfId="0" applyNumberFormat="1" applyFont="1" applyBorder="1" applyAlignment="1">
      <alignment horizontal="left"/>
    </xf>
    <xf numFmtId="0" fontId="0" fillId="0" borderId="30" xfId="0" applyBorder="1"/>
    <xf numFmtId="2" fontId="0" fillId="7" borderId="16" xfId="0" applyNumberFormat="1" applyFill="1" applyBorder="1" applyAlignment="1">
      <alignment horizontal="center"/>
    </xf>
    <xf numFmtId="0" fontId="1" fillId="7" borderId="45" xfId="0" quotePrefix="1" applyFont="1" applyFill="1" applyBorder="1" applyAlignment="1">
      <alignment horizontal="center"/>
    </xf>
    <xf numFmtId="0" fontId="0" fillId="7" borderId="42" xfId="0" applyFill="1" applyBorder="1" applyAlignment="1">
      <alignment horizontal="center"/>
    </xf>
    <xf numFmtId="0" fontId="1" fillId="7" borderId="11" xfId="0" applyFont="1" applyFill="1" applyBorder="1" applyAlignment="1">
      <alignment vertical="top" wrapText="1"/>
    </xf>
    <xf numFmtId="0" fontId="0" fillId="7" borderId="8" xfId="0" applyFill="1" applyBorder="1" applyAlignment="1">
      <alignment vertical="top" wrapText="1"/>
    </xf>
    <xf numFmtId="0" fontId="0" fillId="7" borderId="20" xfId="0" applyFill="1" applyBorder="1" applyAlignment="1">
      <alignment vertical="top" wrapText="1"/>
    </xf>
    <xf numFmtId="0" fontId="0" fillId="7" borderId="10" xfId="0" applyFill="1" applyBorder="1" applyAlignment="1">
      <alignment vertical="top" wrapText="1"/>
    </xf>
    <xf numFmtId="0" fontId="0" fillId="7" borderId="15" xfId="0" applyFill="1" applyBorder="1" applyAlignment="1">
      <alignment horizontal="center"/>
    </xf>
    <xf numFmtId="2" fontId="1" fillId="7" borderId="11" xfId="0" applyNumberFormat="1" applyFont="1" applyFill="1" applyBorder="1" applyAlignment="1">
      <alignment horizontal="left"/>
    </xf>
    <xf numFmtId="0" fontId="0" fillId="7" borderId="8" xfId="0" applyFill="1" applyBorder="1" applyAlignment="1">
      <alignment horizontal="left"/>
    </xf>
    <xf numFmtId="0" fontId="0" fillId="0" borderId="36" xfId="0" quotePrefix="1" applyBorder="1" applyAlignment="1">
      <alignment horizontal="center"/>
    </xf>
    <xf numFmtId="0" fontId="0" fillId="0" borderId="33" xfId="0" applyBorder="1" applyAlignment="1">
      <alignment horizontal="center"/>
    </xf>
    <xf numFmtId="2" fontId="0" fillId="0" borderId="12" xfId="0" applyNumberFormat="1" applyBorder="1" applyAlignment="1">
      <alignment horizontal="center"/>
    </xf>
    <xf numFmtId="2" fontId="0" fillId="0" borderId="2" xfId="0" applyNumberFormat="1" applyBorder="1" applyAlignment="1">
      <alignment horizontal="center"/>
    </xf>
    <xf numFmtId="2" fontId="1" fillId="0" borderId="2" xfId="0" applyNumberFormat="1" applyFont="1" applyBorder="1" applyAlignment="1">
      <alignment horizontal="center"/>
    </xf>
    <xf numFmtId="0" fontId="1" fillId="0" borderId="2" xfId="0" quotePrefix="1" applyFont="1" applyBorder="1" applyAlignment="1">
      <alignment horizontal="center"/>
    </xf>
    <xf numFmtId="0" fontId="3" fillId="0" borderId="4" xfId="0" applyFont="1" applyBorder="1" applyAlignment="1">
      <alignment horizontal="center" vertical="top" wrapText="1"/>
    </xf>
    <xf numFmtId="0" fontId="1" fillId="0" borderId="38" xfId="0" applyFont="1" applyBorder="1"/>
    <xf numFmtId="0" fontId="0" fillId="0" borderId="38" xfId="0" applyBorder="1"/>
    <xf numFmtId="0" fontId="0" fillId="0" borderId="39" xfId="0" applyBorder="1"/>
    <xf numFmtId="2" fontId="0" fillId="0" borderId="40" xfId="0" applyNumberFormat="1" applyBorder="1" applyAlignment="1">
      <alignment horizontal="center"/>
    </xf>
    <xf numFmtId="2" fontId="0" fillId="0" borderId="39" xfId="0" applyNumberFormat="1" applyBorder="1"/>
    <xf numFmtId="2" fontId="0" fillId="4" borderId="40" xfId="0" applyNumberFormat="1" applyFill="1" applyBorder="1" applyAlignment="1">
      <alignment horizontal="center"/>
    </xf>
    <xf numFmtId="0" fontId="0" fillId="4" borderId="38" xfId="0" applyFill="1" applyBorder="1"/>
    <xf numFmtId="0" fontId="1" fillId="0" borderId="29" xfId="0" applyFont="1" applyBorder="1"/>
    <xf numFmtId="0" fontId="0" fillId="0" borderId="29" xfId="0" applyBorder="1"/>
    <xf numFmtId="0" fontId="1" fillId="0" borderId="4" xfId="0" applyFont="1" applyBorder="1" applyAlignment="1">
      <alignment horizontal="center"/>
    </xf>
    <xf numFmtId="0" fontId="0" fillId="2" borderId="4" xfId="0" applyFill="1" applyBorder="1" applyAlignment="1">
      <alignment horizontal="center"/>
    </xf>
    <xf numFmtId="0" fontId="0" fillId="2" borderId="29" xfId="0" applyFill="1" applyBorder="1"/>
    <xf numFmtId="0" fontId="1" fillId="7" borderId="36" xfId="0" quotePrefix="1" applyFont="1" applyFill="1" applyBorder="1" applyAlignment="1">
      <alignment horizontal="center"/>
    </xf>
    <xf numFmtId="0" fontId="0" fillId="7" borderId="21" xfId="0" applyFill="1" applyBorder="1" applyAlignment="1">
      <alignment horizontal="center"/>
    </xf>
    <xf numFmtId="0" fontId="45" fillId="0" borderId="51" xfId="0" applyFont="1" applyBorder="1" applyAlignment="1">
      <alignment horizontal="center"/>
    </xf>
    <xf numFmtId="0" fontId="3" fillId="0" borderId="29" xfId="0" applyFont="1" applyBorder="1" applyAlignment="1">
      <alignment horizontal="center"/>
    </xf>
    <xf numFmtId="0" fontId="3" fillId="0" borderId="4" xfId="0" applyFont="1" applyBorder="1" applyAlignment="1">
      <alignment horizontal="center"/>
    </xf>
    <xf numFmtId="0" fontId="1" fillId="2" borderId="4" xfId="0" applyFont="1" applyFill="1" applyBorder="1" applyAlignment="1">
      <alignment horizontal="center"/>
    </xf>
    <xf numFmtId="0" fontId="6" fillId="0" borderId="4" xfId="0" applyFont="1" applyBorder="1" applyAlignment="1">
      <alignment horizontal="center"/>
    </xf>
    <xf numFmtId="0" fontId="0" fillId="0" borderId="4" xfId="0" quotePrefix="1" applyBorder="1" applyAlignment="1">
      <alignment horizontal="center"/>
    </xf>
    <xf numFmtId="3" fontId="0" fillId="4" borderId="29" xfId="0" applyNumberFormat="1" applyFill="1" applyBorder="1"/>
    <xf numFmtId="0" fontId="0" fillId="0" borderId="41" xfId="0" applyBorder="1"/>
    <xf numFmtId="0" fontId="0" fillId="0" borderId="16" xfId="0" quotePrefix="1" applyBorder="1" applyAlignment="1">
      <alignment horizontal="center"/>
    </xf>
    <xf numFmtId="0" fontId="0" fillId="2" borderId="16" xfId="0" applyFill="1" applyBorder="1" applyAlignment="1">
      <alignment horizontal="center"/>
    </xf>
    <xf numFmtId="0" fontId="0" fillId="2" borderId="11" xfId="0" applyFill="1" applyBorder="1"/>
    <xf numFmtId="0" fontId="0" fillId="0" borderId="0" xfId="0"/>
    <xf numFmtId="0" fontId="0" fillId="0" borderId="7" xfId="0" applyBorder="1"/>
    <xf numFmtId="0" fontId="3" fillId="0" borderId="43" xfId="0" applyFont="1" applyBorder="1" applyAlignment="1">
      <alignment horizontal="center"/>
    </xf>
    <xf numFmtId="0" fontId="0" fillId="0" borderId="20" xfId="0" applyBorder="1" applyAlignment="1">
      <alignment horizontal="center"/>
    </xf>
    <xf numFmtId="0" fontId="0" fillId="0" borderId="42" xfId="0" applyBorder="1"/>
    <xf numFmtId="0" fontId="1" fillId="4" borderId="16" xfId="0" applyFont="1" applyFill="1" applyBorder="1" applyAlignment="1">
      <alignment horizontal="center"/>
    </xf>
    <xf numFmtId="0" fontId="0" fillId="4" borderId="11" xfId="0" applyFill="1" applyBorder="1"/>
    <xf numFmtId="0" fontId="0" fillId="0" borderId="11" xfId="0" applyBorder="1"/>
    <xf numFmtId="0" fontId="0" fillId="4" borderId="8" xfId="0" applyFill="1" applyBorder="1"/>
    <xf numFmtId="0" fontId="6" fillId="4" borderId="42" xfId="0" applyFont="1" applyFill="1" applyBorder="1" applyAlignment="1">
      <alignment horizontal="center"/>
    </xf>
    <xf numFmtId="0" fontId="0" fillId="4" borderId="0" xfId="0" applyFill="1"/>
    <xf numFmtId="0" fontId="0" fillId="4" borderId="7" xfId="0" applyFill="1" applyBorder="1"/>
    <xf numFmtId="0" fontId="0" fillId="0" borderId="16" xfId="0" applyBorder="1"/>
    <xf numFmtId="165" fontId="0" fillId="4" borderId="42" xfId="0" applyNumberFormat="1" applyFill="1" applyBorder="1" applyAlignment="1">
      <alignment horizontal="center"/>
    </xf>
    <xf numFmtId="0" fontId="1" fillId="0" borderId="42" xfId="0" applyFont="1" applyBorder="1"/>
    <xf numFmtId="0" fontId="1" fillId="4" borderId="42" xfId="0" applyFont="1" applyFill="1" applyBorder="1" applyAlignment="1">
      <alignment horizontal="center"/>
    </xf>
    <xf numFmtId="0" fontId="6" fillId="4" borderId="43" xfId="0" applyFont="1" applyFill="1" applyBorder="1" applyAlignment="1">
      <alignment horizontal="center"/>
    </xf>
    <xf numFmtId="0" fontId="0" fillId="4" borderId="20" xfId="0" applyFill="1" applyBorder="1"/>
    <xf numFmtId="0" fontId="26" fillId="0" borderId="4" xfId="3" applyFont="1" applyBorder="1" applyAlignment="1">
      <alignment horizontal="center"/>
    </xf>
    <xf numFmtId="0" fontId="26" fillId="0" borderId="29" xfId="3" applyFont="1" applyBorder="1" applyAlignment="1">
      <alignment horizontal="center"/>
    </xf>
    <xf numFmtId="0" fontId="26" fillId="0" borderId="12" xfId="3" applyFont="1" applyBorder="1" applyAlignment="1">
      <alignment horizontal="center"/>
    </xf>
    <xf numFmtId="0" fontId="26" fillId="0" borderId="2" xfId="3" applyFont="1" applyBorder="1" applyAlignment="1">
      <alignment horizontal="center"/>
    </xf>
    <xf numFmtId="0" fontId="1" fillId="0" borderId="12" xfId="0" applyFont="1" applyBorder="1" applyAlignment="1">
      <alignment horizontal="left" vertical="top"/>
    </xf>
    <xf numFmtId="0" fontId="1" fillId="0" borderId="44" xfId="0" applyFont="1" applyBorder="1" applyAlignment="1">
      <alignment horizontal="left" vertical="center"/>
    </xf>
    <xf numFmtId="0" fontId="0" fillId="0" borderId="17" xfId="0" applyBorder="1" applyAlignment="1">
      <alignment vertical="center"/>
    </xf>
    <xf numFmtId="0" fontId="1" fillId="0" borderId="10" xfId="0" quotePrefix="1" applyFont="1" applyBorder="1" applyAlignment="1">
      <alignment horizontal="center"/>
    </xf>
    <xf numFmtId="164" fontId="1" fillId="0" borderId="2" xfId="0" applyNumberFormat="1" applyFont="1" applyBorder="1" applyAlignment="1">
      <alignment horizontal="center" vertical="center" wrapText="1"/>
    </xf>
    <xf numFmtId="164" fontId="0" fillId="0" borderId="2" xfId="0" applyNumberFormat="1" applyBorder="1" applyAlignment="1">
      <alignment horizontal="center" vertical="center" wrapText="1"/>
    </xf>
    <xf numFmtId="0" fontId="1" fillId="0" borderId="47" xfId="0" applyFont="1" applyBorder="1" applyAlignment="1">
      <alignment horizontal="right" vertical="top"/>
    </xf>
    <xf numFmtId="0" fontId="1" fillId="0" borderId="25" xfId="0" applyFont="1" applyBorder="1" applyAlignment="1">
      <alignment horizontal="right" vertical="top"/>
    </xf>
    <xf numFmtId="0" fontId="3" fillId="0" borderId="12" xfId="0" applyFont="1" applyBorder="1" applyAlignment="1">
      <alignment horizontal="left"/>
    </xf>
    <xf numFmtId="0" fontId="3" fillId="0" borderId="2" xfId="0" applyFont="1" applyBorder="1"/>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2" xfId="0" applyBorder="1" applyAlignment="1">
      <alignment vertical="top"/>
    </xf>
    <xf numFmtId="0" fontId="0" fillId="0" borderId="12" xfId="0" applyBorder="1" applyAlignment="1">
      <alignment vertical="top"/>
    </xf>
    <xf numFmtId="0" fontId="3" fillId="0" borderId="12" xfId="0" applyFont="1" applyBorder="1" applyAlignment="1">
      <alignment horizontal="left" vertical="top" wrapText="1"/>
    </xf>
    <xf numFmtId="0" fontId="3" fillId="0" borderId="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164" fontId="0" fillId="0" borderId="4" xfId="0" applyNumberFormat="1" applyBorder="1" applyAlignment="1">
      <alignment horizontal="center" vertical="center" wrapText="1"/>
    </xf>
    <xf numFmtId="0" fontId="1" fillId="0" borderId="48" xfId="0" applyFont="1" applyBorder="1" applyAlignment="1">
      <alignment horizontal="right"/>
    </xf>
    <xf numFmtId="0" fontId="1" fillId="0" borderId="27" xfId="0" applyFont="1" applyBorder="1" applyAlignment="1">
      <alignment horizontal="right"/>
    </xf>
    <xf numFmtId="164" fontId="1" fillId="0" borderId="4" xfId="0" applyNumberFormat="1" applyFont="1" applyBorder="1" applyAlignment="1">
      <alignment horizontal="center"/>
    </xf>
    <xf numFmtId="164" fontId="1" fillId="0" borderId="29" xfId="0" applyNumberFormat="1" applyFont="1" applyBorder="1" applyAlignment="1">
      <alignment horizontal="center"/>
    </xf>
    <xf numFmtId="164" fontId="1" fillId="0" borderId="12" xfId="0" applyNumberFormat="1" applyFont="1" applyBorder="1" applyAlignment="1">
      <alignment horizontal="center"/>
    </xf>
    <xf numFmtId="164" fontId="0" fillId="0" borderId="29" xfId="0" applyNumberFormat="1" applyBorder="1"/>
    <xf numFmtId="0" fontId="0" fillId="0" borderId="3" xfId="0" applyBorder="1"/>
    <xf numFmtId="0" fontId="1" fillId="0" borderId="4" xfId="0" applyFont="1" applyBorder="1" applyAlignment="1">
      <alignment horizontal="center" vertical="top" wrapText="1"/>
    </xf>
    <xf numFmtId="0" fontId="0" fillId="0" borderId="6" xfId="0" applyBorder="1" applyAlignment="1">
      <alignment horizontal="center" vertical="top" wrapText="1"/>
    </xf>
    <xf numFmtId="0" fontId="1" fillId="0" borderId="2" xfId="0" applyFont="1" applyBorder="1" applyAlignment="1">
      <alignment horizontal="center" vertical="top" wrapText="1"/>
    </xf>
    <xf numFmtId="0" fontId="0" fillId="0" borderId="4" xfId="0" applyBorder="1" applyAlignment="1">
      <alignment vertical="top" wrapText="1"/>
    </xf>
    <xf numFmtId="0" fontId="3" fillId="0" borderId="2" xfId="0" applyFont="1" applyBorder="1" applyAlignment="1">
      <alignment horizontal="center" wrapText="1"/>
    </xf>
    <xf numFmtId="0" fontId="3" fillId="0" borderId="2" xfId="0" applyFont="1" applyBorder="1" applyAlignment="1">
      <alignment wrapText="1"/>
    </xf>
    <xf numFmtId="0" fontId="0" fillId="0" borderId="2" xfId="0" applyBorder="1" applyAlignment="1">
      <alignment wrapText="1"/>
    </xf>
    <xf numFmtId="49" fontId="42" fillId="8" borderId="42" xfId="0" applyNumberFormat="1" applyFont="1" applyFill="1" applyBorder="1" applyAlignment="1">
      <alignment horizontal="left" vertical="center" wrapText="1"/>
    </xf>
    <xf numFmtId="49" fontId="42" fillId="8" borderId="0" xfId="0" applyNumberFormat="1" applyFont="1" applyFill="1" applyAlignment="1">
      <alignment horizontal="left" vertical="center" wrapText="1"/>
    </xf>
    <xf numFmtId="49" fontId="1" fillId="0" borderId="2" xfId="0" applyNumberFormat="1" applyFont="1" applyBorder="1" applyAlignment="1">
      <alignment horizontal="center"/>
    </xf>
    <xf numFmtId="49" fontId="0" fillId="0" borderId="4" xfId="0" applyNumberFormat="1" applyBorder="1" applyAlignment="1">
      <alignment horizontal="center"/>
    </xf>
    <xf numFmtId="0" fontId="3" fillId="0" borderId="36" xfId="0" applyFont="1" applyBorder="1" applyAlignment="1">
      <alignment horizontal="center"/>
    </xf>
    <xf numFmtId="164" fontId="0" fillId="0" borderId="6" xfId="0" applyNumberFormat="1" applyBorder="1" applyAlignment="1">
      <alignment horizontal="center" vertical="center"/>
    </xf>
    <xf numFmtId="164" fontId="0" fillId="0" borderId="3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6" xfId="0" applyNumberFormat="1" applyBorder="1" applyAlignment="1">
      <alignment horizontal="center"/>
    </xf>
    <xf numFmtId="164" fontId="0" fillId="0" borderId="32" xfId="0" applyNumberFormat="1" applyBorder="1"/>
    <xf numFmtId="0" fontId="1" fillId="0" borderId="12" xfId="0" applyFont="1"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164" fontId="0" fillId="0" borderId="5" xfId="0" applyNumberFormat="1" applyBorder="1" applyAlignment="1">
      <alignment horizontal="center" vertical="center"/>
    </xf>
    <xf numFmtId="164" fontId="0" fillId="0" borderId="2" xfId="0" applyNumberFormat="1" applyBorder="1" applyAlignment="1">
      <alignment horizontal="center" vertical="center"/>
    </xf>
    <xf numFmtId="49" fontId="0" fillId="0" borderId="2" xfId="0" applyNumberFormat="1" applyBorder="1" applyAlignment="1">
      <alignment horizontal="center"/>
    </xf>
    <xf numFmtId="0" fontId="3" fillId="0" borderId="0" xfId="0" applyFont="1" applyAlignment="1">
      <alignment horizontal="center" vertical="top" wrapText="1"/>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49" fontId="1" fillId="0" borderId="1" xfId="0" applyNumberFormat="1" applyFont="1" applyBorder="1" applyAlignment="1">
      <alignment horizontal="center"/>
    </xf>
    <xf numFmtId="49" fontId="1" fillId="0" borderId="18" xfId="0" applyNumberFormat="1" applyFont="1" applyBorder="1" applyAlignment="1">
      <alignment horizontal="center"/>
    </xf>
    <xf numFmtId="49" fontId="1" fillId="0" borderId="4" xfId="0" applyNumberFormat="1" applyFont="1" applyBorder="1" applyAlignment="1">
      <alignment horizontal="center"/>
    </xf>
    <xf numFmtId="49" fontId="1" fillId="0" borderId="29" xfId="0" applyNumberFormat="1" applyFont="1" applyBorder="1" applyAlignment="1">
      <alignment horizontal="center"/>
    </xf>
    <xf numFmtId="49" fontId="1" fillId="0" borderId="12" xfId="0" applyNumberFormat="1"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0" fillId="0" borderId="29" xfId="0" applyBorder="1" applyAlignment="1">
      <alignment horizontal="center"/>
    </xf>
    <xf numFmtId="0" fontId="0" fillId="0" borderId="32" xfId="0" applyBorder="1" applyAlignment="1">
      <alignment horizontal="center"/>
    </xf>
    <xf numFmtId="0" fontId="0" fillId="0" borderId="13" xfId="0" applyBorder="1" applyAlignment="1">
      <alignment horizontal="center"/>
    </xf>
    <xf numFmtId="0" fontId="3" fillId="0" borderId="14" xfId="0" applyFont="1" applyBorder="1" applyAlignment="1">
      <alignment horizontal="center" vertical="top" wrapText="1"/>
    </xf>
    <xf numFmtId="0" fontId="1" fillId="0" borderId="21" xfId="0" quotePrefix="1" applyFont="1"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164" fontId="1" fillId="0" borderId="2" xfId="0" applyNumberFormat="1" applyFont="1" applyBorder="1" applyAlignment="1">
      <alignment horizontal="center" wrapText="1"/>
    </xf>
    <xf numFmtId="164" fontId="0" fillId="0" borderId="2" xfId="0" applyNumberFormat="1" applyBorder="1" applyAlignment="1">
      <alignment horizontal="center" wrapText="1"/>
    </xf>
    <xf numFmtId="164" fontId="0" fillId="0" borderId="4" xfId="0" applyNumberFormat="1" applyBorder="1" applyAlignment="1">
      <alignment horizontal="center" wrapText="1"/>
    </xf>
    <xf numFmtId="0" fontId="0" fillId="0" borderId="5" xfId="0" applyBorder="1" applyAlignment="1">
      <alignment horizontal="center" vertical="top"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0" fillId="0" borderId="5" xfId="0" applyBorder="1" applyAlignment="1">
      <alignment horizontal="center" wrapText="1"/>
    </xf>
    <xf numFmtId="0" fontId="3" fillId="0" borderId="5" xfId="0" applyFont="1" applyBorder="1" applyAlignment="1">
      <alignment horizontal="center" wrapText="1"/>
    </xf>
    <xf numFmtId="0" fontId="3" fillId="0" borderId="12" xfId="0" applyFont="1" applyBorder="1" applyAlignment="1">
      <alignment horizontal="left" vertical="top"/>
    </xf>
    <xf numFmtId="0" fontId="3" fillId="0" borderId="2" xfId="0" applyFont="1" applyBorder="1" applyAlignment="1">
      <alignment vertical="top"/>
    </xf>
    <xf numFmtId="0" fontId="0" fillId="0" borderId="13" xfId="0" applyBorder="1" applyAlignment="1">
      <alignment vertical="top"/>
    </xf>
    <xf numFmtId="0" fontId="0" fillId="0" borderId="5" xfId="0" applyBorder="1" applyAlignment="1">
      <alignment vertical="top"/>
    </xf>
    <xf numFmtId="0" fontId="43" fillId="8" borderId="0" xfId="0" applyFont="1" applyFill="1" applyAlignment="1">
      <alignment horizontal="center" vertical="top" wrapText="1"/>
    </xf>
    <xf numFmtId="0" fontId="1" fillId="0" borderId="15" xfId="0" applyFont="1" applyBorder="1" applyAlignment="1">
      <alignment horizontal="center" vertical="top" wrapText="1"/>
    </xf>
    <xf numFmtId="0" fontId="0" fillId="0" borderId="3" xfId="0" applyBorder="1" applyAlignment="1">
      <alignment horizontal="center" vertical="top"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1" fillId="0" borderId="44" xfId="0" applyFont="1" applyBorder="1"/>
    <xf numFmtId="0" fontId="0" fillId="0" borderId="17" xfId="0" applyBorder="1"/>
    <xf numFmtId="49" fontId="3" fillId="0" borderId="2" xfId="0" applyNumberFormat="1" applyFont="1" applyBorder="1" applyAlignment="1">
      <alignment horizontal="center"/>
    </xf>
    <xf numFmtId="0" fontId="0" fillId="0" borderId="4" xfId="0" applyBorder="1"/>
    <xf numFmtId="0" fontId="3" fillId="0" borderId="0" xfId="0" applyFont="1" applyAlignment="1">
      <alignment horizontal="left" vertical="top"/>
    </xf>
    <xf numFmtId="0" fontId="3" fillId="0" borderId="7" xfId="0" applyFont="1" applyBorder="1" applyAlignment="1">
      <alignment horizontal="left" vertical="top"/>
    </xf>
    <xf numFmtId="0" fontId="0" fillId="0" borderId="20" xfId="0" applyBorder="1" applyAlignment="1">
      <alignment vertical="top"/>
    </xf>
    <xf numFmtId="0" fontId="0" fillId="0" borderId="10" xfId="0" applyBorder="1" applyAlignment="1">
      <alignment vertical="top"/>
    </xf>
    <xf numFmtId="0" fontId="3" fillId="0" borderId="37" xfId="0" applyFont="1" applyBorder="1" applyAlignment="1">
      <alignment horizontal="center" wrapText="1"/>
    </xf>
    <xf numFmtId="0" fontId="3" fillId="0" borderId="20" xfId="0" applyFont="1" applyBorder="1" applyAlignment="1">
      <alignment horizontal="center" wrapText="1"/>
    </xf>
    <xf numFmtId="0" fontId="3" fillId="0" borderId="10" xfId="0" applyFont="1" applyBorder="1" applyAlignment="1">
      <alignment horizontal="center" wrapText="1"/>
    </xf>
    <xf numFmtId="2" fontId="0" fillId="0" borderId="4" xfId="0" applyNumberFormat="1" applyBorder="1" applyAlignment="1">
      <alignment horizontal="center"/>
    </xf>
    <xf numFmtId="0" fontId="6" fillId="0" borderId="29" xfId="0" applyFont="1" applyBorder="1" applyAlignment="1">
      <alignment horizontal="center"/>
    </xf>
    <xf numFmtId="0" fontId="3" fillId="0" borderId="14" xfId="0" applyFont="1" applyBorder="1" applyAlignment="1">
      <alignment horizontal="center" wrapText="1"/>
    </xf>
    <xf numFmtId="0" fontId="0" fillId="0" borderId="14" xfId="0" applyBorder="1" applyAlignment="1">
      <alignment horizontal="center" wrapText="1"/>
    </xf>
    <xf numFmtId="0" fontId="0" fillId="0" borderId="31" xfId="0" applyBorder="1" applyAlignment="1">
      <alignment horizontal="center" wrapText="1"/>
    </xf>
    <xf numFmtId="0" fontId="6" fillId="0" borderId="12" xfId="0" applyFont="1" applyBorder="1" applyAlignment="1">
      <alignment horizontal="center"/>
    </xf>
    <xf numFmtId="0" fontId="0" fillId="0" borderId="14" xfId="0" applyBorder="1" applyAlignment="1">
      <alignment wrapText="1"/>
    </xf>
    <xf numFmtId="0" fontId="0" fillId="0" borderId="31" xfId="0" applyBorder="1" applyAlignment="1">
      <alignment wrapText="1"/>
    </xf>
    <xf numFmtId="0" fontId="3" fillId="0" borderId="2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xf>
    <xf numFmtId="0" fontId="3" fillId="0" borderId="30" xfId="0" applyFont="1" applyBorder="1" applyAlignment="1">
      <alignment horizontal="center"/>
    </xf>
    <xf numFmtId="49" fontId="6" fillId="0" borderId="2" xfId="0" applyNumberFormat="1" applyFont="1" applyBorder="1" applyAlignment="1">
      <alignment horizontal="center"/>
    </xf>
    <xf numFmtId="0" fontId="3" fillId="0" borderId="9" xfId="0" applyFont="1" applyBorder="1" applyAlignment="1">
      <alignment horizontal="center" vertical="top"/>
    </xf>
    <xf numFmtId="0" fontId="3" fillId="0" borderId="30" xfId="0" applyFont="1" applyBorder="1" applyAlignment="1">
      <alignment horizontal="center" vertical="top"/>
    </xf>
    <xf numFmtId="0" fontId="0" fillId="0" borderId="43" xfId="0" applyBorder="1" applyAlignment="1">
      <alignment horizontal="center" vertical="top"/>
    </xf>
    <xf numFmtId="0" fontId="0" fillId="0" borderId="20" xfId="0" applyBorder="1" applyAlignment="1">
      <alignment horizontal="center" vertical="top"/>
    </xf>
    <xf numFmtId="0" fontId="0" fillId="0" borderId="4" xfId="0" applyBorder="1" applyAlignment="1">
      <alignment horizontal="center" vertical="top" wrapText="1"/>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0" fillId="0" borderId="2" xfId="0" applyBorder="1" applyAlignment="1">
      <alignment horizontal="center" wrapText="1"/>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3" xfId="0" applyFont="1" applyBorder="1" applyAlignment="1">
      <alignment horizontal="center"/>
    </xf>
    <xf numFmtId="49" fontId="1" fillId="0" borderId="13" xfId="0" applyNumberFormat="1" applyFont="1" applyBorder="1" applyAlignment="1">
      <alignment horizontal="center"/>
    </xf>
    <xf numFmtId="164" fontId="6" fillId="0" borderId="5" xfId="0" applyNumberFormat="1" applyFont="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1" fontId="1" fillId="0" borderId="13" xfId="0" applyNumberFormat="1" applyFont="1" applyBorder="1" applyAlignment="1">
      <alignment horizontal="center"/>
    </xf>
    <xf numFmtId="0" fontId="0" fillId="0" borderId="4" xfId="0" applyBorder="1" applyAlignment="1">
      <alignment wrapText="1"/>
    </xf>
    <xf numFmtId="0" fontId="1" fillId="0" borderId="12" xfId="0" applyFont="1" applyBorder="1" applyAlignment="1">
      <alignment horizontal="center"/>
    </xf>
    <xf numFmtId="1" fontId="1" fillId="0" borderId="12" xfId="0" applyNumberFormat="1" applyFont="1" applyBorder="1" applyAlignment="1">
      <alignment horizontal="center"/>
    </xf>
    <xf numFmtId="0" fontId="3" fillId="0" borderId="14" xfId="0" applyFont="1" applyBorder="1" applyAlignment="1">
      <alignment horizontal="left" wrapText="1"/>
    </xf>
    <xf numFmtId="0" fontId="0" fillId="0" borderId="0" xfId="0" applyAlignment="1">
      <alignment wrapText="1"/>
    </xf>
    <xf numFmtId="1" fontId="1" fillId="0" borderId="21" xfId="0" applyNumberFormat="1" applyFon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1" fillId="0" borderId="1" xfId="0" applyFont="1" applyBorder="1" applyAlignment="1">
      <alignment horizontal="center"/>
    </xf>
    <xf numFmtId="0" fontId="0" fillId="0" borderId="6" xfId="0" applyBorder="1" applyAlignment="1">
      <alignment horizontal="center"/>
    </xf>
    <xf numFmtId="49" fontId="6" fillId="0" borderId="5" xfId="0" applyNumberFormat="1" applyFont="1" applyBorder="1" applyAlignment="1">
      <alignment horizontal="center"/>
    </xf>
    <xf numFmtId="0" fontId="2" fillId="0" borderId="30" xfId="0" applyFont="1" applyBorder="1" applyAlignment="1">
      <alignment vertical="top" wrapText="1"/>
    </xf>
    <xf numFmtId="0" fontId="0" fillId="0" borderId="30" xfId="0" applyBorder="1" applyAlignment="1">
      <alignment vertical="top" wrapText="1"/>
    </xf>
    <xf numFmtId="0" fontId="0" fillId="0" borderId="0" xfId="0" applyAlignment="1">
      <alignment vertical="top" wrapText="1"/>
    </xf>
    <xf numFmtId="49" fontId="3" fillId="0" borderId="3" xfId="0" applyNumberFormat="1" applyFont="1" applyBorder="1" applyAlignment="1">
      <alignment horizontal="center"/>
    </xf>
    <xf numFmtId="49" fontId="1" fillId="0" borderId="8" xfId="0" applyNumberFormat="1" applyFont="1" applyBorder="1" applyAlignment="1">
      <alignment horizontal="center"/>
    </xf>
    <xf numFmtId="49" fontId="6" fillId="0" borderId="15" xfId="0" applyNumberFormat="1" applyFont="1" applyBorder="1" applyAlignment="1">
      <alignment horizontal="center"/>
    </xf>
    <xf numFmtId="0" fontId="1" fillId="0" borderId="15" xfId="0" applyFont="1" applyBorder="1" applyAlignment="1">
      <alignment horizontal="center" vertical="top"/>
    </xf>
    <xf numFmtId="0" fontId="0" fillId="0" borderId="3" xfId="0" applyBorder="1" applyAlignment="1">
      <alignment horizontal="center" vertical="top"/>
    </xf>
    <xf numFmtId="0" fontId="1" fillId="0" borderId="16" xfId="0" applyFont="1" applyBorder="1" applyAlignment="1">
      <alignment horizontal="center" vertical="top" wrapText="1"/>
    </xf>
    <xf numFmtId="0" fontId="0" fillId="0" borderId="43" xfId="0" applyBorder="1" applyAlignment="1">
      <alignment horizontal="center" vertical="top" wrapText="1"/>
    </xf>
    <xf numFmtId="0" fontId="0" fillId="0" borderId="46" xfId="0" applyBorder="1" applyAlignment="1">
      <alignment horizontal="center" vertical="top" wrapText="1"/>
    </xf>
    <xf numFmtId="164" fontId="6" fillId="0" borderId="2" xfId="0" applyNumberFormat="1" applyFont="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0" fontId="1" fillId="0" borderId="29" xfId="0" applyFont="1" applyBorder="1" applyAlignment="1">
      <alignment horizontal="center"/>
    </xf>
    <xf numFmtId="49" fontId="3" fillId="0" borderId="36" xfId="0" applyNumberFormat="1" applyFont="1" applyBorder="1" applyAlignment="1">
      <alignment horizontal="center"/>
    </xf>
    <xf numFmtId="0" fontId="0" fillId="0" borderId="34" xfId="0" applyBorder="1" applyAlignment="1">
      <alignment horizontal="center" vertical="top" wrapText="1"/>
    </xf>
    <xf numFmtId="0" fontId="0" fillId="0" borderId="0" xfId="0" applyAlignment="1">
      <alignment vertical="top"/>
    </xf>
    <xf numFmtId="0" fontId="0" fillId="0" borderId="7" xfId="0" applyBorder="1" applyAlignment="1">
      <alignment vertical="top"/>
    </xf>
    <xf numFmtId="0" fontId="0" fillId="0" borderId="46" xfId="0" applyBorder="1" applyAlignment="1">
      <alignment horizontal="center" vertical="top"/>
    </xf>
    <xf numFmtId="0" fontId="34" fillId="0" borderId="0" xfId="3" applyFont="1" applyAlignment="1">
      <alignment horizontal="center"/>
    </xf>
  </cellXfs>
  <cellStyles count="5">
    <cellStyle name="Comma 2" xfId="4" xr:uid="{00000000-0005-0000-0000-000000000000}"/>
    <cellStyle name="Hyperlink" xfId="1" builtinId="8"/>
    <cellStyle name="Input" xfId="2" builtinId="20"/>
    <cellStyle name="Normal" xfId="0" builtinId="0"/>
    <cellStyle name="Normal 2" xfId="3" xr:uid="{00000000-0005-0000-0000-00000400000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colors>
    <mruColors>
      <color rgb="FF56B4E9"/>
      <color rgb="FFF0E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11</xdr:row>
      <xdr:rowOff>137160</xdr:rowOff>
    </xdr:from>
    <xdr:to>
      <xdr:col>14</xdr:col>
      <xdr:colOff>3255645</xdr:colOff>
      <xdr:row>28</xdr:row>
      <xdr:rowOff>142875</xdr:rowOff>
    </xdr:to>
    <xdr:pic>
      <xdr:nvPicPr>
        <xdr:cNvPr id="4116" name="Picture 1">
          <a:extLst>
            <a:ext uri="{FF2B5EF4-FFF2-40B4-BE49-F238E27FC236}">
              <a16:creationId xmlns:a16="http://schemas.microsoft.com/office/drawing/2014/main" id="{22FF5F49-EEB7-472C-B1EC-7709495CC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0760" y="2072640"/>
          <a:ext cx="3268980" cy="310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torbic@tti.tamu.edu" TargetMode="External"/><Relationship Id="rId1" Type="http://schemas.openxmlformats.org/officeDocument/2006/relationships/hyperlink" Target="mailto:info@highwaysafetymanua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61A96-77FB-4752-8B76-CDF65FD78DA2}">
  <dimension ref="B1:M36"/>
  <sheetViews>
    <sheetView tabSelected="1" workbookViewId="0">
      <selection activeCell="B4" sqref="B4:M4"/>
    </sheetView>
  </sheetViews>
  <sheetFormatPr defaultColWidth="8.81640625" defaultRowHeight="14.5" x14ac:dyDescent="0.35"/>
  <cols>
    <col min="1" max="1" width="3.453125" style="185" customWidth="1"/>
    <col min="2" max="2" width="12" style="185" customWidth="1"/>
    <col min="3" max="12" width="8.81640625" style="185"/>
    <col min="13" max="13" width="30" style="185" customWidth="1"/>
    <col min="14" max="256" width="8.81640625" style="185"/>
    <col min="257" max="257" width="3.453125" style="185" customWidth="1"/>
    <col min="258" max="512" width="8.81640625" style="185"/>
    <col min="513" max="513" width="3.453125" style="185" customWidth="1"/>
    <col min="514" max="768" width="8.81640625" style="185"/>
    <col min="769" max="769" width="3.453125" style="185" customWidth="1"/>
    <col min="770" max="1024" width="8.81640625" style="185"/>
    <col min="1025" max="1025" width="3.453125" style="185" customWidth="1"/>
    <col min="1026" max="1280" width="8.81640625" style="185"/>
    <col min="1281" max="1281" width="3.453125" style="185" customWidth="1"/>
    <col min="1282" max="1536" width="8.81640625" style="185"/>
    <col min="1537" max="1537" width="3.453125" style="185" customWidth="1"/>
    <col min="1538" max="1792" width="8.81640625" style="185"/>
    <col min="1793" max="1793" width="3.453125" style="185" customWidth="1"/>
    <col min="1794" max="2048" width="8.81640625" style="185"/>
    <col min="2049" max="2049" width="3.453125" style="185" customWidth="1"/>
    <col min="2050" max="2304" width="8.81640625" style="185"/>
    <col min="2305" max="2305" width="3.453125" style="185" customWidth="1"/>
    <col min="2306" max="2560" width="8.81640625" style="185"/>
    <col min="2561" max="2561" width="3.453125" style="185" customWidth="1"/>
    <col min="2562" max="2816" width="8.81640625" style="185"/>
    <col min="2817" max="2817" width="3.453125" style="185" customWidth="1"/>
    <col min="2818" max="3072" width="8.81640625" style="185"/>
    <col min="3073" max="3073" width="3.453125" style="185" customWidth="1"/>
    <col min="3074" max="3328" width="8.81640625" style="185"/>
    <col min="3329" max="3329" width="3.453125" style="185" customWidth="1"/>
    <col min="3330" max="3584" width="8.81640625" style="185"/>
    <col min="3585" max="3585" width="3.453125" style="185" customWidth="1"/>
    <col min="3586" max="3840" width="8.81640625" style="185"/>
    <col min="3841" max="3841" width="3.453125" style="185" customWidth="1"/>
    <col min="3842" max="4096" width="8.81640625" style="185"/>
    <col min="4097" max="4097" width="3.453125" style="185" customWidth="1"/>
    <col min="4098" max="4352" width="8.81640625" style="185"/>
    <col min="4353" max="4353" width="3.453125" style="185" customWidth="1"/>
    <col min="4354" max="4608" width="8.81640625" style="185"/>
    <col min="4609" max="4609" width="3.453125" style="185" customWidth="1"/>
    <col min="4610" max="4864" width="8.81640625" style="185"/>
    <col min="4865" max="4865" width="3.453125" style="185" customWidth="1"/>
    <col min="4866" max="5120" width="8.81640625" style="185"/>
    <col min="5121" max="5121" width="3.453125" style="185" customWidth="1"/>
    <col min="5122" max="5376" width="8.81640625" style="185"/>
    <col min="5377" max="5377" width="3.453125" style="185" customWidth="1"/>
    <col min="5378" max="5632" width="8.81640625" style="185"/>
    <col min="5633" max="5633" width="3.453125" style="185" customWidth="1"/>
    <col min="5634" max="5888" width="8.81640625" style="185"/>
    <col min="5889" max="5889" width="3.453125" style="185" customWidth="1"/>
    <col min="5890" max="6144" width="8.81640625" style="185"/>
    <col min="6145" max="6145" width="3.453125" style="185" customWidth="1"/>
    <col min="6146" max="6400" width="8.81640625" style="185"/>
    <col min="6401" max="6401" width="3.453125" style="185" customWidth="1"/>
    <col min="6402" max="6656" width="8.81640625" style="185"/>
    <col min="6657" max="6657" width="3.453125" style="185" customWidth="1"/>
    <col min="6658" max="6912" width="8.81640625" style="185"/>
    <col min="6913" max="6913" width="3.453125" style="185" customWidth="1"/>
    <col min="6914" max="7168" width="8.81640625" style="185"/>
    <col min="7169" max="7169" width="3.453125" style="185" customWidth="1"/>
    <col min="7170" max="7424" width="8.81640625" style="185"/>
    <col min="7425" max="7425" width="3.453125" style="185" customWidth="1"/>
    <col min="7426" max="7680" width="8.81640625" style="185"/>
    <col min="7681" max="7681" width="3.453125" style="185" customWidth="1"/>
    <col min="7682" max="7936" width="8.81640625" style="185"/>
    <col min="7937" max="7937" width="3.453125" style="185" customWidth="1"/>
    <col min="7938" max="8192" width="8.81640625" style="185"/>
    <col min="8193" max="8193" width="3.453125" style="185" customWidth="1"/>
    <col min="8194" max="8448" width="8.81640625" style="185"/>
    <col min="8449" max="8449" width="3.453125" style="185" customWidth="1"/>
    <col min="8450" max="8704" width="8.81640625" style="185"/>
    <col min="8705" max="8705" width="3.453125" style="185" customWidth="1"/>
    <col min="8706" max="8960" width="8.81640625" style="185"/>
    <col min="8961" max="8961" width="3.453125" style="185" customWidth="1"/>
    <col min="8962" max="9216" width="8.81640625" style="185"/>
    <col min="9217" max="9217" width="3.453125" style="185" customWidth="1"/>
    <col min="9218" max="9472" width="8.81640625" style="185"/>
    <col min="9473" max="9473" width="3.453125" style="185" customWidth="1"/>
    <col min="9474" max="9728" width="8.81640625" style="185"/>
    <col min="9729" max="9729" width="3.453125" style="185" customWidth="1"/>
    <col min="9730" max="9984" width="8.81640625" style="185"/>
    <col min="9985" max="9985" width="3.453125" style="185" customWidth="1"/>
    <col min="9986" max="10240" width="8.81640625" style="185"/>
    <col min="10241" max="10241" width="3.453125" style="185" customWidth="1"/>
    <col min="10242" max="10496" width="8.81640625" style="185"/>
    <col min="10497" max="10497" width="3.453125" style="185" customWidth="1"/>
    <col min="10498" max="10752" width="8.81640625" style="185"/>
    <col min="10753" max="10753" width="3.453125" style="185" customWidth="1"/>
    <col min="10754" max="11008" width="8.81640625" style="185"/>
    <col min="11009" max="11009" width="3.453125" style="185" customWidth="1"/>
    <col min="11010" max="11264" width="8.81640625" style="185"/>
    <col min="11265" max="11265" width="3.453125" style="185" customWidth="1"/>
    <col min="11266" max="11520" width="8.81640625" style="185"/>
    <col min="11521" max="11521" width="3.453125" style="185" customWidth="1"/>
    <col min="11522" max="11776" width="8.81640625" style="185"/>
    <col min="11777" max="11777" width="3.453125" style="185" customWidth="1"/>
    <col min="11778" max="12032" width="8.81640625" style="185"/>
    <col min="12033" max="12033" width="3.453125" style="185" customWidth="1"/>
    <col min="12034" max="12288" width="8.81640625" style="185"/>
    <col min="12289" max="12289" width="3.453125" style="185" customWidth="1"/>
    <col min="12290" max="12544" width="8.81640625" style="185"/>
    <col min="12545" max="12545" width="3.453125" style="185" customWidth="1"/>
    <col min="12546" max="12800" width="8.81640625" style="185"/>
    <col min="12801" max="12801" width="3.453125" style="185" customWidth="1"/>
    <col min="12802" max="13056" width="8.81640625" style="185"/>
    <col min="13057" max="13057" width="3.453125" style="185" customWidth="1"/>
    <col min="13058" max="13312" width="8.81640625" style="185"/>
    <col min="13313" max="13313" width="3.453125" style="185" customWidth="1"/>
    <col min="13314" max="13568" width="8.81640625" style="185"/>
    <col min="13569" max="13569" width="3.453125" style="185" customWidth="1"/>
    <col min="13570" max="13824" width="8.81640625" style="185"/>
    <col min="13825" max="13825" width="3.453125" style="185" customWidth="1"/>
    <col min="13826" max="14080" width="8.81640625" style="185"/>
    <col min="14081" max="14081" width="3.453125" style="185" customWidth="1"/>
    <col min="14082" max="14336" width="8.81640625" style="185"/>
    <col min="14337" max="14337" width="3.453125" style="185" customWidth="1"/>
    <col min="14338" max="14592" width="8.81640625" style="185"/>
    <col min="14593" max="14593" width="3.453125" style="185" customWidth="1"/>
    <col min="14594" max="14848" width="8.81640625" style="185"/>
    <col min="14849" max="14849" width="3.453125" style="185" customWidth="1"/>
    <col min="14850" max="15104" width="8.81640625" style="185"/>
    <col min="15105" max="15105" width="3.453125" style="185" customWidth="1"/>
    <col min="15106" max="15360" width="8.81640625" style="185"/>
    <col min="15361" max="15361" width="3.453125" style="185" customWidth="1"/>
    <col min="15362" max="15616" width="8.81640625" style="185"/>
    <col min="15617" max="15617" width="3.453125" style="185" customWidth="1"/>
    <col min="15618" max="15872" width="8.81640625" style="185"/>
    <col min="15873" max="15873" width="3.453125" style="185" customWidth="1"/>
    <col min="15874" max="16128" width="8.81640625" style="185"/>
    <col min="16129" max="16129" width="3.453125" style="185" customWidth="1"/>
    <col min="16130" max="16384" width="8.81640625" style="185"/>
  </cols>
  <sheetData>
    <row r="1" spans="2:13" ht="15" thickBot="1" x14ac:dyDescent="0.4"/>
    <row r="2" spans="2:13" ht="15" thickTop="1" x14ac:dyDescent="0.35">
      <c r="B2" s="259"/>
      <c r="C2" s="260"/>
      <c r="D2" s="260"/>
      <c r="E2" s="260"/>
      <c r="F2" s="260"/>
      <c r="G2" s="260"/>
      <c r="H2" s="260"/>
      <c r="I2" s="260"/>
      <c r="J2" s="260"/>
      <c r="K2" s="260"/>
      <c r="L2" s="260"/>
      <c r="M2" s="261"/>
    </row>
    <row r="3" spans="2:13" ht="18" x14ac:dyDescent="0.4">
      <c r="B3" s="262"/>
      <c r="C3" s="276" t="s">
        <v>929</v>
      </c>
      <c r="D3" s="276"/>
      <c r="E3" s="276"/>
      <c r="F3" s="276"/>
      <c r="G3" s="276"/>
      <c r="H3" s="276"/>
      <c r="I3" s="276"/>
      <c r="J3" s="276"/>
      <c r="K3" s="276"/>
      <c r="L3" s="276"/>
      <c r="M3" s="263"/>
    </row>
    <row r="4" spans="2:13" ht="68" customHeight="1" x14ac:dyDescent="0.35">
      <c r="B4" s="277" t="s">
        <v>933</v>
      </c>
      <c r="C4" s="278"/>
      <c r="D4" s="278"/>
      <c r="E4" s="278"/>
      <c r="F4" s="278"/>
      <c r="G4" s="278"/>
      <c r="H4" s="278"/>
      <c r="I4" s="278"/>
      <c r="J4" s="278"/>
      <c r="K4" s="278"/>
      <c r="L4" s="278"/>
      <c r="M4" s="279"/>
    </row>
    <row r="5" spans="2:13" ht="15" thickBot="1" x14ac:dyDescent="0.4">
      <c r="B5" s="264"/>
      <c r="C5" s="265"/>
      <c r="D5" s="265"/>
      <c r="E5" s="265"/>
      <c r="F5" s="265"/>
      <c r="G5" s="265"/>
      <c r="H5" s="265"/>
      <c r="I5" s="265"/>
      <c r="J5" s="265"/>
      <c r="K5" s="265"/>
      <c r="L5" s="265"/>
      <c r="M5" s="266"/>
    </row>
    <row r="6" spans="2:13" ht="15" thickTop="1" x14ac:dyDescent="0.35"/>
    <row r="7" spans="2:13" x14ac:dyDescent="0.35">
      <c r="B7" s="280"/>
      <c r="C7" s="280"/>
      <c r="D7" s="280"/>
      <c r="E7" s="280"/>
      <c r="F7" s="280"/>
      <c r="G7" s="280"/>
      <c r="H7" s="280"/>
      <c r="I7" s="280"/>
      <c r="J7" s="280"/>
      <c r="K7" s="280"/>
      <c r="L7" s="280"/>
      <c r="M7" s="280"/>
    </row>
    <row r="8" spans="2:13" x14ac:dyDescent="0.35">
      <c r="B8" s="212"/>
      <c r="C8" s="212"/>
      <c r="D8" s="212"/>
      <c r="E8" s="212"/>
      <c r="F8" s="212"/>
      <c r="G8" s="212"/>
      <c r="H8" s="212"/>
      <c r="I8" s="212"/>
      <c r="J8" s="212"/>
      <c r="K8" s="212"/>
      <c r="L8" s="212"/>
      <c r="M8" s="212"/>
    </row>
    <row r="9" spans="2:13" s="268" customFormat="1" ht="44.5" customHeight="1" x14ac:dyDescent="0.25">
      <c r="B9" s="281" t="s">
        <v>932</v>
      </c>
      <c r="C9" s="275"/>
      <c r="D9" s="275"/>
      <c r="E9" s="275"/>
      <c r="F9" s="275"/>
      <c r="G9" s="275"/>
      <c r="H9" s="275"/>
      <c r="I9" s="275"/>
      <c r="J9" s="275"/>
      <c r="K9" s="275"/>
      <c r="L9" s="275"/>
      <c r="M9" s="275"/>
    </row>
    <row r="10" spans="2:13" s="268" customFormat="1" x14ac:dyDescent="0.25">
      <c r="B10" s="275" t="s">
        <v>918</v>
      </c>
      <c r="C10" s="275"/>
      <c r="D10" s="275"/>
      <c r="E10" s="275"/>
      <c r="F10" s="267"/>
      <c r="G10" s="267"/>
      <c r="H10" s="267"/>
      <c r="I10" s="267"/>
      <c r="J10" s="267"/>
      <c r="K10" s="267"/>
      <c r="L10" s="267"/>
      <c r="M10" s="267"/>
    </row>
    <row r="11" spans="2:13" x14ac:dyDescent="0.35">
      <c r="B11" s="212"/>
      <c r="C11" s="212"/>
      <c r="D11" s="212"/>
      <c r="E11" s="212"/>
      <c r="F11" s="212"/>
      <c r="G11" s="212"/>
      <c r="H11" s="212"/>
      <c r="I11" s="212"/>
      <c r="J11" s="212"/>
      <c r="K11" s="212"/>
      <c r="L11" s="212"/>
      <c r="M11" s="212"/>
    </row>
    <row r="13" spans="2:13" x14ac:dyDescent="0.35">
      <c r="B13" s="269" t="s">
        <v>919</v>
      </c>
    </row>
    <row r="14" spans="2:13" ht="62.5" customHeight="1" x14ac:dyDescent="0.35">
      <c r="B14" s="275" t="s">
        <v>920</v>
      </c>
      <c r="C14" s="275"/>
      <c r="D14" s="275"/>
      <c r="E14" s="275"/>
      <c r="F14" s="275"/>
      <c r="G14" s="275"/>
      <c r="H14" s="275"/>
      <c r="I14" s="275"/>
      <c r="J14" s="275"/>
      <c r="K14" s="275"/>
      <c r="L14" s="275"/>
      <c r="M14" s="275"/>
    </row>
    <row r="15" spans="2:13" x14ac:dyDescent="0.35">
      <c r="B15" s="267"/>
      <c r="C15" s="267"/>
      <c r="D15" s="267"/>
      <c r="E15" s="267"/>
      <c r="F15" s="267"/>
      <c r="G15" s="267"/>
      <c r="H15" s="267"/>
      <c r="I15" s="267"/>
      <c r="J15" s="267"/>
      <c r="K15" s="267"/>
      <c r="L15" s="267"/>
      <c r="M15" s="267"/>
    </row>
    <row r="16" spans="2:13" x14ac:dyDescent="0.35">
      <c r="B16" s="269" t="s">
        <v>921</v>
      </c>
    </row>
    <row r="17" spans="2:13" x14ac:dyDescent="0.35">
      <c r="B17" s="275" t="s">
        <v>922</v>
      </c>
      <c r="C17" s="275"/>
      <c r="D17" s="275"/>
      <c r="E17" s="275"/>
      <c r="F17" s="275"/>
      <c r="G17" s="275"/>
      <c r="H17" s="275"/>
      <c r="I17" s="275"/>
      <c r="J17" s="275"/>
      <c r="K17" s="275"/>
      <c r="L17" s="275"/>
      <c r="M17" s="275"/>
    </row>
    <row r="18" spans="2:13" x14ac:dyDescent="0.35">
      <c r="B18" s="275" t="s">
        <v>923</v>
      </c>
      <c r="C18" s="275"/>
      <c r="D18" s="275"/>
      <c r="E18" s="275"/>
      <c r="F18" s="275"/>
      <c r="G18" s="275"/>
      <c r="H18" s="275"/>
      <c r="I18" s="275"/>
      <c r="J18" s="275"/>
      <c r="K18" s="275"/>
      <c r="L18" s="275"/>
      <c r="M18" s="275"/>
    </row>
    <row r="20" spans="2:13" x14ac:dyDescent="0.35">
      <c r="B20" s="269" t="s">
        <v>924</v>
      </c>
    </row>
    <row r="21" spans="2:13" ht="48.5" customHeight="1" x14ac:dyDescent="0.35">
      <c r="B21" s="275" t="s">
        <v>930</v>
      </c>
      <c r="C21" s="275"/>
      <c r="D21" s="275"/>
      <c r="E21" s="275"/>
      <c r="F21" s="275"/>
      <c r="G21" s="275"/>
      <c r="H21" s="275"/>
      <c r="I21" s="275"/>
      <c r="J21" s="275"/>
      <c r="K21" s="275"/>
      <c r="L21" s="275"/>
      <c r="M21" s="275"/>
    </row>
    <row r="23" spans="2:13" ht="94.5" customHeight="1" x14ac:dyDescent="0.35">
      <c r="B23" s="275" t="s">
        <v>925</v>
      </c>
      <c r="C23" s="275"/>
      <c r="D23" s="275"/>
      <c r="E23" s="275"/>
      <c r="F23" s="275"/>
      <c r="G23" s="275"/>
      <c r="H23" s="275"/>
      <c r="I23" s="275"/>
      <c r="J23" s="275"/>
      <c r="K23" s="275"/>
      <c r="L23" s="275"/>
      <c r="M23" s="275"/>
    </row>
    <row r="24" spans="2:13" x14ac:dyDescent="0.35">
      <c r="B24" s="270"/>
      <c r="C24" s="270"/>
      <c r="D24" s="270"/>
      <c r="E24" s="270"/>
      <c r="F24" s="270"/>
      <c r="G24" s="270"/>
      <c r="H24" s="270"/>
      <c r="I24" s="270"/>
      <c r="J24" s="270"/>
      <c r="K24" s="270"/>
      <c r="L24" s="270"/>
      <c r="M24" s="270"/>
    </row>
    <row r="25" spans="2:13" x14ac:dyDescent="0.35">
      <c r="B25" s="274"/>
      <c r="C25" s="274"/>
      <c r="D25" s="274"/>
      <c r="E25" s="274"/>
      <c r="F25" s="274"/>
      <c r="G25" s="274"/>
      <c r="H25" s="274"/>
      <c r="I25" s="274"/>
      <c r="J25" s="274"/>
      <c r="K25" s="274"/>
      <c r="L25" s="274"/>
      <c r="M25" s="274"/>
    </row>
    <row r="26" spans="2:13" x14ac:dyDescent="0.35">
      <c r="B26" s="271" t="s">
        <v>926</v>
      </c>
      <c r="C26" s="268"/>
      <c r="D26" s="268"/>
      <c r="E26" s="268"/>
      <c r="F26" s="268"/>
      <c r="G26" s="268"/>
      <c r="H26" s="268"/>
      <c r="I26" s="268"/>
      <c r="J26" s="268"/>
      <c r="K26" s="268"/>
      <c r="L26" s="268"/>
      <c r="M26" s="268"/>
    </row>
    <row r="27" spans="2:13" x14ac:dyDescent="0.35">
      <c r="B27" s="275" t="s">
        <v>931</v>
      </c>
      <c r="C27" s="275"/>
      <c r="D27" s="275"/>
      <c r="E27" s="275"/>
      <c r="F27" s="275"/>
      <c r="G27" s="275"/>
      <c r="H27" s="275"/>
      <c r="I27" s="275"/>
      <c r="J27" s="275"/>
      <c r="K27" s="275"/>
      <c r="L27" s="275"/>
      <c r="M27" s="275"/>
    </row>
    <row r="28" spans="2:13" x14ac:dyDescent="0.35">
      <c r="B28" s="267"/>
      <c r="C28" s="267"/>
      <c r="D28" s="267"/>
      <c r="E28" s="267"/>
      <c r="F28" s="267"/>
      <c r="G28" s="267"/>
      <c r="H28" s="267"/>
      <c r="I28" s="267"/>
      <c r="J28" s="267"/>
      <c r="K28" s="267"/>
      <c r="L28" s="267"/>
      <c r="M28" s="267"/>
    </row>
    <row r="29" spans="2:13" ht="38.5" customHeight="1" x14ac:dyDescent="0.35">
      <c r="B29" s="275" t="s">
        <v>927</v>
      </c>
      <c r="C29" s="275"/>
      <c r="D29" s="275"/>
      <c r="E29" s="275"/>
      <c r="F29" s="275"/>
      <c r="G29" s="275"/>
      <c r="H29" s="275"/>
      <c r="I29" s="275"/>
      <c r="J29" s="275"/>
      <c r="K29" s="275"/>
      <c r="L29" s="275"/>
      <c r="M29" s="275"/>
    </row>
    <row r="30" spans="2:13" x14ac:dyDescent="0.35">
      <c r="B30" s="267"/>
      <c r="C30" s="267"/>
      <c r="D30" s="267"/>
      <c r="E30" s="267"/>
      <c r="F30" s="267"/>
      <c r="G30" s="267"/>
      <c r="H30" s="267"/>
      <c r="I30" s="267"/>
      <c r="J30" s="267"/>
      <c r="K30" s="267"/>
      <c r="L30" s="267"/>
      <c r="M30" s="267"/>
    </row>
    <row r="31" spans="2:13" ht="40.5" customHeight="1" x14ac:dyDescent="0.35">
      <c r="B31" s="275" t="s">
        <v>928</v>
      </c>
      <c r="C31" s="275"/>
      <c r="D31" s="275"/>
      <c r="E31" s="275"/>
      <c r="F31" s="275"/>
      <c r="G31" s="275"/>
      <c r="H31" s="275"/>
      <c r="I31" s="275"/>
      <c r="J31" s="275"/>
      <c r="K31" s="275"/>
      <c r="L31" s="275"/>
      <c r="M31" s="275"/>
    </row>
    <row r="32" spans="2:13" x14ac:dyDescent="0.35">
      <c r="B32" s="211"/>
      <c r="C32" s="211"/>
      <c r="D32" s="211"/>
      <c r="E32" s="211"/>
      <c r="F32" s="211"/>
      <c r="G32" s="211"/>
      <c r="H32" s="211"/>
      <c r="I32" s="211"/>
      <c r="J32" s="211"/>
      <c r="K32" s="211"/>
      <c r="L32" s="211"/>
      <c r="M32" s="211"/>
    </row>
    <row r="33" spans="2:4" x14ac:dyDescent="0.35">
      <c r="B33" s="271"/>
      <c r="C33" s="268"/>
      <c r="D33" s="268"/>
    </row>
    <row r="34" spans="2:4" x14ac:dyDescent="0.35">
      <c r="B34" s="272"/>
      <c r="D34" s="268"/>
    </row>
    <row r="35" spans="2:4" x14ac:dyDescent="0.35">
      <c r="B35" s="273"/>
      <c r="C35" s="268"/>
    </row>
    <row r="36" spans="2:4" x14ac:dyDescent="0.35">
      <c r="B36" s="272"/>
    </row>
  </sheetData>
  <mergeCells count="14">
    <mergeCell ref="C3:L3"/>
    <mergeCell ref="B4:M4"/>
    <mergeCell ref="B7:M7"/>
    <mergeCell ref="B9:M9"/>
    <mergeCell ref="B10:E10"/>
    <mergeCell ref="B25:M25"/>
    <mergeCell ref="B27:M27"/>
    <mergeCell ref="B29:M29"/>
    <mergeCell ref="B31:M31"/>
    <mergeCell ref="B14:M14"/>
    <mergeCell ref="B17:M17"/>
    <mergeCell ref="B18:M18"/>
    <mergeCell ref="B21:M21"/>
    <mergeCell ref="B23:M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BA92"/>
  <sheetViews>
    <sheetView zoomScale="80" zoomScaleNormal="80" workbookViewId="0">
      <selection activeCell="T49" sqref="T49"/>
    </sheetView>
  </sheetViews>
  <sheetFormatPr defaultColWidth="9.1796875" defaultRowHeight="12.5" x14ac:dyDescent="0.25"/>
  <cols>
    <col min="1" max="7" width="13.7265625" customWidth="1"/>
    <col min="8" max="8" width="15.26953125" customWidth="1"/>
    <col min="9" max="9" width="13.7265625" customWidth="1"/>
    <col min="10" max="10" width="15.81640625" customWidth="1"/>
    <col min="11" max="11" width="19.26953125" customWidth="1"/>
    <col min="12" max="12" width="20.26953125" customWidth="1"/>
    <col min="13" max="13" width="19.26953125" customWidth="1"/>
    <col min="14" max="17" width="13.7265625" customWidth="1"/>
    <col min="18" max="27" width="12.7265625" customWidth="1"/>
    <col min="34" max="34" width="11" customWidth="1"/>
    <col min="35" max="35" width="12.453125" customWidth="1"/>
    <col min="36" max="36" width="10.453125" customWidth="1"/>
    <col min="37" max="37" width="10.7265625" customWidth="1"/>
    <col min="38" max="38" width="12.453125" customWidth="1"/>
    <col min="39" max="39" width="10.453125" customWidth="1"/>
    <col min="40" max="40" width="11.7265625" customWidth="1"/>
    <col min="41" max="41" width="10.453125" customWidth="1"/>
    <col min="44" max="44" width="10.1796875" customWidth="1"/>
  </cols>
  <sheetData>
    <row r="1" spans="1:53" x14ac:dyDescent="0.25">
      <c r="L1" s="6"/>
      <c r="O1" s="1"/>
      <c r="U1" s="7"/>
    </row>
    <row r="2" spans="1:53" ht="13" thickBot="1" x14ac:dyDescent="0.3">
      <c r="B2" s="242"/>
      <c r="C2" s="242"/>
      <c r="D2" s="242"/>
      <c r="E2" s="242"/>
      <c r="F2" s="242"/>
      <c r="G2" s="242"/>
      <c r="H2" s="242"/>
      <c r="I2" s="242"/>
      <c r="J2" s="242"/>
      <c r="K2" s="242"/>
      <c r="L2" s="243"/>
      <c r="O2" s="1"/>
      <c r="U2" s="7"/>
    </row>
    <row r="3" spans="1:53" ht="13.5" customHeight="1" x14ac:dyDescent="0.3">
      <c r="A3" s="34"/>
      <c r="B3" s="716" t="s">
        <v>254</v>
      </c>
      <c r="C3" s="716"/>
      <c r="D3" s="716"/>
      <c r="E3" s="716"/>
      <c r="F3" s="716"/>
      <c r="G3" s="716"/>
      <c r="H3" s="716"/>
      <c r="I3" s="716"/>
      <c r="J3" s="716"/>
      <c r="K3" s="716"/>
      <c r="L3" s="716"/>
      <c r="M3" s="716"/>
      <c r="N3" s="42"/>
      <c r="O3" s="42"/>
      <c r="P3" s="42"/>
      <c r="Q3" s="42"/>
      <c r="R3" s="42"/>
      <c r="S3" s="42"/>
      <c r="T3" s="42"/>
      <c r="U3" s="65"/>
      <c r="V3" s="65"/>
      <c r="W3" s="4"/>
      <c r="X3" s="4"/>
      <c r="Y3" s="4"/>
      <c r="AH3" s="4"/>
      <c r="AR3" s="4"/>
      <c r="AS3" s="4"/>
      <c r="AT3" s="4"/>
      <c r="AU3" s="4"/>
      <c r="AV3" s="4"/>
      <c r="AW3" s="4"/>
      <c r="AX3" s="4"/>
      <c r="AY3" s="4"/>
      <c r="AZ3" s="4"/>
      <c r="BA3" s="4"/>
    </row>
    <row r="4" spans="1:53" ht="13" x14ac:dyDescent="0.3">
      <c r="A4" s="4"/>
      <c r="B4" s="716"/>
      <c r="C4" s="716"/>
      <c r="D4" s="716"/>
      <c r="E4" s="716"/>
      <c r="F4" s="716"/>
      <c r="G4" s="716"/>
      <c r="H4" s="716"/>
      <c r="I4" s="716"/>
      <c r="J4" s="716"/>
      <c r="K4" s="716"/>
      <c r="L4" s="716"/>
      <c r="M4" s="716"/>
      <c r="N4" s="42"/>
      <c r="O4" s="42"/>
      <c r="P4" s="42"/>
      <c r="Q4" s="42"/>
      <c r="R4" s="42"/>
      <c r="S4" s="42"/>
      <c r="T4" s="42"/>
      <c r="U4" s="65"/>
      <c r="V4" s="65"/>
      <c r="W4" s="1"/>
      <c r="X4" s="1"/>
      <c r="Y4" s="1"/>
      <c r="AR4" s="4"/>
      <c r="AS4" s="4"/>
      <c r="AT4" s="4"/>
      <c r="AU4" s="4"/>
      <c r="AV4" s="4"/>
      <c r="AW4" s="4"/>
      <c r="AX4" s="4"/>
      <c r="AY4" s="4"/>
      <c r="AZ4" s="4"/>
      <c r="BA4" s="4"/>
    </row>
    <row r="5" spans="1:53" ht="13" x14ac:dyDescent="0.3">
      <c r="B5" s="668" t="s">
        <v>19</v>
      </c>
      <c r="C5" s="691"/>
      <c r="D5" s="54" t="s">
        <v>20</v>
      </c>
      <c r="E5" s="54" t="s">
        <v>21</v>
      </c>
      <c r="F5" s="54" t="s">
        <v>22</v>
      </c>
      <c r="G5" s="54" t="s">
        <v>23</v>
      </c>
      <c r="H5" s="54" t="s">
        <v>24</v>
      </c>
      <c r="I5" s="54" t="s">
        <v>25</v>
      </c>
      <c r="J5" s="241" t="s">
        <v>26</v>
      </c>
      <c r="K5" s="254" t="s">
        <v>27</v>
      </c>
      <c r="L5" s="255" t="s">
        <v>28</v>
      </c>
      <c r="M5" s="255" t="s">
        <v>29</v>
      </c>
      <c r="N5" s="41"/>
      <c r="O5" s="56"/>
      <c r="P5" s="56"/>
      <c r="Q5" s="56"/>
      <c r="R5" s="56"/>
      <c r="S5" s="56"/>
      <c r="T5" s="56"/>
      <c r="W5" s="56"/>
      <c r="X5" s="56"/>
      <c r="Y5" s="56"/>
      <c r="AH5" s="4"/>
      <c r="AI5" s="4"/>
      <c r="AJ5" s="4"/>
      <c r="AK5" s="1"/>
      <c r="AL5" s="4"/>
      <c r="AM5" s="1"/>
      <c r="AN5" s="1"/>
      <c r="AO5" s="1"/>
      <c r="AR5" s="4"/>
      <c r="AS5" s="4"/>
      <c r="AT5" s="4"/>
      <c r="AU5" s="4"/>
      <c r="AV5" s="4"/>
      <c r="AW5" s="4"/>
      <c r="AX5" s="4"/>
      <c r="AY5" s="4"/>
      <c r="AZ5" s="4"/>
      <c r="BA5" s="4"/>
    </row>
    <row r="6" spans="1:53" ht="12.75" customHeight="1" x14ac:dyDescent="0.3">
      <c r="B6" s="680" t="s">
        <v>233</v>
      </c>
      <c r="C6" s="681"/>
      <c r="D6" s="696" t="s">
        <v>885</v>
      </c>
      <c r="E6" s="697"/>
      <c r="F6" s="697"/>
      <c r="G6" s="511" t="s">
        <v>886</v>
      </c>
      <c r="H6" s="511" t="s">
        <v>37</v>
      </c>
      <c r="I6" s="511" t="s">
        <v>255</v>
      </c>
      <c r="J6" s="617" t="s">
        <v>887</v>
      </c>
      <c r="K6" s="511" t="s">
        <v>906</v>
      </c>
      <c r="L6" s="511" t="s">
        <v>907</v>
      </c>
      <c r="M6" s="511" t="s">
        <v>861</v>
      </c>
      <c r="N6" s="65"/>
      <c r="O6" s="56"/>
      <c r="P6" s="56"/>
      <c r="Q6" s="56"/>
      <c r="S6" s="4"/>
      <c r="W6" s="4"/>
      <c r="X6" s="4"/>
      <c r="Y6" s="4"/>
      <c r="AH6" s="4"/>
      <c r="AI6" s="4"/>
      <c r="AJ6" s="1"/>
      <c r="AK6" s="1"/>
      <c r="AL6" s="1"/>
      <c r="AM6" s="1"/>
      <c r="AN6" s="1"/>
      <c r="AO6" s="1"/>
      <c r="AR6" s="4"/>
      <c r="AS6" s="4"/>
      <c r="AT6" s="4"/>
      <c r="AU6" s="4"/>
      <c r="AV6" s="4"/>
      <c r="AW6" s="4"/>
      <c r="AX6" s="4"/>
      <c r="AY6" s="4"/>
      <c r="AZ6" s="4"/>
      <c r="BA6" s="4"/>
    </row>
    <row r="7" spans="1:53" ht="13" x14ac:dyDescent="0.3">
      <c r="B7" s="682"/>
      <c r="C7" s="676"/>
      <c r="D7" s="697"/>
      <c r="E7" s="697"/>
      <c r="F7" s="697"/>
      <c r="G7" s="511"/>
      <c r="H7" s="675"/>
      <c r="I7" s="511"/>
      <c r="J7" s="617"/>
      <c r="K7" s="511"/>
      <c r="L7" s="511"/>
      <c r="M7" s="511"/>
      <c r="N7" s="1"/>
      <c r="O7" s="39"/>
      <c r="P7" s="39"/>
      <c r="Q7" s="39"/>
      <c r="R7" s="39"/>
      <c r="S7" s="39"/>
      <c r="T7" s="39"/>
      <c r="U7" s="39"/>
      <c r="V7" s="39"/>
      <c r="W7" s="1"/>
      <c r="X7" s="4"/>
      <c r="Y7" s="1"/>
      <c r="AH7" s="1"/>
      <c r="AI7" s="1"/>
      <c r="AJ7" s="1"/>
      <c r="AK7" s="1"/>
      <c r="AL7" s="82"/>
      <c r="AM7" s="82"/>
      <c r="AN7" s="82"/>
      <c r="AO7" s="82"/>
      <c r="AR7" s="22"/>
      <c r="AS7" s="26"/>
      <c r="AT7" s="26"/>
      <c r="AU7" s="26"/>
      <c r="AV7" s="26"/>
      <c r="AW7" s="26"/>
      <c r="AX7" s="26"/>
      <c r="AY7" s="26"/>
      <c r="AZ7" s="26"/>
      <c r="BA7" s="26"/>
    </row>
    <row r="8" spans="1:53" ht="72" customHeight="1" x14ac:dyDescent="0.25">
      <c r="B8" s="682"/>
      <c r="C8" s="676"/>
      <c r="D8" s="698"/>
      <c r="E8" s="698"/>
      <c r="F8" s="698"/>
      <c r="G8" s="511"/>
      <c r="H8" s="675"/>
      <c r="I8" s="676"/>
      <c r="J8" s="695"/>
      <c r="K8" s="511"/>
      <c r="L8" s="511"/>
      <c r="M8" s="676"/>
      <c r="O8" s="36"/>
      <c r="P8" s="36"/>
      <c r="Q8" s="36"/>
      <c r="R8" s="36"/>
      <c r="S8" s="36"/>
      <c r="T8" s="36"/>
      <c r="U8" s="36"/>
      <c r="V8" s="36"/>
      <c r="W8" s="1"/>
      <c r="X8" s="1"/>
      <c r="Y8" s="1"/>
      <c r="AH8" s="1"/>
      <c r="AI8" s="1"/>
      <c r="AJ8" s="1"/>
      <c r="AK8" s="1"/>
      <c r="AL8" s="83"/>
      <c r="AM8" s="83"/>
      <c r="AN8" s="83"/>
      <c r="AO8" s="83"/>
      <c r="AR8" s="22"/>
      <c r="AS8" s="26"/>
      <c r="AT8" s="26"/>
      <c r="AU8" s="26"/>
      <c r="AV8" s="26"/>
      <c r="AW8" s="26"/>
      <c r="AX8" s="26"/>
      <c r="AY8" s="26"/>
      <c r="AZ8" s="26"/>
      <c r="BA8" s="26"/>
    </row>
    <row r="9" spans="1:53" ht="13" x14ac:dyDescent="0.3">
      <c r="A9" s="4"/>
      <c r="B9" s="682"/>
      <c r="C9" s="676"/>
      <c r="D9" s="694" t="s">
        <v>235</v>
      </c>
      <c r="E9" s="694" t="s">
        <v>862</v>
      </c>
      <c r="F9" s="694" t="s">
        <v>236</v>
      </c>
      <c r="G9" s="511"/>
      <c r="H9" s="675"/>
      <c r="I9" s="694" t="s">
        <v>256</v>
      </c>
      <c r="J9" s="692" t="s">
        <v>257</v>
      </c>
      <c r="K9" s="724"/>
      <c r="L9" s="512"/>
      <c r="M9" s="512"/>
      <c r="N9" s="67"/>
      <c r="O9" s="68"/>
      <c r="P9" s="68"/>
      <c r="Q9" s="68"/>
      <c r="R9" s="33"/>
      <c r="S9" s="33"/>
      <c r="T9" s="33"/>
      <c r="U9" s="33"/>
      <c r="V9" s="33"/>
      <c r="AH9" s="25"/>
      <c r="AI9" s="1"/>
      <c r="AJ9" s="49"/>
      <c r="AK9" s="1"/>
      <c r="AL9" s="81"/>
      <c r="AM9" s="81"/>
      <c r="AN9" s="84"/>
      <c r="AO9" s="84"/>
      <c r="AR9" s="22"/>
      <c r="AS9" s="26"/>
      <c r="AT9" s="26"/>
      <c r="AU9" s="26"/>
      <c r="AV9" s="26"/>
      <c r="AW9" s="26"/>
      <c r="AX9" s="26"/>
      <c r="AY9" s="26"/>
      <c r="AZ9" s="26"/>
      <c r="BA9" s="26"/>
    </row>
    <row r="10" spans="1:53" ht="13" x14ac:dyDescent="0.3">
      <c r="A10" s="4"/>
      <c r="B10" s="682"/>
      <c r="C10" s="676"/>
      <c r="D10" s="675"/>
      <c r="E10" s="675"/>
      <c r="F10" s="675"/>
      <c r="G10" s="676"/>
      <c r="H10" s="676"/>
      <c r="I10" s="694"/>
      <c r="J10" s="692"/>
      <c r="K10" s="724"/>
      <c r="L10" s="512"/>
      <c r="M10" s="512"/>
      <c r="N10" s="67"/>
      <c r="O10" s="68"/>
      <c r="P10" s="68"/>
      <c r="Q10" s="68"/>
      <c r="R10" s="33"/>
      <c r="S10" s="33"/>
      <c r="T10" s="33"/>
      <c r="U10" s="33"/>
      <c r="V10" s="33"/>
      <c r="AH10" s="25"/>
      <c r="AI10" s="1"/>
      <c r="AJ10" s="49"/>
      <c r="AK10" s="1"/>
      <c r="AL10" s="81"/>
      <c r="AM10" s="81"/>
      <c r="AN10" s="84"/>
      <c r="AO10" s="84"/>
      <c r="AR10" s="22"/>
      <c r="AS10" s="26"/>
      <c r="AT10" s="26"/>
      <c r="AU10" s="26"/>
      <c r="AV10" s="26"/>
      <c r="AW10" s="26"/>
      <c r="AX10" s="26"/>
      <c r="AY10" s="26"/>
      <c r="AZ10" s="26"/>
      <c r="BA10" s="26"/>
    </row>
    <row r="11" spans="1:53" ht="13" thickBot="1" x14ac:dyDescent="0.3">
      <c r="A11" s="22"/>
      <c r="B11" s="683"/>
      <c r="C11" s="677"/>
      <c r="D11" s="677"/>
      <c r="E11" s="677"/>
      <c r="F11" s="677"/>
      <c r="G11" s="677"/>
      <c r="H11" s="677"/>
      <c r="I11" s="677"/>
      <c r="J11" s="693"/>
      <c r="K11" s="725"/>
      <c r="L11" s="726"/>
      <c r="M11" s="726"/>
      <c r="N11" s="67"/>
      <c r="O11" s="33"/>
      <c r="P11" s="33"/>
      <c r="Q11" s="33"/>
      <c r="R11" s="33"/>
      <c r="S11" s="33"/>
      <c r="T11" s="33"/>
      <c r="U11" s="33"/>
      <c r="V11" s="33"/>
      <c r="W11" s="10"/>
      <c r="X11" s="10"/>
      <c r="Y11" s="10"/>
      <c r="AH11" s="1"/>
      <c r="AI11" s="1"/>
      <c r="AJ11" s="1"/>
      <c r="AK11" s="1"/>
      <c r="AL11" s="81"/>
      <c r="AM11" s="81"/>
      <c r="AN11" s="81"/>
      <c r="AO11" s="81"/>
      <c r="AR11" s="22"/>
      <c r="AS11" s="26"/>
      <c r="AT11" s="26"/>
      <c r="AU11" s="26"/>
      <c r="AV11" s="26"/>
      <c r="AW11" s="26"/>
      <c r="AX11" s="26"/>
      <c r="AY11" s="26"/>
      <c r="AZ11" s="26"/>
      <c r="BA11" s="26"/>
    </row>
    <row r="12" spans="1:53" ht="13" x14ac:dyDescent="0.3">
      <c r="A12" s="22"/>
      <c r="B12" s="703" t="s">
        <v>378</v>
      </c>
      <c r="C12" s="703"/>
      <c r="D12" s="703"/>
      <c r="E12" s="703"/>
      <c r="F12" s="703"/>
      <c r="G12" s="703"/>
      <c r="H12" s="703"/>
      <c r="I12" s="703"/>
      <c r="J12" s="703"/>
      <c r="K12" s="703"/>
      <c r="L12" s="703"/>
      <c r="M12" s="703"/>
      <c r="N12" s="67"/>
      <c r="O12" s="33"/>
      <c r="P12" s="33"/>
      <c r="Q12" s="33"/>
      <c r="R12" s="33"/>
      <c r="S12" s="33"/>
      <c r="T12" s="33"/>
      <c r="U12" s="33"/>
      <c r="V12" s="33"/>
      <c r="W12" s="10"/>
      <c r="X12" s="10"/>
      <c r="Y12" s="10"/>
      <c r="AH12" s="1"/>
      <c r="AI12" s="1"/>
      <c r="AJ12" s="1"/>
      <c r="AK12" s="1"/>
      <c r="AL12" s="81"/>
      <c r="AM12" s="81"/>
      <c r="AN12" s="81"/>
      <c r="AO12" s="81"/>
      <c r="AR12" s="22"/>
      <c r="AS12" s="26"/>
      <c r="AT12" s="26"/>
      <c r="AU12" s="26"/>
      <c r="AV12" s="26"/>
      <c r="AW12" s="26"/>
      <c r="AX12" s="26"/>
      <c r="AY12" s="26"/>
      <c r="AZ12" s="26"/>
      <c r="BA12" s="26"/>
    </row>
    <row r="13" spans="1:53" ht="18" x14ac:dyDescent="0.4">
      <c r="A13" s="22"/>
      <c r="B13" s="503" t="s">
        <v>365</v>
      </c>
      <c r="C13" s="502"/>
      <c r="D13" s="3">
        <f t="shared" ref="D13:D20" ca="1" si="0">IFERROR(INDIRECT(B13 &amp; "!" &amp; "$M$37"),0)</f>
        <v>5.3578788514622548</v>
      </c>
      <c r="E13" s="3">
        <f t="shared" ref="E13:E20" ca="1" si="1">IFERROR(INDIRECT(B13 &amp; "!" &amp; "$M$38"),0)</f>
        <v>2.5549720260748336</v>
      </c>
      <c r="F13" s="3">
        <f t="shared" ref="F13:F20" ca="1" si="2">IFERROR(INDIRECT(B13 &amp; "!" &amp; "$M$41"),0)</f>
        <v>2.8029068253874212</v>
      </c>
      <c r="G13" s="175">
        <v>0</v>
      </c>
      <c r="H13" s="3">
        <f ca="1">IFERROR(INDIRECT(B13 &amp; "!" &amp; "$H$37"),0)</f>
        <v>0.21246032795994022</v>
      </c>
      <c r="I13" s="90">
        <f ca="1">1/(1+H13*D13)</f>
        <v>0.46765320024581813</v>
      </c>
      <c r="J13" s="53">
        <f ca="1">+I13*+D13+((1-I13)*G13)</f>
        <v>2.5056291914157121</v>
      </c>
      <c r="K13" s="3">
        <f>Segment_Divided_1!D70</f>
        <v>6.7883575499999996E-3</v>
      </c>
      <c r="L13" s="53">
        <f>Segment_Divided_1!F70</f>
        <v>2.7732989024292103E-3</v>
      </c>
      <c r="M13" s="256">
        <f ca="1">J13+K13+L13</f>
        <v>2.5151908478681415</v>
      </c>
      <c r="N13" s="244" t="s">
        <v>888</v>
      </c>
      <c r="O13" s="67"/>
      <c r="P13" s="33"/>
      <c r="Q13" s="33"/>
      <c r="R13" s="33"/>
      <c r="X13" s="10"/>
      <c r="Y13" s="10"/>
      <c r="AH13" s="50"/>
      <c r="AI13" s="35"/>
      <c r="AJ13" s="49"/>
      <c r="AK13" s="1"/>
      <c r="AL13" s="81"/>
      <c r="AM13" s="81"/>
      <c r="AN13" s="84"/>
      <c r="AO13" s="84"/>
      <c r="AR13" s="77"/>
    </row>
    <row r="14" spans="1:53" x14ac:dyDescent="0.25">
      <c r="A14" s="22"/>
      <c r="B14" s="503" t="s">
        <v>387</v>
      </c>
      <c r="C14" s="502"/>
      <c r="D14" s="3">
        <f t="shared" ca="1" si="0"/>
        <v>0</v>
      </c>
      <c r="E14" s="3">
        <f t="shared" ca="1" si="1"/>
        <v>0</v>
      </c>
      <c r="F14" s="3">
        <f t="shared" ca="1" si="2"/>
        <v>0</v>
      </c>
      <c r="G14" s="175">
        <v>0</v>
      </c>
      <c r="H14" s="3">
        <f t="shared" ref="H14:H20" ca="1" si="3">IFERROR(INDIRECT(B14 &amp; "!" &amp; "$H$37"),0)</f>
        <v>0</v>
      </c>
      <c r="I14" s="90">
        <f t="shared" ref="I14:I20" ca="1" si="4">1/(1+H14*D14)</f>
        <v>1</v>
      </c>
      <c r="J14" s="53">
        <f t="shared" ref="J14:J20" ca="1" si="5">+I14*+D14+((1-I14)*G14)</f>
        <v>0</v>
      </c>
      <c r="K14" s="3">
        <v>0</v>
      </c>
      <c r="L14" s="3">
        <v>0</v>
      </c>
      <c r="M14" s="256">
        <f t="shared" ref="M14:M20" ca="1" si="6">J14+K14+L14</f>
        <v>0</v>
      </c>
      <c r="N14" s="699" t="s">
        <v>890</v>
      </c>
      <c r="O14" s="700"/>
      <c r="P14" s="700"/>
      <c r="Q14" s="700"/>
      <c r="R14" s="700"/>
      <c r="X14" s="10"/>
      <c r="Y14" s="10"/>
      <c r="AH14" s="35"/>
      <c r="AI14" s="35"/>
      <c r="AJ14" s="1"/>
      <c r="AK14" s="1"/>
      <c r="AL14" s="81"/>
      <c r="AM14" s="81"/>
      <c r="AN14" s="81"/>
      <c r="AO14" s="81"/>
    </row>
    <row r="15" spans="1:53" x14ac:dyDescent="0.25">
      <c r="A15" s="22"/>
      <c r="B15" s="503" t="s">
        <v>388</v>
      </c>
      <c r="C15" s="502"/>
      <c r="D15" s="3">
        <f t="shared" ca="1" si="0"/>
        <v>0</v>
      </c>
      <c r="E15" s="3">
        <f t="shared" ca="1" si="1"/>
        <v>0</v>
      </c>
      <c r="F15" s="3">
        <f t="shared" ca="1" si="2"/>
        <v>0</v>
      </c>
      <c r="G15" s="176">
        <v>0</v>
      </c>
      <c r="H15" s="3">
        <f t="shared" ca="1" si="3"/>
        <v>0</v>
      </c>
      <c r="I15" s="90">
        <f t="shared" ca="1" si="4"/>
        <v>1</v>
      </c>
      <c r="J15" s="53">
        <f t="shared" ca="1" si="5"/>
        <v>0</v>
      </c>
      <c r="K15" s="3">
        <v>0</v>
      </c>
      <c r="L15" s="3">
        <v>0</v>
      </c>
      <c r="M15" s="256">
        <f t="shared" ca="1" si="6"/>
        <v>0</v>
      </c>
      <c r="N15" s="699"/>
      <c r="O15" s="700"/>
      <c r="P15" s="700"/>
      <c r="Q15" s="700"/>
      <c r="R15" s="700"/>
      <c r="X15" s="10"/>
      <c r="Y15" s="10"/>
      <c r="AH15" s="35"/>
      <c r="AI15" s="35"/>
      <c r="AJ15" s="49"/>
      <c r="AK15" s="26"/>
      <c r="AL15" s="26"/>
      <c r="AM15" s="26"/>
      <c r="AN15" s="26"/>
      <c r="AO15" s="26"/>
    </row>
    <row r="16" spans="1:53" x14ac:dyDescent="0.25">
      <c r="A16" s="22"/>
      <c r="B16" s="503" t="s">
        <v>389</v>
      </c>
      <c r="C16" s="502"/>
      <c r="D16" s="3">
        <f t="shared" ca="1" si="0"/>
        <v>0</v>
      </c>
      <c r="E16" s="3">
        <f t="shared" ca="1" si="1"/>
        <v>0</v>
      </c>
      <c r="F16" s="3">
        <f t="shared" ca="1" si="2"/>
        <v>0</v>
      </c>
      <c r="G16" s="177">
        <v>0</v>
      </c>
      <c r="H16" s="3">
        <f t="shared" ca="1" si="3"/>
        <v>0</v>
      </c>
      <c r="I16" s="90">
        <f t="shared" ca="1" si="4"/>
        <v>1</v>
      </c>
      <c r="J16" s="53">
        <f t="shared" ca="1" si="5"/>
        <v>0</v>
      </c>
      <c r="K16" s="3">
        <v>0</v>
      </c>
      <c r="L16" s="3">
        <v>0</v>
      </c>
      <c r="M16" s="256">
        <f t="shared" ca="1" si="6"/>
        <v>0</v>
      </c>
      <c r="N16" s="699"/>
      <c r="O16" s="700"/>
      <c r="P16" s="700"/>
      <c r="Q16" s="700"/>
      <c r="R16" s="700"/>
      <c r="X16" s="10"/>
      <c r="Y16" s="10"/>
      <c r="AH16" s="75"/>
      <c r="AI16" s="75"/>
      <c r="AJ16" s="17"/>
      <c r="AK16" s="17"/>
      <c r="AL16" s="17"/>
      <c r="AM16" s="17"/>
      <c r="AN16" s="17"/>
      <c r="AO16" s="17"/>
    </row>
    <row r="17" spans="1:53" x14ac:dyDescent="0.25">
      <c r="A17" s="22"/>
      <c r="B17" s="503" t="s">
        <v>390</v>
      </c>
      <c r="C17" s="502"/>
      <c r="D17" s="3">
        <f t="shared" ca="1" si="0"/>
        <v>0</v>
      </c>
      <c r="E17" s="3">
        <f t="shared" ca="1" si="1"/>
        <v>0</v>
      </c>
      <c r="F17" s="3">
        <f t="shared" ca="1" si="2"/>
        <v>0</v>
      </c>
      <c r="G17" s="176">
        <v>0</v>
      </c>
      <c r="H17" s="3">
        <f t="shared" ca="1" si="3"/>
        <v>0</v>
      </c>
      <c r="I17" s="90">
        <f t="shared" ca="1" si="4"/>
        <v>1</v>
      </c>
      <c r="J17" s="53">
        <f t="shared" ca="1" si="5"/>
        <v>0</v>
      </c>
      <c r="K17" s="3">
        <v>0</v>
      </c>
      <c r="L17" s="3">
        <v>0</v>
      </c>
      <c r="M17" s="256">
        <f t="shared" ca="1" si="6"/>
        <v>0</v>
      </c>
      <c r="N17" s="699"/>
      <c r="O17" s="700"/>
      <c r="P17" s="700"/>
      <c r="Q17" s="700"/>
      <c r="R17" s="700"/>
      <c r="X17" s="10"/>
      <c r="Y17" s="10"/>
      <c r="AH17" s="17"/>
      <c r="AI17" s="17"/>
      <c r="AJ17" s="17"/>
      <c r="AK17" s="17"/>
      <c r="AL17" s="17"/>
      <c r="AM17" s="17"/>
      <c r="AN17" s="17"/>
      <c r="AO17" s="17"/>
      <c r="AR17" s="22"/>
      <c r="AV17" s="26"/>
    </row>
    <row r="18" spans="1:53" x14ac:dyDescent="0.25">
      <c r="A18" s="22"/>
      <c r="B18" s="503" t="s">
        <v>391</v>
      </c>
      <c r="C18" s="502"/>
      <c r="D18" s="3">
        <f t="shared" ca="1" si="0"/>
        <v>0</v>
      </c>
      <c r="E18" s="3">
        <f t="shared" ca="1" si="1"/>
        <v>0</v>
      </c>
      <c r="F18" s="3">
        <f t="shared" ca="1" si="2"/>
        <v>0</v>
      </c>
      <c r="G18" s="178">
        <v>0</v>
      </c>
      <c r="H18" s="3">
        <f t="shared" ca="1" si="3"/>
        <v>0</v>
      </c>
      <c r="I18" s="90">
        <f t="shared" ca="1" si="4"/>
        <v>1</v>
      </c>
      <c r="J18" s="53">
        <f t="shared" ca="1" si="5"/>
        <v>0</v>
      </c>
      <c r="K18" s="3">
        <v>0</v>
      </c>
      <c r="L18" s="3">
        <v>0</v>
      </c>
      <c r="M18" s="256">
        <f t="shared" ca="1" si="6"/>
        <v>0</v>
      </c>
      <c r="N18" s="699"/>
      <c r="O18" s="700"/>
      <c r="P18" s="700"/>
      <c r="Q18" s="700"/>
      <c r="R18" s="700"/>
      <c r="X18" s="10"/>
      <c r="Y18" s="10"/>
      <c r="AH18" s="17"/>
      <c r="AI18" s="75"/>
      <c r="AJ18" s="17"/>
      <c r="AK18" s="17"/>
      <c r="AL18" s="17"/>
      <c r="AM18" s="17"/>
      <c r="AN18" s="17"/>
      <c r="AO18" s="17"/>
    </row>
    <row r="19" spans="1:53" x14ac:dyDescent="0.25">
      <c r="A19" s="22"/>
      <c r="B19" s="503" t="s">
        <v>392</v>
      </c>
      <c r="C19" s="502"/>
      <c r="D19" s="3">
        <f t="shared" ca="1" si="0"/>
        <v>0</v>
      </c>
      <c r="E19" s="3">
        <f t="shared" ca="1" si="1"/>
        <v>0</v>
      </c>
      <c r="F19" s="3">
        <f t="shared" ca="1" si="2"/>
        <v>0</v>
      </c>
      <c r="G19" s="176">
        <v>0</v>
      </c>
      <c r="H19" s="3">
        <f t="shared" ca="1" si="3"/>
        <v>0</v>
      </c>
      <c r="I19" s="90">
        <f t="shared" ca="1" si="4"/>
        <v>1</v>
      </c>
      <c r="J19" s="53">
        <f t="shared" ca="1" si="5"/>
        <v>0</v>
      </c>
      <c r="K19" s="3">
        <v>0</v>
      </c>
      <c r="L19" s="3">
        <v>0</v>
      </c>
      <c r="M19" s="256">
        <f t="shared" ca="1" si="6"/>
        <v>0</v>
      </c>
      <c r="N19" s="699"/>
      <c r="O19" s="700"/>
      <c r="P19" s="700"/>
      <c r="Q19" s="700"/>
      <c r="R19" s="700"/>
      <c r="X19" s="10"/>
      <c r="Y19" s="10"/>
      <c r="AH19" s="17"/>
      <c r="AI19" s="17"/>
      <c r="AJ19" s="17"/>
      <c r="AK19" s="17"/>
      <c r="AL19" s="17"/>
      <c r="AM19" s="17"/>
      <c r="AN19" s="17"/>
      <c r="AO19" s="17"/>
      <c r="AR19" s="22"/>
      <c r="AV19" s="26"/>
    </row>
    <row r="20" spans="1:53" ht="13" thickBot="1" x14ac:dyDescent="0.3">
      <c r="B20" s="503" t="s">
        <v>393</v>
      </c>
      <c r="C20" s="502"/>
      <c r="D20" s="3">
        <f t="shared" ca="1" si="0"/>
        <v>0</v>
      </c>
      <c r="E20" s="3">
        <f t="shared" ca="1" si="1"/>
        <v>0</v>
      </c>
      <c r="F20" s="3">
        <f t="shared" ca="1" si="2"/>
        <v>0</v>
      </c>
      <c r="G20" s="179">
        <v>0</v>
      </c>
      <c r="H20" s="3">
        <f t="shared" ca="1" si="3"/>
        <v>0</v>
      </c>
      <c r="I20" s="90">
        <f t="shared" ca="1" si="4"/>
        <v>1</v>
      </c>
      <c r="J20" s="53">
        <f t="shared" ca="1" si="5"/>
        <v>0</v>
      </c>
      <c r="K20" s="48">
        <v>0</v>
      </c>
      <c r="L20" s="48">
        <v>0</v>
      </c>
      <c r="M20" s="256">
        <f t="shared" ca="1" si="6"/>
        <v>0</v>
      </c>
      <c r="N20" s="699"/>
      <c r="O20" s="700"/>
      <c r="P20" s="700"/>
      <c r="Q20" s="700"/>
      <c r="R20" s="700"/>
      <c r="X20" s="10"/>
      <c r="Y20" s="10"/>
    </row>
    <row r="21" spans="1:53" ht="13.5" thickBot="1" x14ac:dyDescent="0.3">
      <c r="B21" s="685" t="s">
        <v>345</v>
      </c>
      <c r="C21" s="686"/>
      <c r="D21" s="133">
        <f ca="1">SUM(D13:D20)</f>
        <v>5.3578788514622548</v>
      </c>
      <c r="E21" s="133">
        <f ca="1">SUM(E13:E20)</f>
        <v>2.5549720260748336</v>
      </c>
      <c r="F21" s="133">
        <f ca="1">SUM(F13:F20)</f>
        <v>2.8029068253874212</v>
      </c>
      <c r="G21" s="180">
        <f>SUM(G13:G20)</f>
        <v>0</v>
      </c>
      <c r="H21" s="133"/>
      <c r="I21" s="134"/>
      <c r="J21" s="135">
        <f ca="1">SUM(J13:J20)</f>
        <v>2.5056291914157121</v>
      </c>
      <c r="K21" s="237">
        <f>SUM(K13:K20)</f>
        <v>6.7883575499999996E-3</v>
      </c>
      <c r="L21" s="135">
        <f>SUM(L13:L20)</f>
        <v>2.7732989024292103E-3</v>
      </c>
      <c r="M21" s="135">
        <f ca="1">SUM(M13:M20)</f>
        <v>2.5151908478681415</v>
      </c>
      <c r="N21" s="42"/>
      <c r="O21" s="42"/>
      <c r="P21" s="42"/>
      <c r="Q21" s="42"/>
      <c r="R21" s="42"/>
      <c r="X21" s="10"/>
      <c r="Y21" s="10"/>
    </row>
    <row r="22" spans="1:53" ht="13" x14ac:dyDescent="0.3">
      <c r="A22" s="22"/>
      <c r="B22" s="703" t="s">
        <v>379</v>
      </c>
      <c r="C22" s="703"/>
      <c r="D22" s="703"/>
      <c r="E22" s="703"/>
      <c r="F22" s="703"/>
      <c r="G22" s="703"/>
      <c r="H22" s="703"/>
      <c r="I22" s="703"/>
      <c r="J22" s="703"/>
      <c r="K22" s="703"/>
      <c r="L22" s="703"/>
      <c r="M22" s="703"/>
      <c r="N22" s="67"/>
      <c r="O22" s="67"/>
      <c r="P22" s="33"/>
      <c r="Q22" s="33"/>
      <c r="R22" s="33"/>
      <c r="X22" s="10"/>
      <c r="Y22" s="10"/>
      <c r="AH22" s="1"/>
      <c r="AI22" s="1"/>
      <c r="AJ22" s="1"/>
      <c r="AK22" s="1"/>
      <c r="AL22" s="81"/>
      <c r="AM22" s="81"/>
      <c r="AN22" s="81"/>
      <c r="AO22" s="81"/>
      <c r="AR22" s="22"/>
      <c r="AS22" s="26"/>
      <c r="AT22" s="26"/>
      <c r="AU22" s="26"/>
      <c r="AV22" s="26"/>
      <c r="AW22" s="26"/>
      <c r="AX22" s="26"/>
      <c r="AY22" s="26"/>
      <c r="AZ22" s="26"/>
      <c r="BA22" s="26"/>
    </row>
    <row r="23" spans="1:53" ht="18" x14ac:dyDescent="0.4">
      <c r="A23" s="22"/>
      <c r="B23" s="503" t="s">
        <v>366</v>
      </c>
      <c r="C23" s="502"/>
      <c r="D23" s="3">
        <f t="shared" ref="D23:D30" ca="1" si="7">IFERROR(INDIRECT(B23 &amp; "!" &amp; "$M$37"),0)</f>
        <v>10.448144078600054</v>
      </c>
      <c r="E23" s="3">
        <f t="shared" ref="E23:E30" ca="1" si="8">IFERROR(INDIRECT(B23 &amp; "!" &amp; "$M$38"),0)</f>
        <v>5.7703330891831017</v>
      </c>
      <c r="F23" s="3">
        <f t="shared" ref="F23:F30" ca="1" si="9">IFERROR(INDIRECT(B23 &amp; "!" &amp; "$M$41"),0)</f>
        <v>4.6778109894169519</v>
      </c>
      <c r="G23" s="175">
        <v>0</v>
      </c>
      <c r="H23" s="3">
        <f ca="1">IFERROR(INDIRECT(B23 &amp; "!" &amp; "$H$47"),0)</f>
        <v>0</v>
      </c>
      <c r="I23" s="90">
        <f ca="1">1/(1+H23*D23)</f>
        <v>1</v>
      </c>
      <c r="J23" s="53">
        <f ca="1">+I23*+D23+((1-I23)*G23)</f>
        <v>10.448144078600054</v>
      </c>
      <c r="K23" s="3">
        <f>Segment_Undivided_1!D70</f>
        <v>6.7883575499999996E-3</v>
      </c>
      <c r="L23" s="53">
        <f>Segment_Undivided_1!F70</f>
        <v>2.7732989024292103E-3</v>
      </c>
      <c r="M23" s="256">
        <f ca="1">J23+K23+L23</f>
        <v>10.457705735052484</v>
      </c>
      <c r="N23" s="244" t="s">
        <v>888</v>
      </c>
      <c r="O23" s="67"/>
      <c r="P23" s="33"/>
      <c r="Q23" s="33"/>
      <c r="R23" s="33"/>
      <c r="X23" s="10"/>
      <c r="Y23" s="10"/>
      <c r="AH23" s="50"/>
      <c r="AI23" s="35"/>
      <c r="AJ23" s="49"/>
      <c r="AK23" s="1"/>
      <c r="AL23" s="81"/>
      <c r="AM23" s="81"/>
      <c r="AN23" s="84"/>
      <c r="AO23" s="84"/>
      <c r="AR23" s="77"/>
    </row>
    <row r="24" spans="1:53" x14ac:dyDescent="0.25">
      <c r="A24" s="22"/>
      <c r="B24" s="503" t="s">
        <v>394</v>
      </c>
      <c r="C24" s="502"/>
      <c r="D24" s="3">
        <f t="shared" ca="1" si="7"/>
        <v>0</v>
      </c>
      <c r="E24" s="3">
        <f t="shared" ca="1" si="8"/>
        <v>0</v>
      </c>
      <c r="F24" s="3">
        <f t="shared" ca="1" si="9"/>
        <v>0</v>
      </c>
      <c r="G24" s="175">
        <v>0</v>
      </c>
      <c r="H24" s="3">
        <f t="shared" ref="H24:H30" ca="1" si="10">IFERROR(INDIRECT(B24 &amp; "!" &amp; "$H$47"),0)</f>
        <v>0</v>
      </c>
      <c r="I24" s="90">
        <f ca="1">1/(1+H24*D24)</f>
        <v>1</v>
      </c>
      <c r="J24" s="53">
        <f ca="1">+I24*+D24+((1-I24)*G24)</f>
        <v>0</v>
      </c>
      <c r="K24" s="3">
        <v>0</v>
      </c>
      <c r="L24" s="3">
        <v>0</v>
      </c>
      <c r="M24" s="256">
        <f t="shared" ref="M24:M30" ca="1" si="11">J24+K24+L24</f>
        <v>0</v>
      </c>
      <c r="N24" s="699" t="s">
        <v>890</v>
      </c>
      <c r="O24" s="700"/>
      <c r="P24" s="700"/>
      <c r="Q24" s="700"/>
      <c r="R24" s="700"/>
      <c r="X24" s="10"/>
      <c r="Y24" s="10"/>
      <c r="AH24" s="35"/>
      <c r="AI24" s="35"/>
      <c r="AJ24" s="1"/>
      <c r="AK24" s="1"/>
      <c r="AL24" s="81"/>
      <c r="AM24" s="81"/>
      <c r="AN24" s="81"/>
      <c r="AO24" s="81"/>
    </row>
    <row r="25" spans="1:53" x14ac:dyDescent="0.25">
      <c r="A25" s="22"/>
      <c r="B25" s="503" t="s">
        <v>395</v>
      </c>
      <c r="C25" s="502"/>
      <c r="D25" s="3">
        <f t="shared" ca="1" si="7"/>
        <v>0</v>
      </c>
      <c r="E25" s="3">
        <f t="shared" ca="1" si="8"/>
        <v>0</v>
      </c>
      <c r="F25" s="3">
        <f t="shared" ca="1" si="9"/>
        <v>0</v>
      </c>
      <c r="G25" s="176">
        <v>0</v>
      </c>
      <c r="H25" s="3">
        <f t="shared" ca="1" si="10"/>
        <v>0</v>
      </c>
      <c r="I25" s="90">
        <f t="shared" ref="I25:I30" ca="1" si="12">1/(1+H25*D25)</f>
        <v>1</v>
      </c>
      <c r="J25" s="53">
        <f t="shared" ref="J25:J30" ca="1" si="13">+I25*+D25+((1-I25)*G25)</f>
        <v>0</v>
      </c>
      <c r="K25" s="3">
        <v>0</v>
      </c>
      <c r="L25" s="3">
        <v>0</v>
      </c>
      <c r="M25" s="256">
        <f t="shared" ca="1" si="11"/>
        <v>0</v>
      </c>
      <c r="N25" s="699"/>
      <c r="O25" s="700"/>
      <c r="P25" s="700"/>
      <c r="Q25" s="700"/>
      <c r="R25" s="700"/>
      <c r="X25" s="10"/>
      <c r="Y25" s="10"/>
      <c r="AH25" s="35"/>
      <c r="AI25" s="35"/>
      <c r="AJ25" s="49"/>
      <c r="AK25" s="26"/>
      <c r="AL25" s="26"/>
      <c r="AM25" s="26"/>
      <c r="AN25" s="26"/>
      <c r="AO25" s="26"/>
    </row>
    <row r="26" spans="1:53" x14ac:dyDescent="0.25">
      <c r="A26" s="22"/>
      <c r="B26" s="503" t="s">
        <v>396</v>
      </c>
      <c r="C26" s="502"/>
      <c r="D26" s="3">
        <f t="shared" ca="1" si="7"/>
        <v>0</v>
      </c>
      <c r="E26" s="3">
        <f t="shared" ca="1" si="8"/>
        <v>0</v>
      </c>
      <c r="F26" s="3">
        <f t="shared" ca="1" si="9"/>
        <v>0</v>
      </c>
      <c r="G26" s="177">
        <v>0</v>
      </c>
      <c r="H26" s="3">
        <f t="shared" ca="1" si="10"/>
        <v>0</v>
      </c>
      <c r="I26" s="90">
        <f t="shared" ca="1" si="12"/>
        <v>1</v>
      </c>
      <c r="J26" s="53">
        <f ca="1">+I26*+D26+((1-I26)*G26)</f>
        <v>0</v>
      </c>
      <c r="K26" s="3">
        <v>0</v>
      </c>
      <c r="L26" s="3">
        <v>0</v>
      </c>
      <c r="M26" s="256">
        <f t="shared" ca="1" si="11"/>
        <v>0</v>
      </c>
      <c r="N26" s="699"/>
      <c r="O26" s="700"/>
      <c r="P26" s="700"/>
      <c r="Q26" s="700"/>
      <c r="R26" s="700"/>
      <c r="X26" s="10"/>
      <c r="Y26" s="10"/>
      <c r="AH26" s="75"/>
      <c r="AI26" s="75"/>
      <c r="AJ26" s="17"/>
      <c r="AK26" s="17"/>
      <c r="AL26" s="17"/>
      <c r="AM26" s="17"/>
      <c r="AN26" s="17"/>
      <c r="AO26" s="17"/>
    </row>
    <row r="27" spans="1:53" x14ac:dyDescent="0.25">
      <c r="A27" s="22"/>
      <c r="B27" s="503" t="s">
        <v>397</v>
      </c>
      <c r="C27" s="502"/>
      <c r="D27" s="3">
        <f t="shared" ca="1" si="7"/>
        <v>0</v>
      </c>
      <c r="E27" s="3">
        <f t="shared" ca="1" si="8"/>
        <v>0</v>
      </c>
      <c r="F27" s="3">
        <f t="shared" ca="1" si="9"/>
        <v>0</v>
      </c>
      <c r="G27" s="176">
        <v>0</v>
      </c>
      <c r="H27" s="3">
        <f t="shared" ca="1" si="10"/>
        <v>0</v>
      </c>
      <c r="I27" s="90">
        <f t="shared" ca="1" si="12"/>
        <v>1</v>
      </c>
      <c r="J27" s="53">
        <f t="shared" ca="1" si="13"/>
        <v>0</v>
      </c>
      <c r="K27" s="3">
        <v>0</v>
      </c>
      <c r="L27" s="3">
        <v>0</v>
      </c>
      <c r="M27" s="256">
        <f t="shared" ca="1" si="11"/>
        <v>0</v>
      </c>
      <c r="N27" s="699"/>
      <c r="O27" s="700"/>
      <c r="P27" s="700"/>
      <c r="Q27" s="700"/>
      <c r="R27" s="700"/>
      <c r="X27" s="10"/>
      <c r="Y27" s="10"/>
      <c r="AH27" s="17"/>
      <c r="AI27" s="17"/>
      <c r="AJ27" s="17"/>
      <c r="AK27" s="17"/>
      <c r="AL27" s="17"/>
      <c r="AM27" s="17"/>
      <c r="AN27" s="17"/>
      <c r="AO27" s="17"/>
      <c r="AR27" s="22"/>
      <c r="AV27" s="26"/>
    </row>
    <row r="28" spans="1:53" x14ac:dyDescent="0.25">
      <c r="A28" s="22"/>
      <c r="B28" s="503" t="s">
        <v>398</v>
      </c>
      <c r="C28" s="502"/>
      <c r="D28" s="3">
        <f t="shared" ca="1" si="7"/>
        <v>0</v>
      </c>
      <c r="E28" s="3">
        <f t="shared" ca="1" si="8"/>
        <v>0</v>
      </c>
      <c r="F28" s="3">
        <f t="shared" ca="1" si="9"/>
        <v>0</v>
      </c>
      <c r="G28" s="178">
        <v>0</v>
      </c>
      <c r="H28" s="3">
        <f ca="1">IFERROR(INDIRECT(B28 &amp; "!" &amp; "$H$47"),0)</f>
        <v>0</v>
      </c>
      <c r="I28" s="90">
        <f ca="1">1/(1+H28*D28)</f>
        <v>1</v>
      </c>
      <c r="J28" s="53">
        <f ca="1">+I28*+D28+((1-I28)*G28)</f>
        <v>0</v>
      </c>
      <c r="K28" s="3">
        <v>0</v>
      </c>
      <c r="L28" s="3">
        <v>0</v>
      </c>
      <c r="M28" s="256">
        <f t="shared" ca="1" si="11"/>
        <v>0</v>
      </c>
      <c r="N28" s="699"/>
      <c r="O28" s="700"/>
      <c r="P28" s="700"/>
      <c r="Q28" s="700"/>
      <c r="R28" s="700"/>
      <c r="X28" s="10"/>
      <c r="Y28" s="10"/>
      <c r="AH28" s="17"/>
      <c r="AI28" s="75"/>
      <c r="AJ28" s="17"/>
      <c r="AK28" s="17"/>
      <c r="AL28" s="17"/>
      <c r="AM28" s="17"/>
      <c r="AN28" s="17"/>
      <c r="AO28" s="17"/>
    </row>
    <row r="29" spans="1:53" x14ac:dyDescent="0.25">
      <c r="A29" s="22"/>
      <c r="B29" s="503" t="s">
        <v>399</v>
      </c>
      <c r="C29" s="502"/>
      <c r="D29" s="3">
        <f t="shared" ca="1" si="7"/>
        <v>0</v>
      </c>
      <c r="E29" s="3">
        <f t="shared" ca="1" si="8"/>
        <v>0</v>
      </c>
      <c r="F29" s="3">
        <f t="shared" ca="1" si="9"/>
        <v>0</v>
      </c>
      <c r="G29" s="176">
        <v>0</v>
      </c>
      <c r="H29" s="3">
        <f t="shared" ca="1" si="10"/>
        <v>0</v>
      </c>
      <c r="I29" s="90">
        <f t="shared" ca="1" si="12"/>
        <v>1</v>
      </c>
      <c r="J29" s="53">
        <f t="shared" ca="1" si="13"/>
        <v>0</v>
      </c>
      <c r="K29" s="3">
        <v>0</v>
      </c>
      <c r="L29" s="3">
        <v>0</v>
      </c>
      <c r="M29" s="256">
        <f t="shared" ca="1" si="11"/>
        <v>0</v>
      </c>
      <c r="N29" s="699"/>
      <c r="O29" s="700"/>
      <c r="P29" s="700"/>
      <c r="Q29" s="700"/>
      <c r="R29" s="700"/>
      <c r="X29" s="10"/>
      <c r="Y29" s="10"/>
      <c r="AH29" s="17"/>
      <c r="AI29" s="17"/>
      <c r="AJ29" s="17"/>
      <c r="AK29" s="17"/>
      <c r="AL29" s="17"/>
      <c r="AM29" s="17"/>
      <c r="AN29" s="17"/>
      <c r="AO29" s="17"/>
      <c r="AR29" s="22"/>
      <c r="AV29" s="26"/>
    </row>
    <row r="30" spans="1:53" ht="13" thickBot="1" x14ac:dyDescent="0.3">
      <c r="B30" s="503" t="s">
        <v>400</v>
      </c>
      <c r="C30" s="502"/>
      <c r="D30" s="3">
        <f t="shared" ca="1" si="7"/>
        <v>0</v>
      </c>
      <c r="E30" s="3">
        <f t="shared" ca="1" si="8"/>
        <v>0</v>
      </c>
      <c r="F30" s="3">
        <f t="shared" ca="1" si="9"/>
        <v>0</v>
      </c>
      <c r="G30" s="179">
        <v>0</v>
      </c>
      <c r="H30" s="3">
        <f t="shared" ca="1" si="10"/>
        <v>0</v>
      </c>
      <c r="I30" s="128">
        <f t="shared" ca="1" si="12"/>
        <v>1</v>
      </c>
      <c r="J30" s="129">
        <f t="shared" ca="1" si="13"/>
        <v>0</v>
      </c>
      <c r="K30" s="48">
        <v>0</v>
      </c>
      <c r="L30" s="48">
        <v>0</v>
      </c>
      <c r="M30" s="256">
        <f t="shared" ca="1" si="11"/>
        <v>0</v>
      </c>
      <c r="N30" s="699"/>
      <c r="O30" s="700"/>
      <c r="P30" s="700"/>
      <c r="Q30" s="700"/>
      <c r="R30" s="700"/>
      <c r="X30" s="10"/>
      <c r="Y30" s="10"/>
    </row>
    <row r="31" spans="1:53" ht="13.5" thickBot="1" x14ac:dyDescent="0.3">
      <c r="B31" s="685" t="s">
        <v>345</v>
      </c>
      <c r="C31" s="686"/>
      <c r="D31" s="133">
        <f ca="1">SUM(D23:D30)</f>
        <v>10.448144078600054</v>
      </c>
      <c r="E31" s="133">
        <f ca="1">SUM(E23:E30)</f>
        <v>5.7703330891831017</v>
      </c>
      <c r="F31" s="133">
        <f ca="1">SUM(F23:F30)</f>
        <v>4.6778109894169519</v>
      </c>
      <c r="G31" s="180">
        <f>SUM(G23:G30)</f>
        <v>0</v>
      </c>
      <c r="H31" s="133"/>
      <c r="I31" s="134"/>
      <c r="J31" s="135">
        <f ca="1">SUM(J23:J30)</f>
        <v>10.448144078600054</v>
      </c>
      <c r="K31" s="237">
        <f>SUM(K23:K30)</f>
        <v>6.7883575499999996E-3</v>
      </c>
      <c r="L31" s="135">
        <f>SUM(L23:L30)</f>
        <v>2.7732989024292103E-3</v>
      </c>
      <c r="M31" s="135">
        <f ca="1">SUM(M23:M30)</f>
        <v>10.457705735052484</v>
      </c>
      <c r="N31" s="42"/>
      <c r="O31" s="42"/>
      <c r="P31" s="42"/>
      <c r="Q31" s="42"/>
      <c r="R31" s="42"/>
      <c r="X31" s="10"/>
      <c r="Y31" s="10"/>
    </row>
    <row r="32" spans="1:53" ht="13" x14ac:dyDescent="0.3">
      <c r="B32" s="703" t="s">
        <v>238</v>
      </c>
      <c r="C32" s="703"/>
      <c r="D32" s="703"/>
      <c r="E32" s="703"/>
      <c r="F32" s="703"/>
      <c r="G32" s="703"/>
      <c r="H32" s="703"/>
      <c r="I32" s="703"/>
      <c r="J32" s="703"/>
      <c r="K32" s="703"/>
      <c r="L32" s="703"/>
      <c r="M32" s="703"/>
      <c r="N32" s="42"/>
      <c r="O32" s="42"/>
      <c r="P32" s="42"/>
      <c r="Q32" s="42"/>
      <c r="R32" s="42"/>
      <c r="X32" s="1"/>
      <c r="Y32" s="1"/>
      <c r="Z32" s="1"/>
      <c r="AA32" s="1"/>
      <c r="AB32" s="1"/>
      <c r="AC32" s="1"/>
      <c r="AD32" s="1"/>
      <c r="AE32" s="1"/>
      <c r="AH32" s="4"/>
      <c r="AI32" s="4"/>
      <c r="AJ32" s="4"/>
      <c r="AK32" s="4"/>
      <c r="AL32" s="4"/>
      <c r="AM32" s="1"/>
      <c r="AN32" s="1"/>
      <c r="AO32" s="1"/>
    </row>
    <row r="33" spans="1:41" ht="18" x14ac:dyDescent="0.4">
      <c r="A33" s="38"/>
      <c r="B33" s="503" t="s">
        <v>369</v>
      </c>
      <c r="C33" s="502"/>
      <c r="D33" s="3">
        <f t="shared" ref="D33:D40" ca="1" si="14">IFERROR(INDIRECT(B33 &amp; "!" &amp; "$L$34"),0)</f>
        <v>28.192736752540419</v>
      </c>
      <c r="E33" s="3">
        <f t="shared" ref="E33:E40" ca="1" si="15">IFERROR(INDIRECT(B33 &amp; "!" &amp; "$L$35"),0)</f>
        <v>10.419111668250272</v>
      </c>
      <c r="F33" s="91">
        <f t="shared" ref="F33:F40" ca="1" si="16">IFERROR(INDIRECT(B33 &amp; "!" &amp; "$L$38"),0)</f>
        <v>17.773625084290146</v>
      </c>
      <c r="G33" s="176">
        <v>0</v>
      </c>
      <c r="H33" s="91">
        <f ca="1">IFERROR(INDIRECT(B33 &amp; "!" &amp; "$H$34"),0)</f>
        <v>0.27700000000000002</v>
      </c>
      <c r="I33" s="90">
        <f ca="1">1/(1+H33*D33)</f>
        <v>0.1135152624526559</v>
      </c>
      <c r="J33" s="53">
        <f ca="1">+I33*+D33+((1-I33)*G33)</f>
        <v>3.2003059117232637</v>
      </c>
      <c r="K33" s="239">
        <f>Intersection_1!F67</f>
        <v>2.0010285157499998E-2</v>
      </c>
      <c r="L33" s="53">
        <f>Intersection_1!H67</f>
        <v>1.9624250156343027E-3</v>
      </c>
      <c r="M33" s="256">
        <f ca="1">J33+K33+L33</f>
        <v>3.2222786218963981</v>
      </c>
      <c r="N33" s="244" t="s">
        <v>889</v>
      </c>
      <c r="O33" s="65"/>
      <c r="P33" s="4"/>
      <c r="Q33" s="1"/>
      <c r="R33" s="4"/>
      <c r="X33" s="56"/>
      <c r="Y33" s="56"/>
      <c r="Z33" s="56"/>
      <c r="AA33" s="56"/>
      <c r="AB33" s="56"/>
      <c r="AC33" s="56"/>
      <c r="AD33" s="56"/>
      <c r="AE33" s="56"/>
      <c r="AH33" s="4"/>
      <c r="AI33" s="4"/>
      <c r="AJ33" s="4"/>
      <c r="AK33" s="1"/>
      <c r="AL33" s="4"/>
      <c r="AM33" s="1"/>
      <c r="AN33" s="1"/>
      <c r="AO33" s="1"/>
    </row>
    <row r="34" spans="1:41" ht="13" x14ac:dyDescent="0.3">
      <c r="A34" s="89"/>
      <c r="B34" s="665" t="s">
        <v>380</v>
      </c>
      <c r="C34" s="502"/>
      <c r="D34" s="3">
        <f t="shared" ca="1" si="14"/>
        <v>0</v>
      </c>
      <c r="E34" s="3">
        <f t="shared" ca="1" si="15"/>
        <v>0</v>
      </c>
      <c r="F34" s="91">
        <f t="shared" ca="1" si="16"/>
        <v>0</v>
      </c>
      <c r="G34" s="176">
        <v>0</v>
      </c>
      <c r="H34" s="91">
        <f t="shared" ref="H34:H39" ca="1" si="17">IFERROR(INDIRECT(B34 &amp; "!" &amp; "$H$34"),0)</f>
        <v>0</v>
      </c>
      <c r="I34" s="90">
        <f t="shared" ref="I34:I39" ca="1" si="18">1/(1+H34*D34)</f>
        <v>1</v>
      </c>
      <c r="J34" s="53">
        <f t="shared" ref="J34:J39" ca="1" si="19">+I34*+D34+((1-I34)*G34)</f>
        <v>0</v>
      </c>
      <c r="K34" s="239">
        <v>0</v>
      </c>
      <c r="L34" s="239">
        <v>0</v>
      </c>
      <c r="M34" s="239">
        <v>0</v>
      </c>
      <c r="N34" s="699" t="s">
        <v>891</v>
      </c>
      <c r="O34" s="700"/>
      <c r="P34" s="700"/>
      <c r="Q34" s="700"/>
      <c r="R34" s="700"/>
      <c r="X34" s="42"/>
      <c r="Y34" s="42"/>
      <c r="Z34" s="42"/>
      <c r="AA34" s="42"/>
      <c r="AB34" s="42"/>
      <c r="AC34" s="42"/>
      <c r="AD34" s="42"/>
      <c r="AE34" s="42"/>
      <c r="AH34" s="4"/>
      <c r="AI34" s="4"/>
      <c r="AJ34" s="1"/>
      <c r="AK34" s="1"/>
      <c r="AL34" s="1"/>
      <c r="AM34" s="1"/>
      <c r="AN34" s="1"/>
      <c r="AO34" s="1"/>
    </row>
    <row r="35" spans="1:41" ht="13" x14ac:dyDescent="0.25">
      <c r="A35" s="65"/>
      <c r="B35" s="503" t="s">
        <v>381</v>
      </c>
      <c r="C35" s="502"/>
      <c r="D35" s="3">
        <f t="shared" ca="1" si="14"/>
        <v>0</v>
      </c>
      <c r="E35" s="3">
        <f t="shared" ca="1" si="15"/>
        <v>0</v>
      </c>
      <c r="F35" s="91">
        <f t="shared" ca="1" si="16"/>
        <v>0</v>
      </c>
      <c r="G35" s="176">
        <v>0</v>
      </c>
      <c r="H35" s="91">
        <f t="shared" ca="1" si="17"/>
        <v>0</v>
      </c>
      <c r="I35" s="90">
        <f t="shared" ca="1" si="18"/>
        <v>1</v>
      </c>
      <c r="J35" s="53">
        <f t="shared" ca="1" si="19"/>
        <v>0</v>
      </c>
      <c r="K35" s="239">
        <v>0</v>
      </c>
      <c r="L35" s="239">
        <v>0</v>
      </c>
      <c r="M35" s="239">
        <v>0</v>
      </c>
      <c r="N35" s="699"/>
      <c r="O35" s="700"/>
      <c r="P35" s="700"/>
      <c r="Q35" s="700"/>
      <c r="R35" s="700"/>
      <c r="X35" s="42"/>
      <c r="Y35" s="42"/>
      <c r="Z35" s="42"/>
      <c r="AA35" s="42"/>
      <c r="AB35" s="42"/>
      <c r="AC35" s="42"/>
      <c r="AD35" s="42"/>
      <c r="AE35" s="42"/>
      <c r="AH35" s="1"/>
      <c r="AI35" s="1"/>
      <c r="AJ35" s="1"/>
      <c r="AK35" s="1"/>
      <c r="AL35" s="82"/>
      <c r="AM35" s="82"/>
      <c r="AN35" s="82"/>
      <c r="AO35" s="82"/>
    </row>
    <row r="36" spans="1:41" ht="13" x14ac:dyDescent="0.25">
      <c r="A36" s="65"/>
      <c r="B36" s="665" t="s">
        <v>382</v>
      </c>
      <c r="C36" s="502"/>
      <c r="D36" s="3">
        <f t="shared" ca="1" si="14"/>
        <v>0</v>
      </c>
      <c r="E36" s="3">
        <f t="shared" ca="1" si="15"/>
        <v>0</v>
      </c>
      <c r="F36" s="91">
        <f t="shared" ca="1" si="16"/>
        <v>0</v>
      </c>
      <c r="G36" s="176">
        <v>0</v>
      </c>
      <c r="H36" s="91">
        <f t="shared" ca="1" si="17"/>
        <v>0</v>
      </c>
      <c r="I36" s="90">
        <f t="shared" ca="1" si="18"/>
        <v>1</v>
      </c>
      <c r="J36" s="53">
        <f t="shared" ca="1" si="19"/>
        <v>0</v>
      </c>
      <c r="K36" s="239">
        <v>0</v>
      </c>
      <c r="L36" s="239">
        <v>0</v>
      </c>
      <c r="M36" s="239">
        <v>0</v>
      </c>
      <c r="N36" s="699"/>
      <c r="O36" s="700"/>
      <c r="P36" s="700"/>
      <c r="Q36" s="700"/>
      <c r="R36" s="700"/>
      <c r="X36" s="60"/>
      <c r="Y36" s="60"/>
      <c r="Z36" s="60"/>
      <c r="AA36" s="60"/>
      <c r="AB36" s="60"/>
      <c r="AC36" s="60"/>
      <c r="AD36" s="60"/>
      <c r="AE36" s="60"/>
      <c r="AH36" s="1"/>
      <c r="AI36" s="1"/>
      <c r="AJ36" s="1"/>
      <c r="AK36" s="1"/>
      <c r="AL36" s="83"/>
      <c r="AM36" s="83"/>
      <c r="AN36" s="83"/>
      <c r="AO36" s="83"/>
    </row>
    <row r="37" spans="1:41" ht="13" x14ac:dyDescent="0.25">
      <c r="A37" s="55"/>
      <c r="B37" s="503" t="s">
        <v>383</v>
      </c>
      <c r="C37" s="502"/>
      <c r="D37" s="3">
        <f t="shared" ca="1" si="14"/>
        <v>0</v>
      </c>
      <c r="E37" s="3">
        <f t="shared" ca="1" si="15"/>
        <v>0</v>
      </c>
      <c r="F37" s="91">
        <f t="shared" ca="1" si="16"/>
        <v>0</v>
      </c>
      <c r="G37" s="176">
        <v>0</v>
      </c>
      <c r="H37" s="91">
        <f t="shared" ca="1" si="17"/>
        <v>0</v>
      </c>
      <c r="I37" s="90">
        <f t="shared" ca="1" si="18"/>
        <v>1</v>
      </c>
      <c r="J37" s="53">
        <f t="shared" ca="1" si="19"/>
        <v>0</v>
      </c>
      <c r="K37" s="239">
        <v>0</v>
      </c>
      <c r="L37" s="239">
        <v>0</v>
      </c>
      <c r="M37" s="239">
        <v>0</v>
      </c>
      <c r="N37" s="699"/>
      <c r="O37" s="700"/>
      <c r="P37" s="700"/>
      <c r="Q37" s="700"/>
      <c r="R37" s="700"/>
      <c r="X37" s="61"/>
      <c r="Y37" s="61"/>
      <c r="Z37" s="61"/>
      <c r="AA37" s="61"/>
      <c r="AB37" s="61"/>
      <c r="AC37" s="61"/>
      <c r="AD37" s="61"/>
      <c r="AE37" s="61"/>
      <c r="AH37" s="25"/>
      <c r="AI37" s="1"/>
      <c r="AJ37" s="49"/>
      <c r="AK37" s="1"/>
      <c r="AL37" s="81"/>
      <c r="AM37" s="81"/>
      <c r="AN37" s="84"/>
      <c r="AO37" s="84"/>
    </row>
    <row r="38" spans="1:41" x14ac:dyDescent="0.25">
      <c r="A38" s="55"/>
      <c r="B38" s="665" t="s">
        <v>384</v>
      </c>
      <c r="C38" s="502"/>
      <c r="D38" s="3">
        <f t="shared" ca="1" si="14"/>
        <v>0</v>
      </c>
      <c r="E38" s="3">
        <f t="shared" ca="1" si="15"/>
        <v>0</v>
      </c>
      <c r="F38" s="91">
        <f t="shared" ca="1" si="16"/>
        <v>0</v>
      </c>
      <c r="G38" s="176">
        <v>0</v>
      </c>
      <c r="H38" s="91">
        <f t="shared" ca="1" si="17"/>
        <v>0</v>
      </c>
      <c r="I38" s="90">
        <f t="shared" ca="1" si="18"/>
        <v>1</v>
      </c>
      <c r="J38" s="53">
        <f t="shared" ca="1" si="19"/>
        <v>0</v>
      </c>
      <c r="K38" s="239">
        <v>0</v>
      </c>
      <c r="L38" s="239">
        <v>0</v>
      </c>
      <c r="M38" s="239">
        <v>0</v>
      </c>
      <c r="N38" s="699"/>
      <c r="O38" s="700"/>
      <c r="P38" s="700"/>
      <c r="Q38" s="700"/>
      <c r="R38" s="700"/>
      <c r="X38" s="1"/>
      <c r="Y38" s="1"/>
      <c r="Z38" s="1"/>
      <c r="AA38" s="1"/>
      <c r="AB38" s="1"/>
      <c r="AC38" s="1"/>
      <c r="AD38" s="1"/>
      <c r="AE38" s="1"/>
      <c r="AH38" s="1"/>
      <c r="AI38" s="1"/>
      <c r="AJ38" s="1"/>
      <c r="AK38" s="1"/>
      <c r="AL38" s="81"/>
      <c r="AM38" s="81"/>
      <c r="AN38" s="81"/>
      <c r="AO38" s="81"/>
    </row>
    <row r="39" spans="1:41" x14ac:dyDescent="0.25">
      <c r="A39" s="26"/>
      <c r="B39" s="503" t="s">
        <v>385</v>
      </c>
      <c r="C39" s="502"/>
      <c r="D39" s="3">
        <f t="shared" ca="1" si="14"/>
        <v>0</v>
      </c>
      <c r="E39" s="3">
        <f t="shared" ca="1" si="15"/>
        <v>0</v>
      </c>
      <c r="F39" s="91">
        <f t="shared" ca="1" si="16"/>
        <v>0</v>
      </c>
      <c r="G39" s="176">
        <v>0</v>
      </c>
      <c r="H39" s="91">
        <f t="shared" ca="1" si="17"/>
        <v>0</v>
      </c>
      <c r="I39" s="90">
        <f t="shared" ca="1" si="18"/>
        <v>1</v>
      </c>
      <c r="J39" s="53">
        <f t="shared" ca="1" si="19"/>
        <v>0</v>
      </c>
      <c r="K39" s="239">
        <v>0</v>
      </c>
      <c r="L39" s="239">
        <v>0</v>
      </c>
      <c r="M39" s="239">
        <v>0</v>
      </c>
      <c r="N39" s="699"/>
      <c r="O39" s="700"/>
      <c r="P39" s="700"/>
      <c r="Q39" s="700"/>
      <c r="R39" s="700"/>
      <c r="X39" s="1"/>
      <c r="Y39" s="1"/>
      <c r="Z39" s="1"/>
      <c r="AA39" s="1"/>
      <c r="AB39" s="1"/>
      <c r="AC39" s="1"/>
      <c r="AD39" s="1"/>
      <c r="AE39" s="1"/>
      <c r="AH39" s="1"/>
      <c r="AI39" s="1"/>
      <c r="AJ39" s="1"/>
      <c r="AK39" s="1"/>
      <c r="AL39" s="81"/>
      <c r="AM39" s="81"/>
      <c r="AN39" s="81"/>
      <c r="AO39" s="81"/>
    </row>
    <row r="40" spans="1:41" ht="13" thickBot="1" x14ac:dyDescent="0.3">
      <c r="A40" s="22"/>
      <c r="B40" s="665" t="s">
        <v>386</v>
      </c>
      <c r="C40" s="502"/>
      <c r="D40" s="3">
        <f t="shared" ca="1" si="14"/>
        <v>0</v>
      </c>
      <c r="E40" s="3">
        <f t="shared" ca="1" si="15"/>
        <v>0</v>
      </c>
      <c r="F40" s="91">
        <f t="shared" ca="1" si="16"/>
        <v>0</v>
      </c>
      <c r="G40" s="181">
        <v>0</v>
      </c>
      <c r="H40" s="91">
        <f ca="1">IFERROR(INDIRECT(B40 &amp; "!" &amp; "$H$34"),0)</f>
        <v>0</v>
      </c>
      <c r="I40" s="128">
        <f ca="1">1/(1+H40*D40)</f>
        <v>1</v>
      </c>
      <c r="J40" s="129">
        <f ca="1">+I40*+D40+((1-I40)*G40)</f>
        <v>0</v>
      </c>
      <c r="K40" s="240">
        <v>0</v>
      </c>
      <c r="L40" s="240">
        <v>0</v>
      </c>
      <c r="M40" s="240">
        <v>0</v>
      </c>
      <c r="N40" s="699"/>
      <c r="O40" s="700"/>
      <c r="P40" s="700"/>
      <c r="Q40" s="700"/>
      <c r="R40" s="700"/>
      <c r="X40" s="10"/>
      <c r="Y40" s="10"/>
      <c r="Z40" s="10"/>
      <c r="AA40" s="10"/>
      <c r="AB40" s="10"/>
      <c r="AC40" s="10"/>
      <c r="AD40" s="10"/>
      <c r="AE40" s="10"/>
      <c r="AH40" s="50"/>
      <c r="AI40" s="35"/>
      <c r="AJ40" s="49"/>
      <c r="AK40" s="1"/>
      <c r="AL40" s="81"/>
      <c r="AM40" s="81"/>
      <c r="AN40" s="84"/>
      <c r="AO40" s="84"/>
    </row>
    <row r="41" spans="1:41" ht="13" thickBot="1" x14ac:dyDescent="0.3">
      <c r="A41" s="22"/>
      <c r="B41" s="671" t="s">
        <v>344</v>
      </c>
      <c r="C41" s="672"/>
      <c r="D41" s="131">
        <f ca="1">SUM(D33:D40)</f>
        <v>28.192736752540419</v>
      </c>
      <c r="E41" s="131">
        <f ca="1">SUM(E33:E40)</f>
        <v>10.419111668250272</v>
      </c>
      <c r="F41" s="131">
        <f ca="1">SUM(F33:F40)</f>
        <v>17.773625084290146</v>
      </c>
      <c r="G41" s="182">
        <f>SUM(G33:G40)</f>
        <v>0</v>
      </c>
      <c r="H41" s="130"/>
      <c r="I41" s="131"/>
      <c r="J41" s="132">
        <f ca="1">SUM(J33:J40)</f>
        <v>3.2003059117232637</v>
      </c>
      <c r="K41" s="238">
        <f>SUM(K33:K40)</f>
        <v>2.0010285157499998E-2</v>
      </c>
      <c r="L41" s="132">
        <f>SUM(L33:L40)</f>
        <v>1.9624250156343027E-3</v>
      </c>
      <c r="M41" s="132">
        <f ca="1">SUM(M33:M40)</f>
        <v>3.2222786218963981</v>
      </c>
      <c r="N41" s="67"/>
      <c r="Q41" s="33"/>
      <c r="R41" s="33"/>
      <c r="S41" s="33"/>
      <c r="T41" s="33"/>
      <c r="U41" s="33"/>
      <c r="V41" s="33"/>
      <c r="W41" s="10"/>
      <c r="X41" s="10"/>
      <c r="Y41" s="10"/>
      <c r="Z41" s="10"/>
      <c r="AA41" s="10"/>
      <c r="AB41" s="10"/>
      <c r="AC41" s="10"/>
      <c r="AD41" s="10"/>
      <c r="AE41" s="10"/>
      <c r="AH41" s="50"/>
      <c r="AI41" s="35"/>
      <c r="AJ41" s="49"/>
      <c r="AK41" s="1"/>
      <c r="AL41" s="81"/>
      <c r="AM41" s="81"/>
      <c r="AN41" s="84"/>
      <c r="AO41" s="84"/>
    </row>
    <row r="42" spans="1:41" ht="14" thickTop="1" thickBot="1" x14ac:dyDescent="0.3">
      <c r="A42" s="34"/>
      <c r="B42" s="666" t="s">
        <v>234</v>
      </c>
      <c r="C42" s="667"/>
      <c r="D42" s="92">
        <f ca="1">SUM(D13:D20)+SUM(D23:D30)+SUM(D33:D40)</f>
        <v>43.998759682602724</v>
      </c>
      <c r="E42" s="92">
        <f ca="1">SUM(E13:E20)+SUM(E23:E30)+SUM(E33:E40)</f>
        <v>18.744416783508207</v>
      </c>
      <c r="F42" s="92">
        <f ca="1">SUM(F13:F20)+SUM(F23:F30)+SUM(F33:F40)</f>
        <v>25.254342899094517</v>
      </c>
      <c r="G42" s="93">
        <f>SUM(G13:G20)+SUM(G23:G30)+SUM(G33:G40)</f>
        <v>0</v>
      </c>
      <c r="H42" s="94" t="s">
        <v>17</v>
      </c>
      <c r="I42" s="94" t="s">
        <v>17</v>
      </c>
      <c r="J42" s="120">
        <f ca="1">SUM(J13:J20)+SUM(J23:J30)+SUM(J33:J40)</f>
        <v>16.154079181739029</v>
      </c>
      <c r="K42" s="120">
        <f>SUM(K13:K20)+SUM(K23:K30)+SUM(K33:K40)</f>
        <v>3.3587000257499999E-2</v>
      </c>
      <c r="L42" s="120">
        <f>SUM(L13:L20)+SUM(L23:L30)+SUM(L33:L40)</f>
        <v>7.509022820492723E-3</v>
      </c>
      <c r="M42" s="120">
        <f ca="1">SUM(M13:M20)+SUM(M23:M30)+SUM(M33:M40)</f>
        <v>16.195175204817023</v>
      </c>
      <c r="N42" s="10"/>
      <c r="O42" s="10"/>
      <c r="P42" s="10"/>
      <c r="Q42" s="10"/>
      <c r="R42" s="10"/>
      <c r="S42" s="10"/>
      <c r="T42" s="10"/>
      <c r="U42" s="10"/>
      <c r="V42" s="10"/>
      <c r="W42" s="10"/>
      <c r="X42" s="10"/>
      <c r="Y42" s="10"/>
      <c r="Z42" s="10"/>
      <c r="AA42" s="10"/>
      <c r="AB42" s="10"/>
      <c r="AC42" s="10"/>
      <c r="AD42" s="10"/>
      <c r="AE42" s="10"/>
      <c r="AH42" s="35"/>
      <c r="AI42" s="35"/>
      <c r="AJ42" s="1"/>
      <c r="AK42" s="1"/>
      <c r="AL42" s="81"/>
      <c r="AM42" s="81"/>
      <c r="AN42" s="81"/>
      <c r="AO42" s="81"/>
    </row>
    <row r="43" spans="1:41" x14ac:dyDescent="0.25">
      <c r="A43" s="31"/>
      <c r="B43" s="43"/>
      <c r="C43" s="38"/>
      <c r="D43" s="38"/>
      <c r="F43" s="31"/>
      <c r="H43" s="31"/>
      <c r="K43" s="57"/>
      <c r="N43" s="10"/>
      <c r="O43" s="10"/>
      <c r="P43" s="10"/>
      <c r="Q43" s="10"/>
      <c r="R43" s="10"/>
      <c r="S43" s="10"/>
      <c r="T43" s="10"/>
      <c r="U43" s="10"/>
      <c r="V43" s="10"/>
      <c r="W43" s="10"/>
      <c r="X43" s="10"/>
      <c r="Y43" s="10"/>
      <c r="Z43" s="10"/>
      <c r="AA43" s="10"/>
      <c r="AB43" s="10"/>
      <c r="AC43" s="10"/>
      <c r="AD43" s="10"/>
      <c r="AE43" s="10"/>
      <c r="AH43" s="35"/>
      <c r="AI43" s="35"/>
      <c r="AJ43" s="49"/>
      <c r="AK43" s="26"/>
      <c r="AL43" s="26"/>
      <c r="AM43" s="26"/>
      <c r="AN43" s="26"/>
      <c r="AO43" s="26"/>
    </row>
    <row r="44" spans="1:41" ht="13" x14ac:dyDescent="0.25">
      <c r="A44" s="42"/>
      <c r="B44" s="43"/>
      <c r="C44" s="70"/>
      <c r="D44" s="42"/>
      <c r="E44" s="42"/>
      <c r="F44" s="42"/>
      <c r="G44" s="1"/>
      <c r="H44" s="42"/>
      <c r="K44" s="57"/>
      <c r="N44" s="10"/>
      <c r="O44" s="10"/>
      <c r="P44" s="10"/>
      <c r="Q44" s="10"/>
      <c r="R44" s="10"/>
      <c r="S44" s="10"/>
      <c r="T44" s="10"/>
      <c r="U44" s="10"/>
      <c r="V44" s="10"/>
      <c r="W44" s="10"/>
      <c r="X44" s="10"/>
      <c r="Y44" s="10"/>
      <c r="Z44" s="10"/>
      <c r="AA44" s="10"/>
      <c r="AB44" s="10"/>
      <c r="AC44" s="10"/>
      <c r="AD44" s="10"/>
      <c r="AE44" s="10"/>
      <c r="AH44" s="75"/>
      <c r="AI44" s="75"/>
      <c r="AJ44" s="17"/>
      <c r="AK44" s="17"/>
      <c r="AL44" s="17"/>
      <c r="AM44" s="17"/>
      <c r="AN44" s="17"/>
      <c r="AO44" s="17"/>
    </row>
    <row r="45" spans="1:41" ht="13" thickBot="1" x14ac:dyDescent="0.3">
      <c r="B45" s="43"/>
      <c r="C45" s="25"/>
      <c r="D45" s="1"/>
      <c r="E45" s="1"/>
      <c r="K45" s="57"/>
      <c r="N45" s="10"/>
      <c r="O45" s="10"/>
      <c r="P45" s="10"/>
      <c r="Q45" s="10"/>
      <c r="R45" s="10"/>
      <c r="S45" s="10"/>
      <c r="T45" s="10"/>
      <c r="U45" s="10"/>
      <c r="V45" s="10"/>
      <c r="W45" s="10"/>
      <c r="X45" s="10"/>
      <c r="Y45" s="10"/>
      <c r="Z45" s="10"/>
      <c r="AA45" s="10"/>
      <c r="AB45" s="10"/>
      <c r="AC45" s="10"/>
      <c r="AD45" s="10"/>
      <c r="AE45" s="10"/>
      <c r="AH45" s="9"/>
      <c r="AI45" s="17"/>
      <c r="AJ45" s="17"/>
      <c r="AK45" s="17"/>
      <c r="AL45" s="17"/>
      <c r="AM45" s="17"/>
      <c r="AN45" s="17"/>
      <c r="AO45" s="17"/>
    </row>
    <row r="46" spans="1:41" ht="13.5" customHeight="1" x14ac:dyDescent="0.25">
      <c r="B46" s="717" t="s">
        <v>258</v>
      </c>
      <c r="C46" s="717"/>
      <c r="D46" s="717"/>
      <c r="E46" s="717"/>
      <c r="F46" s="717"/>
      <c r="G46" s="717"/>
      <c r="H46" s="717"/>
      <c r="I46" s="717"/>
      <c r="J46" s="717"/>
      <c r="K46" s="717"/>
      <c r="L46" s="717"/>
      <c r="M46" s="717"/>
      <c r="N46" s="717"/>
      <c r="O46" s="717"/>
      <c r="P46" s="10"/>
      <c r="Q46" s="10"/>
      <c r="R46" s="10"/>
      <c r="S46" s="10"/>
      <c r="T46" s="10"/>
      <c r="U46" s="10"/>
      <c r="V46" s="10"/>
      <c r="W46" s="10"/>
      <c r="X46" s="10"/>
      <c r="Y46" s="10"/>
      <c r="Z46" s="10"/>
      <c r="AA46" s="10"/>
      <c r="AB46" s="10"/>
      <c r="AC46" s="10"/>
      <c r="AD46" s="10"/>
      <c r="AE46" s="10"/>
      <c r="AH46" s="85"/>
      <c r="AI46" s="75"/>
      <c r="AJ46" s="17"/>
      <c r="AK46" s="17"/>
      <c r="AL46" s="17"/>
      <c r="AM46" s="17"/>
      <c r="AN46" s="17"/>
      <c r="AO46" s="17"/>
    </row>
    <row r="47" spans="1:41" ht="13" thickBot="1" x14ac:dyDescent="0.3">
      <c r="B47" s="718"/>
      <c r="C47" s="718"/>
      <c r="D47" s="718"/>
      <c r="E47" s="718"/>
      <c r="F47" s="718"/>
      <c r="G47" s="718"/>
      <c r="H47" s="718"/>
      <c r="I47" s="718"/>
      <c r="J47" s="718"/>
      <c r="K47" s="718"/>
      <c r="L47" s="718"/>
      <c r="M47" s="718"/>
      <c r="N47" s="718"/>
      <c r="O47" s="718"/>
      <c r="P47" s="10"/>
      <c r="Q47" s="10"/>
      <c r="R47" s="10"/>
      <c r="S47" s="10"/>
      <c r="T47" s="10"/>
      <c r="U47" s="10"/>
      <c r="V47" s="10"/>
      <c r="W47" s="10"/>
      <c r="X47" s="10"/>
      <c r="Y47" s="10"/>
      <c r="Z47" s="10"/>
      <c r="AA47" s="10"/>
      <c r="AB47" s="10"/>
      <c r="AC47" s="10"/>
      <c r="AD47" s="10"/>
      <c r="AE47" s="10"/>
      <c r="AH47" s="17"/>
      <c r="AI47" s="17"/>
      <c r="AJ47" s="17"/>
      <c r="AK47" s="17"/>
      <c r="AL47" s="17"/>
      <c r="AM47" s="17"/>
      <c r="AN47" s="17"/>
      <c r="AO47" s="17"/>
    </row>
    <row r="48" spans="1:41" ht="13" x14ac:dyDescent="0.3">
      <c r="B48" s="668" t="s">
        <v>19</v>
      </c>
      <c r="C48" s="589"/>
      <c r="D48" s="589"/>
      <c r="E48" s="387" t="s">
        <v>20</v>
      </c>
      <c r="F48" s="467"/>
      <c r="G48" s="467"/>
      <c r="H48" s="387" t="s">
        <v>21</v>
      </c>
      <c r="I48" s="467"/>
      <c r="J48" s="468"/>
      <c r="K48" s="719" t="s">
        <v>22</v>
      </c>
      <c r="L48" s="720"/>
      <c r="M48" s="387" t="s">
        <v>23</v>
      </c>
      <c r="N48" s="467"/>
      <c r="O48" s="467"/>
      <c r="P48" s="1"/>
      <c r="Q48" s="1"/>
      <c r="R48" s="1"/>
      <c r="S48" s="1"/>
      <c r="T48" s="1"/>
      <c r="U48" s="1"/>
      <c r="V48" s="1"/>
      <c r="W48" s="4"/>
      <c r="X48" s="4"/>
      <c r="Y48" s="4"/>
      <c r="Z48" s="4"/>
      <c r="AA48" s="4"/>
      <c r="AB48" s="4"/>
      <c r="AC48" s="4"/>
      <c r="AD48" s="4"/>
      <c r="AE48" s="4"/>
      <c r="AH48" s="17"/>
      <c r="AI48" s="17"/>
      <c r="AJ48" s="17"/>
      <c r="AK48" s="17"/>
      <c r="AL48" s="17"/>
      <c r="AM48" s="17"/>
      <c r="AN48" s="17"/>
      <c r="AO48" s="17"/>
    </row>
    <row r="49" spans="1:49" ht="15.75" customHeight="1" x14ac:dyDescent="0.4">
      <c r="A49" s="22"/>
      <c r="B49" s="673" t="s">
        <v>49</v>
      </c>
      <c r="C49" s="674"/>
      <c r="D49" s="674"/>
      <c r="E49" s="669" t="s">
        <v>884</v>
      </c>
      <c r="F49" s="670"/>
      <c r="G49" s="670"/>
      <c r="H49" s="669" t="s">
        <v>908</v>
      </c>
      <c r="I49" s="670"/>
      <c r="J49" s="684"/>
      <c r="K49" s="701" t="s">
        <v>909</v>
      </c>
      <c r="L49" s="702"/>
      <c r="M49" s="721" t="s">
        <v>892</v>
      </c>
      <c r="N49" s="722"/>
      <c r="O49" s="723"/>
      <c r="P49" s="10"/>
      <c r="Q49" s="10"/>
      <c r="R49" s="10"/>
      <c r="S49" s="10"/>
      <c r="T49" s="10"/>
      <c r="U49" s="10"/>
      <c r="V49" s="10"/>
      <c r="W49" s="10"/>
      <c r="X49" s="10"/>
      <c r="Y49" s="10"/>
      <c r="Z49" s="10"/>
      <c r="AA49" s="10"/>
      <c r="AB49" s="10"/>
      <c r="AC49" s="10"/>
      <c r="AD49" s="10"/>
      <c r="AE49" s="10"/>
      <c r="AH49" s="17"/>
      <c r="AI49" s="17"/>
      <c r="AJ49" s="17"/>
      <c r="AK49" s="17"/>
      <c r="AL49" s="17"/>
      <c r="AM49" s="17"/>
      <c r="AN49" s="17"/>
      <c r="AO49" s="17"/>
    </row>
    <row r="50" spans="1:49" ht="15.5" x14ac:dyDescent="0.25">
      <c r="A50" s="17"/>
      <c r="B50" s="665" t="s">
        <v>39</v>
      </c>
      <c r="C50" s="678"/>
      <c r="D50" s="678"/>
      <c r="E50" s="435" t="s">
        <v>261</v>
      </c>
      <c r="F50" s="309"/>
      <c r="G50" s="309"/>
      <c r="H50" s="435" t="s">
        <v>910</v>
      </c>
      <c r="I50" s="309"/>
      <c r="J50" s="437"/>
      <c r="K50" s="701" t="s">
        <v>911</v>
      </c>
      <c r="L50" s="702"/>
      <c r="M50" s="552" t="s">
        <v>912</v>
      </c>
      <c r="N50" s="727"/>
      <c r="O50" s="519"/>
      <c r="P50" s="10"/>
      <c r="Q50" s="10"/>
      <c r="R50" s="10"/>
      <c r="S50" s="10"/>
      <c r="T50" s="10"/>
      <c r="U50" s="10"/>
      <c r="V50" s="10"/>
      <c r="W50" s="59"/>
      <c r="X50" s="10"/>
      <c r="Y50" s="10"/>
      <c r="Z50" s="10"/>
      <c r="AA50" s="10"/>
      <c r="AB50" s="10"/>
      <c r="AC50" s="10"/>
      <c r="AD50" s="10"/>
      <c r="AE50" s="10"/>
      <c r="AH50" s="42"/>
      <c r="AI50" s="36"/>
      <c r="AJ50" s="36"/>
      <c r="AK50" s="36"/>
      <c r="AL50" s="36"/>
      <c r="AM50" s="36"/>
      <c r="AN50" s="65"/>
    </row>
    <row r="51" spans="1:49" ht="13" x14ac:dyDescent="0.25">
      <c r="A51" s="17"/>
      <c r="B51" s="679"/>
      <c r="C51" s="678"/>
      <c r="D51" s="678"/>
      <c r="E51" s="371">
        <f ca="1">J42</f>
        <v>16.154079181739029</v>
      </c>
      <c r="F51" s="400"/>
      <c r="G51" s="372"/>
      <c r="H51" s="371">
        <f>K42</f>
        <v>3.3587000257499999E-2</v>
      </c>
      <c r="I51" s="690"/>
      <c r="J51" s="690"/>
      <c r="K51" s="714">
        <f>L42</f>
        <v>7.509022820492723E-3</v>
      </c>
      <c r="L51" s="371"/>
      <c r="M51" s="504">
        <f ca="1">E51+H51+K51</f>
        <v>16.195175204817023</v>
      </c>
      <c r="N51" s="727"/>
      <c r="O51" s="519"/>
      <c r="P51" s="10"/>
      <c r="Q51" s="10"/>
      <c r="R51" s="10"/>
      <c r="S51" s="10"/>
      <c r="T51" s="10"/>
      <c r="U51" s="10"/>
      <c r="V51" s="10"/>
      <c r="W51" s="59"/>
      <c r="X51" s="10"/>
      <c r="Y51" s="10"/>
      <c r="Z51" s="10"/>
      <c r="AA51" s="10"/>
      <c r="AB51" s="10"/>
      <c r="AC51" s="10"/>
      <c r="AD51" s="10"/>
      <c r="AE51" s="10"/>
      <c r="AH51" s="42"/>
      <c r="AI51" s="36"/>
      <c r="AJ51" s="36"/>
      <c r="AK51" s="36"/>
      <c r="AL51" s="36"/>
      <c r="AM51" s="36"/>
      <c r="AN51" s="65"/>
    </row>
    <row r="52" spans="1:49" ht="15.5" x14ac:dyDescent="0.25">
      <c r="A52" s="69"/>
      <c r="B52" s="665" t="s">
        <v>262</v>
      </c>
      <c r="C52" s="678"/>
      <c r="D52" s="678"/>
      <c r="E52" s="435" t="s">
        <v>913</v>
      </c>
      <c r="F52" s="309"/>
      <c r="G52" s="309"/>
      <c r="H52" s="435" t="s">
        <v>910</v>
      </c>
      <c r="I52" s="309"/>
      <c r="J52" s="437"/>
      <c r="K52" s="701" t="s">
        <v>911</v>
      </c>
      <c r="L52" s="702"/>
      <c r="M52" s="552" t="s">
        <v>912</v>
      </c>
      <c r="N52" s="727"/>
      <c r="O52" s="519"/>
      <c r="P52" s="10"/>
      <c r="Q52" s="10"/>
      <c r="R52" s="10"/>
      <c r="S52" s="10"/>
      <c r="T52" s="10"/>
      <c r="U52" s="10"/>
      <c r="V52" s="10"/>
      <c r="W52" s="59"/>
      <c r="X52" s="10"/>
      <c r="Y52" s="10"/>
      <c r="Z52" s="10"/>
      <c r="AA52" s="10"/>
      <c r="AB52" s="10"/>
      <c r="AC52" s="10"/>
      <c r="AD52" s="10"/>
      <c r="AE52" s="10"/>
      <c r="AH52" s="42"/>
      <c r="AI52" s="36"/>
      <c r="AJ52" s="36"/>
      <c r="AK52" s="36"/>
      <c r="AL52" s="36"/>
      <c r="AM52" s="36"/>
      <c r="AN52" s="65"/>
    </row>
    <row r="53" spans="1:49" ht="13" x14ac:dyDescent="0.3">
      <c r="A53" s="32"/>
      <c r="B53" s="679"/>
      <c r="C53" s="678"/>
      <c r="D53" s="678"/>
      <c r="E53" s="687">
        <f ca="1">J42*(E42/D42)</f>
        <v>6.8819847450390146</v>
      </c>
      <c r="F53" s="688"/>
      <c r="G53" s="689"/>
      <c r="H53" s="504">
        <f>K42</f>
        <v>3.3587000257499999E-2</v>
      </c>
      <c r="I53" s="690"/>
      <c r="J53" s="690"/>
      <c r="K53" s="714">
        <f>L42</f>
        <v>7.509022820492723E-3</v>
      </c>
      <c r="L53" s="371"/>
      <c r="M53" s="504">
        <f ca="1">E53+H53+K53</f>
        <v>6.923080768117007</v>
      </c>
      <c r="N53" s="727"/>
      <c r="O53" s="519"/>
      <c r="P53" s="10"/>
      <c r="Q53" s="10"/>
      <c r="R53" s="10"/>
      <c r="S53" s="10"/>
      <c r="T53" s="10"/>
      <c r="U53" s="10"/>
      <c r="V53" s="10"/>
      <c r="W53" s="10"/>
      <c r="X53" s="10"/>
      <c r="Y53" s="10"/>
      <c r="Z53" s="10"/>
      <c r="AA53" s="10"/>
      <c r="AB53" s="10"/>
      <c r="AC53" s="10"/>
      <c r="AD53" s="10"/>
      <c r="AE53" s="10"/>
      <c r="AH53" s="36"/>
      <c r="AI53" s="36"/>
      <c r="AJ53" s="36"/>
      <c r="AK53" s="36"/>
      <c r="AL53" s="36"/>
      <c r="AM53" s="36"/>
      <c r="AN53" s="65"/>
      <c r="AO53" s="44"/>
      <c r="AP53" s="44"/>
      <c r="AQ53" s="44"/>
      <c r="AR53" s="44"/>
      <c r="AS53" s="44"/>
      <c r="AT53" s="44"/>
      <c r="AU53" s="44"/>
      <c r="AV53" s="44"/>
      <c r="AW53" s="44"/>
    </row>
    <row r="54" spans="1:49" ht="13" x14ac:dyDescent="0.3">
      <c r="A54" s="36"/>
      <c r="B54" s="709" t="s">
        <v>263</v>
      </c>
      <c r="C54" s="710"/>
      <c r="D54" s="710"/>
      <c r="E54" s="435" t="s">
        <v>914</v>
      </c>
      <c r="F54" s="309"/>
      <c r="G54" s="309"/>
      <c r="H54" s="442" t="s">
        <v>17</v>
      </c>
      <c r="I54" s="309"/>
      <c r="J54" s="437"/>
      <c r="K54" s="715" t="s">
        <v>17</v>
      </c>
      <c r="L54" s="702"/>
      <c r="M54" s="552" t="s">
        <v>912</v>
      </c>
      <c r="N54" s="727"/>
      <c r="O54" s="519"/>
      <c r="P54" s="10"/>
      <c r="Q54" s="10"/>
      <c r="R54" s="10"/>
      <c r="S54" s="10"/>
      <c r="T54" s="10"/>
      <c r="U54" s="10"/>
      <c r="V54" s="10"/>
      <c r="W54" s="10"/>
      <c r="X54" s="10"/>
      <c r="Y54" s="10"/>
      <c r="Z54" s="10"/>
      <c r="AA54" s="10"/>
      <c r="AB54" s="10"/>
      <c r="AC54" s="10"/>
      <c r="AD54" s="10"/>
      <c r="AE54" s="10"/>
      <c r="AH54" s="34"/>
      <c r="AK54" s="4"/>
      <c r="AO54" s="1"/>
      <c r="AT54" s="1"/>
      <c r="AU54" s="1"/>
      <c r="AV54" s="1"/>
      <c r="AW54" s="1"/>
    </row>
    <row r="55" spans="1:49" ht="13.5" thickBot="1" x14ac:dyDescent="0.35">
      <c r="A55" s="34"/>
      <c r="B55" s="711"/>
      <c r="C55" s="712"/>
      <c r="D55" s="712"/>
      <c r="E55" s="704">
        <f ca="1">J42*(F42/D42)</f>
        <v>9.2720944367000158</v>
      </c>
      <c r="F55" s="705"/>
      <c r="G55" s="706"/>
      <c r="H55" s="707">
        <v>0</v>
      </c>
      <c r="I55" s="708"/>
      <c r="J55" s="708"/>
      <c r="K55" s="713">
        <v>0</v>
      </c>
      <c r="L55" s="704"/>
      <c r="M55" s="707">
        <f ca="1">E55+H55+K55</f>
        <v>9.2720944367000158</v>
      </c>
      <c r="N55" s="728"/>
      <c r="O55" s="729"/>
      <c r="P55" s="10"/>
      <c r="Q55" s="10"/>
      <c r="R55" s="10"/>
      <c r="S55" s="10"/>
      <c r="T55" s="10"/>
      <c r="U55" s="10"/>
      <c r="V55" s="10"/>
      <c r="W55" s="10"/>
      <c r="X55" s="10"/>
      <c r="Y55" s="10"/>
      <c r="Z55" s="10"/>
      <c r="AA55" s="10"/>
      <c r="AB55" s="10"/>
      <c r="AC55" s="10"/>
      <c r="AD55" s="10"/>
      <c r="AE55" s="10"/>
      <c r="AH55" s="45"/>
      <c r="AI55" s="43"/>
      <c r="AJ55" s="1"/>
      <c r="AK55" s="8"/>
      <c r="AL55" s="4"/>
      <c r="AM55" s="44"/>
      <c r="AO55" s="4"/>
      <c r="AT55" s="4"/>
      <c r="AU55" s="4"/>
      <c r="AV55" s="4"/>
    </row>
    <row r="56" spans="1:49" ht="13" x14ac:dyDescent="0.3">
      <c r="A56" s="31"/>
      <c r="C56" s="31"/>
      <c r="D56" s="31"/>
      <c r="E56" s="31"/>
      <c r="F56" s="38"/>
      <c r="G56" s="31"/>
      <c r="H56" s="31"/>
      <c r="I56" s="38"/>
      <c r="K56" s="57"/>
      <c r="N56" s="10"/>
      <c r="O56" s="10"/>
      <c r="P56" s="10"/>
      <c r="Q56" s="10"/>
      <c r="R56" s="10"/>
      <c r="S56" s="10"/>
      <c r="T56" s="10"/>
      <c r="U56" s="10"/>
      <c r="V56" s="10"/>
      <c r="W56" s="10"/>
      <c r="X56" s="10"/>
      <c r="Y56" s="10"/>
      <c r="Z56" s="10"/>
      <c r="AA56" s="10"/>
      <c r="AB56" s="10"/>
      <c r="AC56" s="10"/>
      <c r="AD56" s="10"/>
      <c r="AE56" s="10"/>
      <c r="AH56" s="25"/>
      <c r="AI56" s="1"/>
      <c r="AK56" s="46"/>
      <c r="AL56" s="1"/>
      <c r="AM56" s="46"/>
      <c r="AN56" s="46"/>
      <c r="AT56" s="4"/>
      <c r="AU56" s="4"/>
      <c r="AV56" s="4"/>
    </row>
    <row r="57" spans="1:49" ht="13" x14ac:dyDescent="0.3">
      <c r="A57" s="42"/>
      <c r="B57" s="42"/>
      <c r="C57" s="42"/>
      <c r="D57" s="42"/>
      <c r="E57" s="257"/>
      <c r="F57" s="42"/>
      <c r="G57" s="42"/>
      <c r="H57" s="42"/>
      <c r="I57" s="42"/>
      <c r="K57" s="57"/>
      <c r="N57" s="10"/>
      <c r="O57" s="10"/>
      <c r="P57" s="10"/>
      <c r="Q57" s="10"/>
      <c r="R57" s="10"/>
      <c r="S57" s="10"/>
      <c r="T57" s="10"/>
      <c r="U57" s="10"/>
      <c r="V57" s="10"/>
      <c r="W57" s="10"/>
      <c r="X57" s="10"/>
      <c r="Y57" s="10"/>
      <c r="Z57" s="10"/>
      <c r="AA57" s="10"/>
      <c r="AB57" s="10"/>
      <c r="AC57" s="10"/>
      <c r="AD57" s="10"/>
      <c r="AE57" s="10"/>
      <c r="AH57" s="25"/>
      <c r="AI57" s="1"/>
      <c r="AK57" s="46"/>
      <c r="AL57" s="1"/>
      <c r="AM57" s="46"/>
      <c r="AN57" s="46"/>
      <c r="AT57" s="4"/>
      <c r="AU57" s="4"/>
      <c r="AV57" s="8"/>
    </row>
    <row r="58" spans="1:49" ht="13" x14ac:dyDescent="0.25">
      <c r="A58" s="42"/>
      <c r="B58" s="42"/>
      <c r="C58" s="1"/>
      <c r="F58" s="1"/>
      <c r="G58" s="1"/>
      <c r="H58" s="1"/>
      <c r="I58" s="1"/>
      <c r="AH58" s="25"/>
      <c r="AI58" s="1"/>
      <c r="AK58" s="33"/>
      <c r="AL58" s="1"/>
      <c r="AM58" s="46"/>
      <c r="AN58" s="46"/>
      <c r="AT58" s="1"/>
      <c r="AU58" s="9"/>
      <c r="AV58" s="6"/>
    </row>
    <row r="59" spans="1:49" x14ac:dyDescent="0.25">
      <c r="A59" s="1"/>
      <c r="B59" s="1"/>
      <c r="C59" s="1"/>
      <c r="F59" s="1"/>
      <c r="G59" s="1"/>
      <c r="H59" s="1"/>
      <c r="I59" s="1"/>
    </row>
    <row r="60" spans="1:49" x14ac:dyDescent="0.25">
      <c r="A60" s="1"/>
      <c r="B60" s="1"/>
      <c r="C60" s="50"/>
      <c r="D60" s="72"/>
      <c r="E60" s="51"/>
      <c r="F60" s="50"/>
      <c r="G60" s="72"/>
      <c r="H60" s="51"/>
      <c r="I60" s="50"/>
    </row>
    <row r="61" spans="1:49" x14ac:dyDescent="0.25">
      <c r="A61" s="1"/>
      <c r="B61" s="1"/>
      <c r="C61" s="1"/>
      <c r="D61" s="1"/>
      <c r="E61" s="1"/>
      <c r="F61" s="1"/>
      <c r="G61" s="1"/>
      <c r="H61" s="1"/>
      <c r="I61" s="1"/>
    </row>
    <row r="62" spans="1:49" x14ac:dyDescent="0.25">
      <c r="C62" s="33"/>
      <c r="D62" s="33"/>
      <c r="E62" s="33"/>
      <c r="F62" s="33"/>
      <c r="G62" s="33"/>
      <c r="H62" s="33"/>
      <c r="I62" s="33"/>
    </row>
    <row r="63" spans="1:49" x14ac:dyDescent="0.25">
      <c r="A63" s="26"/>
      <c r="B63" s="26"/>
      <c r="C63" s="26"/>
      <c r="D63" s="49"/>
      <c r="E63" s="26"/>
      <c r="F63" s="26"/>
      <c r="G63" s="38"/>
      <c r="I63" s="26"/>
    </row>
    <row r="64" spans="1:49" x14ac:dyDescent="0.25">
      <c r="A64" s="55"/>
      <c r="C64" s="33"/>
      <c r="D64" s="33"/>
      <c r="E64" s="33"/>
      <c r="F64" s="33"/>
      <c r="G64" s="33"/>
      <c r="H64" s="33"/>
      <c r="I64" s="33"/>
    </row>
    <row r="65" spans="1:9" x14ac:dyDescent="0.25">
      <c r="A65" s="55"/>
      <c r="C65" s="33"/>
      <c r="D65" s="33"/>
      <c r="E65" s="33"/>
      <c r="F65" s="33"/>
      <c r="G65" s="33"/>
      <c r="H65" s="33"/>
      <c r="I65" s="33"/>
    </row>
    <row r="66" spans="1:9" x14ac:dyDescent="0.25">
      <c r="A66" s="45"/>
      <c r="C66" s="33"/>
      <c r="D66" s="33"/>
      <c r="E66" s="33"/>
      <c r="F66" s="33"/>
      <c r="G66" s="33"/>
      <c r="H66" s="33"/>
      <c r="I66" s="33"/>
    </row>
    <row r="67" spans="1:9" x14ac:dyDescent="0.25">
      <c r="A67" s="55"/>
      <c r="C67" s="33"/>
      <c r="D67" s="33"/>
      <c r="E67" s="33"/>
      <c r="F67" s="33"/>
      <c r="G67" s="33"/>
      <c r="H67" s="33"/>
      <c r="I67" s="33"/>
    </row>
    <row r="68" spans="1:9" x14ac:dyDescent="0.25">
      <c r="A68" s="55"/>
      <c r="C68" s="33"/>
      <c r="D68" s="33"/>
      <c r="E68" s="33"/>
      <c r="F68" s="33"/>
      <c r="G68" s="33"/>
      <c r="H68" s="33"/>
      <c r="I68" s="33"/>
    </row>
    <row r="69" spans="1:9" x14ac:dyDescent="0.25">
      <c r="A69" s="55"/>
      <c r="C69" s="33"/>
      <c r="D69" s="33"/>
      <c r="E69" s="33"/>
      <c r="F69" s="33"/>
      <c r="G69" s="33"/>
      <c r="H69" s="33"/>
      <c r="I69" s="33"/>
    </row>
    <row r="70" spans="1:9" x14ac:dyDescent="0.25">
      <c r="A70" s="69"/>
      <c r="B70" s="43"/>
      <c r="C70" s="43"/>
      <c r="D70" s="43"/>
      <c r="E70" s="43"/>
      <c r="F70" s="43"/>
      <c r="G70" s="43"/>
      <c r="H70" s="43"/>
      <c r="I70" s="43"/>
    </row>
    <row r="71" spans="1:9" x14ac:dyDescent="0.25">
      <c r="C71" s="33"/>
      <c r="D71" s="33"/>
      <c r="E71" s="33"/>
      <c r="F71" s="33"/>
      <c r="G71" s="1"/>
      <c r="H71" s="33"/>
      <c r="I71" s="33"/>
    </row>
    <row r="72" spans="1:9" ht="13" x14ac:dyDescent="0.3">
      <c r="A72" s="4"/>
      <c r="B72" s="1"/>
      <c r="C72" s="1"/>
      <c r="D72" s="1"/>
      <c r="E72" s="1"/>
      <c r="F72" s="1"/>
      <c r="G72" s="1"/>
    </row>
    <row r="74" spans="1:9" ht="13" x14ac:dyDescent="0.25">
      <c r="A74" s="34"/>
      <c r="B74" s="34"/>
      <c r="C74" s="34"/>
      <c r="D74" s="34"/>
      <c r="E74" s="34"/>
      <c r="F74" s="34"/>
      <c r="G74" s="34"/>
      <c r="H74" s="34"/>
      <c r="I74" s="34"/>
    </row>
    <row r="75" spans="1:9" x14ac:dyDescent="0.25">
      <c r="A75" s="31"/>
      <c r="B75" s="31"/>
      <c r="C75" s="31"/>
      <c r="E75" s="38"/>
      <c r="F75" s="1"/>
      <c r="G75" s="1"/>
      <c r="H75" s="1"/>
      <c r="I75" s="38"/>
    </row>
    <row r="76" spans="1:9" ht="13" x14ac:dyDescent="0.3">
      <c r="A76" s="42"/>
      <c r="B76" s="42"/>
      <c r="C76" s="42"/>
      <c r="D76" s="42"/>
      <c r="E76" s="4"/>
      <c r="F76" s="4"/>
      <c r="G76" s="4"/>
      <c r="H76" s="4"/>
      <c r="I76" s="4"/>
    </row>
    <row r="77" spans="1:9" x14ac:dyDescent="0.25">
      <c r="A77" s="65"/>
      <c r="B77" s="65"/>
      <c r="C77" s="65"/>
      <c r="D77" s="65"/>
      <c r="E77" s="38"/>
      <c r="I77" s="38"/>
    </row>
    <row r="78" spans="1:9" x14ac:dyDescent="0.25">
      <c r="A78" s="43"/>
      <c r="B78" s="43"/>
      <c r="C78" s="43"/>
      <c r="E78" s="33"/>
      <c r="F78" s="1"/>
      <c r="G78" s="1"/>
      <c r="H78" s="1"/>
      <c r="I78" s="10"/>
    </row>
    <row r="79" spans="1:9" x14ac:dyDescent="0.25">
      <c r="A79" s="43"/>
      <c r="B79" s="43"/>
      <c r="C79" s="43"/>
      <c r="E79" s="33"/>
      <c r="F79" s="1"/>
      <c r="G79" s="1"/>
      <c r="H79" s="1"/>
      <c r="I79" s="10"/>
    </row>
    <row r="80" spans="1:9" x14ac:dyDescent="0.25">
      <c r="A80" s="45"/>
      <c r="B80" s="43"/>
      <c r="C80" s="43"/>
      <c r="E80" s="33"/>
      <c r="F80" s="1"/>
      <c r="G80" s="1"/>
      <c r="H80" s="1"/>
      <c r="I80" s="10"/>
    </row>
    <row r="81" spans="1:9" x14ac:dyDescent="0.25">
      <c r="A81" s="43"/>
      <c r="B81" s="43"/>
      <c r="C81" s="43"/>
      <c r="E81" s="33"/>
      <c r="F81" s="1"/>
      <c r="G81" s="1"/>
      <c r="H81" s="1"/>
      <c r="I81" s="10"/>
    </row>
    <row r="82" spans="1:9" x14ac:dyDescent="0.25">
      <c r="A82" s="69"/>
      <c r="B82" s="43"/>
      <c r="C82" s="43"/>
      <c r="D82" s="43"/>
      <c r="E82" s="43"/>
      <c r="F82" s="43"/>
      <c r="G82" s="43"/>
      <c r="H82" s="43"/>
      <c r="I82" s="43"/>
    </row>
    <row r="87" spans="1:9" x14ac:dyDescent="0.25">
      <c r="A87" s="31"/>
      <c r="B87" s="31"/>
      <c r="C87" s="31"/>
      <c r="D87" s="31"/>
      <c r="E87" s="31"/>
      <c r="F87" s="31"/>
      <c r="G87" s="31"/>
      <c r="H87" s="31"/>
      <c r="I87" s="31"/>
    </row>
    <row r="88" spans="1:9" ht="13" x14ac:dyDescent="0.25">
      <c r="A88" s="41"/>
      <c r="B88" s="41"/>
      <c r="C88" s="41"/>
      <c r="D88" s="42"/>
      <c r="E88" s="42"/>
      <c r="F88" s="42"/>
      <c r="G88" s="42"/>
      <c r="I88" s="42"/>
    </row>
    <row r="89" spans="1:9" ht="13" x14ac:dyDescent="0.25">
      <c r="A89" s="41"/>
      <c r="B89" s="41"/>
      <c r="C89" s="41"/>
      <c r="D89" s="31"/>
      <c r="G89" s="31"/>
      <c r="H89" s="31"/>
      <c r="I89" s="31"/>
    </row>
    <row r="90" spans="1:9" x14ac:dyDescent="0.25">
      <c r="A90" s="43"/>
      <c r="B90" s="43"/>
      <c r="C90" s="43"/>
      <c r="D90" s="33"/>
      <c r="E90" s="1"/>
      <c r="F90" s="1"/>
      <c r="G90" s="33"/>
      <c r="H90" s="1"/>
      <c r="I90" s="1"/>
    </row>
    <row r="91" spans="1:9" x14ac:dyDescent="0.25">
      <c r="A91" s="43"/>
      <c r="B91" s="43"/>
      <c r="C91" s="43"/>
      <c r="D91" s="33"/>
      <c r="E91" s="1"/>
      <c r="F91" s="1"/>
      <c r="G91" s="33"/>
      <c r="H91" s="1"/>
      <c r="I91" s="1"/>
    </row>
    <row r="92" spans="1:9" x14ac:dyDescent="0.25">
      <c r="A92" s="43"/>
      <c r="B92" s="43"/>
      <c r="C92" s="43"/>
      <c r="D92" s="33"/>
      <c r="E92" s="1"/>
      <c r="F92" s="1"/>
      <c r="G92" s="33"/>
      <c r="H92" s="1"/>
      <c r="I92" s="1"/>
    </row>
  </sheetData>
  <mergeCells count="91">
    <mergeCell ref="M50:O50"/>
    <mergeCell ref="M52:O52"/>
    <mergeCell ref="M54:O54"/>
    <mergeCell ref="M55:O55"/>
    <mergeCell ref="M53:O53"/>
    <mergeCell ref="M51:O51"/>
    <mergeCell ref="B3:M4"/>
    <mergeCell ref="B46:O47"/>
    <mergeCell ref="K48:L48"/>
    <mergeCell ref="M48:O48"/>
    <mergeCell ref="M49:O49"/>
    <mergeCell ref="K6:K8"/>
    <mergeCell ref="L6:L8"/>
    <mergeCell ref="K9:K11"/>
    <mergeCell ref="L9:L11"/>
    <mergeCell ref="M6:M8"/>
    <mergeCell ref="M9:M11"/>
    <mergeCell ref="B12:M12"/>
    <mergeCell ref="D9:D11"/>
    <mergeCell ref="B23:C23"/>
    <mergeCell ref="B24:C24"/>
    <mergeCell ref="B25:C25"/>
    <mergeCell ref="K55:L55"/>
    <mergeCell ref="K50:L50"/>
    <mergeCell ref="K51:L51"/>
    <mergeCell ref="K52:L52"/>
    <mergeCell ref="K53:L53"/>
    <mergeCell ref="K54:L54"/>
    <mergeCell ref="E55:G55"/>
    <mergeCell ref="H55:J55"/>
    <mergeCell ref="B54:D55"/>
    <mergeCell ref="E54:G54"/>
    <mergeCell ref="H54:J54"/>
    <mergeCell ref="E51:G51"/>
    <mergeCell ref="H51:J51"/>
    <mergeCell ref="N14:R20"/>
    <mergeCell ref="N24:R30"/>
    <mergeCell ref="N34:R40"/>
    <mergeCell ref="K49:L49"/>
    <mergeCell ref="B22:M22"/>
    <mergeCell ref="B32:M32"/>
    <mergeCell ref="B31:C31"/>
    <mergeCell ref="B14:C14"/>
    <mergeCell ref="B26:C26"/>
    <mergeCell ref="B27:C27"/>
    <mergeCell ref="B28:C28"/>
    <mergeCell ref="B29:C29"/>
    <mergeCell ref="B30:C30"/>
    <mergeCell ref="B20:C20"/>
    <mergeCell ref="B19:C19"/>
    <mergeCell ref="B15:C15"/>
    <mergeCell ref="B16:C16"/>
    <mergeCell ref="B17:C17"/>
    <mergeCell ref="B18:C18"/>
    <mergeCell ref="B5:C5"/>
    <mergeCell ref="J9:J11"/>
    <mergeCell ref="B13:C13"/>
    <mergeCell ref="G6:G11"/>
    <mergeCell ref="I9:I11"/>
    <mergeCell ref="I6:I8"/>
    <mergeCell ref="J6:J8"/>
    <mergeCell ref="E9:E11"/>
    <mergeCell ref="F9:F11"/>
    <mergeCell ref="D6:F8"/>
    <mergeCell ref="B33:C33"/>
    <mergeCell ref="H6:H11"/>
    <mergeCell ref="B50:D51"/>
    <mergeCell ref="B52:D53"/>
    <mergeCell ref="B34:C34"/>
    <mergeCell ref="B35:C35"/>
    <mergeCell ref="B6:C11"/>
    <mergeCell ref="H49:J49"/>
    <mergeCell ref="B21:C21"/>
    <mergeCell ref="E53:G53"/>
    <mergeCell ref="H53:J53"/>
    <mergeCell ref="E52:G52"/>
    <mergeCell ref="H52:J52"/>
    <mergeCell ref="E50:G50"/>
    <mergeCell ref="H50:J50"/>
    <mergeCell ref="B36:C36"/>
    <mergeCell ref="B48:D48"/>
    <mergeCell ref="E48:G48"/>
    <mergeCell ref="H48:J48"/>
    <mergeCell ref="E49:G49"/>
    <mergeCell ref="B41:C41"/>
    <mergeCell ref="B49:D49"/>
    <mergeCell ref="B38:C38"/>
    <mergeCell ref="B39:C39"/>
    <mergeCell ref="B40:C40"/>
    <mergeCell ref="B42:C42"/>
    <mergeCell ref="B37:C37"/>
  </mergeCells>
  <dataValidations disablePrompts="1" count="2">
    <dataValidation type="list" allowBlank="1" showInputMessage="1" showErrorMessage="1" sqref="AJ55 N7" xr:uid="{00000000-0002-0000-0800-000000000000}">
      <formula1>Local</formula1>
    </dataValidation>
    <dataValidation type="whole" allowBlank="1" showInputMessage="1" showErrorMessage="1" sqref="I33:I41 I23:I31 I13:I21" xr:uid="{00000000-0002-0000-0800-000001000000}">
      <formula1>0</formula1>
      <formula2>78300</formula2>
    </dataValidation>
  </dataValidations>
  <pageMargins left="0.7" right="0.7" top="0.75" bottom="0.75" header="0.3" footer="0.3"/>
  <pageSetup orientation="portrait" r:id="rId1"/>
  <ignoredErrors>
    <ignoredError sqref="B5 D5:J5 B4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BF90"/>
  <sheetViews>
    <sheetView topLeftCell="B1" workbookViewId="0">
      <selection activeCell="R6" sqref="R6:U14"/>
    </sheetView>
  </sheetViews>
  <sheetFormatPr defaultColWidth="9.1796875" defaultRowHeight="12.5" x14ac:dyDescent="0.25"/>
  <cols>
    <col min="1" max="7" width="13.7265625" customWidth="1"/>
    <col min="8" max="8" width="15.26953125" customWidth="1"/>
    <col min="9" max="10" width="13.7265625" customWidth="1"/>
    <col min="11" max="15" width="10.7265625" customWidth="1"/>
    <col min="16" max="22" width="13.7265625" customWidth="1"/>
    <col min="23" max="32" width="12.7265625" customWidth="1"/>
    <col min="39" max="39" width="11" customWidth="1"/>
    <col min="40" max="40" width="12.453125" customWidth="1"/>
    <col min="41" max="41" width="10.453125" customWidth="1"/>
    <col min="42" max="42" width="10.7265625" customWidth="1"/>
    <col min="43" max="43" width="12.453125" customWidth="1"/>
    <col min="44" max="44" width="10.453125" customWidth="1"/>
    <col min="45" max="45" width="11.7265625" customWidth="1"/>
    <col min="46" max="46" width="10.453125" customWidth="1"/>
    <col min="49" max="49" width="10.1796875" customWidth="1"/>
  </cols>
  <sheetData>
    <row r="1" spans="1:58" x14ac:dyDescent="0.25">
      <c r="Q1" s="6"/>
      <c r="T1" s="1"/>
      <c r="Z1" s="7"/>
    </row>
    <row r="2" spans="1:58" ht="13" thickBot="1" x14ac:dyDescent="0.3">
      <c r="Q2" s="6"/>
      <c r="T2" s="1"/>
      <c r="Z2" s="7"/>
    </row>
    <row r="3" spans="1:58" ht="13.5" thickTop="1" x14ac:dyDescent="0.3">
      <c r="A3" s="34"/>
      <c r="B3" s="730" t="s">
        <v>232</v>
      </c>
      <c r="C3" s="730"/>
      <c r="D3" s="730"/>
      <c r="E3" s="730"/>
      <c r="F3" s="730"/>
      <c r="G3" s="730"/>
      <c r="H3" s="730"/>
      <c r="I3" s="730"/>
      <c r="J3" s="730"/>
      <c r="K3" s="730"/>
      <c r="L3" s="730"/>
      <c r="M3" s="730"/>
      <c r="N3" s="730"/>
      <c r="O3" s="730"/>
      <c r="P3" s="56"/>
      <c r="Q3" s="42"/>
      <c r="R3" s="42"/>
      <c r="S3" s="42"/>
      <c r="T3" s="42"/>
      <c r="U3" s="42"/>
      <c r="V3" s="42"/>
      <c r="W3" s="42"/>
      <c r="X3" s="42"/>
      <c r="Y3" s="42"/>
      <c r="Z3" s="65"/>
      <c r="AA3" s="65"/>
      <c r="AB3" s="4"/>
      <c r="AC3" s="4"/>
      <c r="AD3" s="4"/>
      <c r="AM3" s="4"/>
      <c r="AW3" s="4"/>
      <c r="AX3" s="4"/>
      <c r="AY3" s="4"/>
      <c r="AZ3" s="4"/>
      <c r="BA3" s="4"/>
      <c r="BB3" s="4"/>
      <c r="BC3" s="4"/>
      <c r="BD3" s="4"/>
      <c r="BE3" s="4"/>
      <c r="BF3" s="4"/>
    </row>
    <row r="4" spans="1:58" ht="13.5" thickBot="1" x14ac:dyDescent="0.35">
      <c r="A4" s="4"/>
      <c r="B4" s="718"/>
      <c r="C4" s="718"/>
      <c r="D4" s="718"/>
      <c r="E4" s="718"/>
      <c r="F4" s="718"/>
      <c r="G4" s="718"/>
      <c r="H4" s="718"/>
      <c r="I4" s="718"/>
      <c r="J4" s="718"/>
      <c r="K4" s="718"/>
      <c r="L4" s="718"/>
      <c r="M4" s="718"/>
      <c r="N4" s="718"/>
      <c r="O4" s="718"/>
      <c r="P4" s="1"/>
      <c r="Q4" s="42"/>
      <c r="R4" s="42"/>
      <c r="S4" s="42"/>
      <c r="T4" s="42"/>
      <c r="U4" s="42"/>
      <c r="V4" s="42"/>
      <c r="W4" s="42"/>
      <c r="X4" s="42"/>
      <c r="Y4" s="42"/>
      <c r="Z4" s="65"/>
      <c r="AA4" s="65"/>
      <c r="AB4" s="1"/>
      <c r="AC4" s="1"/>
      <c r="AD4" s="1"/>
      <c r="AW4" s="4"/>
      <c r="AX4" s="4"/>
      <c r="AY4" s="4"/>
      <c r="AZ4" s="4"/>
      <c r="BA4" s="4"/>
      <c r="BB4" s="4"/>
      <c r="BC4" s="4"/>
      <c r="BD4" s="4"/>
      <c r="BE4" s="4"/>
      <c r="BF4" s="4"/>
    </row>
    <row r="5" spans="1:58" ht="13" x14ac:dyDescent="0.3">
      <c r="B5" s="731" t="s">
        <v>19</v>
      </c>
      <c r="C5" s="421"/>
      <c r="D5" s="40" t="s">
        <v>20</v>
      </c>
      <c r="E5" s="40" t="s">
        <v>21</v>
      </c>
      <c r="F5" s="40" t="s">
        <v>22</v>
      </c>
      <c r="G5" s="40" t="s">
        <v>23</v>
      </c>
      <c r="H5" s="40" t="s">
        <v>24</v>
      </c>
      <c r="I5" s="40" t="s">
        <v>25</v>
      </c>
      <c r="J5" s="40" t="s">
        <v>26</v>
      </c>
      <c r="K5" s="40" t="s">
        <v>27</v>
      </c>
      <c r="L5" s="40" t="s">
        <v>28</v>
      </c>
      <c r="M5" s="40" t="s">
        <v>29</v>
      </c>
      <c r="N5" s="40" t="s">
        <v>30</v>
      </c>
      <c r="O5" s="86" t="s">
        <v>31</v>
      </c>
      <c r="P5" s="8"/>
      <c r="Q5" s="41"/>
      <c r="R5" s="41"/>
      <c r="S5" s="41"/>
      <c r="T5" s="56"/>
      <c r="U5" s="56"/>
      <c r="V5" s="56"/>
      <c r="W5" s="56"/>
      <c r="X5" s="56"/>
      <c r="Y5" s="56"/>
      <c r="AB5" s="56"/>
      <c r="AC5" s="56"/>
      <c r="AD5" s="56"/>
      <c r="AM5" s="4"/>
      <c r="AN5" s="4"/>
      <c r="AO5" s="4"/>
      <c r="AP5" s="1"/>
      <c r="AQ5" s="4"/>
      <c r="AR5" s="1"/>
      <c r="AS5" s="1"/>
      <c r="AT5" s="1"/>
      <c r="AW5" s="4"/>
      <c r="AX5" s="4"/>
      <c r="AY5" s="4"/>
      <c r="AZ5" s="4"/>
      <c r="BA5" s="4"/>
      <c r="BB5" s="4"/>
      <c r="BC5" s="4"/>
      <c r="BD5" s="4"/>
      <c r="BE5" s="4"/>
      <c r="BF5" s="4"/>
    </row>
    <row r="6" spans="1:58" ht="13" x14ac:dyDescent="0.3">
      <c r="B6" s="742" t="s">
        <v>233</v>
      </c>
      <c r="C6" s="743"/>
      <c r="D6" s="696" t="s">
        <v>50</v>
      </c>
      <c r="E6" s="697"/>
      <c r="F6" s="697"/>
      <c r="G6" s="696" t="s">
        <v>253</v>
      </c>
      <c r="H6" s="511" t="s">
        <v>37</v>
      </c>
      <c r="I6" s="511" t="s">
        <v>239</v>
      </c>
      <c r="J6" s="511" t="s">
        <v>240</v>
      </c>
      <c r="K6" s="511" t="s">
        <v>241</v>
      </c>
      <c r="L6" s="511" t="s">
        <v>242</v>
      </c>
      <c r="M6" s="511" t="s">
        <v>245</v>
      </c>
      <c r="N6" s="511" t="s">
        <v>246</v>
      </c>
      <c r="O6" s="617" t="s">
        <v>251</v>
      </c>
      <c r="Q6" s="65"/>
      <c r="R6" s="746" t="s">
        <v>902</v>
      </c>
      <c r="S6" s="746"/>
      <c r="T6" s="746"/>
      <c r="U6" s="746"/>
      <c r="V6" s="56"/>
      <c r="X6" s="4"/>
      <c r="AB6" s="4"/>
      <c r="AC6" s="4"/>
      <c r="AD6" s="4"/>
      <c r="AM6" s="4"/>
      <c r="AN6" s="4"/>
      <c r="AO6" s="1"/>
      <c r="AP6" s="1"/>
      <c r="AQ6" s="1"/>
      <c r="AR6" s="1"/>
      <c r="AS6" s="1"/>
      <c r="AT6" s="1"/>
      <c r="AW6" s="4"/>
      <c r="AX6" s="4"/>
      <c r="AY6" s="4"/>
      <c r="AZ6" s="4"/>
      <c r="BA6" s="4"/>
      <c r="BB6" s="4"/>
      <c r="BC6" s="4"/>
      <c r="BD6" s="4"/>
      <c r="BE6" s="4"/>
      <c r="BF6" s="4"/>
    </row>
    <row r="7" spans="1:58" ht="13" x14ac:dyDescent="0.3">
      <c r="B7" s="679"/>
      <c r="C7" s="678"/>
      <c r="D7" s="697"/>
      <c r="E7" s="697"/>
      <c r="F7" s="697"/>
      <c r="G7" s="696"/>
      <c r="H7" s="675"/>
      <c r="I7" s="511"/>
      <c r="J7" s="511"/>
      <c r="K7" s="511"/>
      <c r="L7" s="511"/>
      <c r="M7" s="511"/>
      <c r="N7" s="511"/>
      <c r="O7" s="617"/>
      <c r="Q7" s="25"/>
      <c r="R7" s="746"/>
      <c r="S7" s="746"/>
      <c r="T7" s="746"/>
      <c r="U7" s="746"/>
      <c r="V7" s="39"/>
      <c r="W7" s="39"/>
      <c r="X7" s="39"/>
      <c r="Y7" s="39"/>
      <c r="Z7" s="39"/>
      <c r="AA7" s="39"/>
      <c r="AB7" s="1"/>
      <c r="AC7" s="4"/>
      <c r="AD7" s="1"/>
      <c r="AM7" s="1"/>
      <c r="AN7" s="1"/>
      <c r="AO7" s="1"/>
      <c r="AP7" s="1"/>
      <c r="AQ7" s="82"/>
      <c r="AR7" s="82"/>
      <c r="AS7" s="82"/>
      <c r="AT7" s="82"/>
      <c r="AW7" s="22"/>
      <c r="AX7" s="26"/>
      <c r="AY7" s="26"/>
      <c r="AZ7" s="26"/>
      <c r="BA7" s="26"/>
      <c r="BB7" s="26"/>
      <c r="BC7" s="26"/>
      <c r="BD7" s="26"/>
      <c r="BE7" s="26"/>
      <c r="BF7" s="26"/>
    </row>
    <row r="8" spans="1:58" x14ac:dyDescent="0.25">
      <c r="B8" s="679"/>
      <c r="C8" s="678"/>
      <c r="D8" s="738" t="s">
        <v>235</v>
      </c>
      <c r="E8" s="738" t="s">
        <v>286</v>
      </c>
      <c r="F8" s="738" t="s">
        <v>236</v>
      </c>
      <c r="G8" s="696"/>
      <c r="H8" s="675"/>
      <c r="I8" s="738" t="s">
        <v>243</v>
      </c>
      <c r="J8" s="738" t="s">
        <v>244</v>
      </c>
      <c r="K8" s="694" t="s">
        <v>247</v>
      </c>
      <c r="L8" s="694" t="s">
        <v>248</v>
      </c>
      <c r="M8" s="694" t="s">
        <v>249</v>
      </c>
      <c r="N8" s="694" t="s">
        <v>250</v>
      </c>
      <c r="O8" s="692" t="s">
        <v>252</v>
      </c>
      <c r="P8" s="45"/>
      <c r="R8" s="746"/>
      <c r="S8" s="746"/>
      <c r="T8" s="746"/>
      <c r="U8" s="746"/>
      <c r="V8" s="36"/>
      <c r="W8" s="36"/>
      <c r="X8" s="36"/>
      <c r="Y8" s="36"/>
      <c r="Z8" s="36"/>
      <c r="AA8" s="36"/>
      <c r="AB8" s="1"/>
      <c r="AC8" s="1"/>
      <c r="AD8" s="1"/>
      <c r="AM8" s="1"/>
      <c r="AN8" s="1"/>
      <c r="AO8" s="1"/>
      <c r="AP8" s="1"/>
      <c r="AQ8" s="83"/>
      <c r="AR8" s="83"/>
      <c r="AS8" s="83"/>
      <c r="AT8" s="83"/>
      <c r="AW8" s="22"/>
      <c r="AX8" s="26"/>
      <c r="AY8" s="26"/>
      <c r="AZ8" s="26"/>
      <c r="BA8" s="26"/>
      <c r="BB8" s="26"/>
      <c r="BC8" s="26"/>
      <c r="BD8" s="26"/>
      <c r="BE8" s="26"/>
      <c r="BF8" s="26"/>
    </row>
    <row r="9" spans="1:58" ht="13.5" thickBot="1" x14ac:dyDescent="0.35">
      <c r="A9" s="4"/>
      <c r="B9" s="744"/>
      <c r="C9" s="745"/>
      <c r="D9" s="740"/>
      <c r="E9" s="740"/>
      <c r="F9" s="740"/>
      <c r="G9" s="741"/>
      <c r="H9" s="737"/>
      <c r="I9" s="739"/>
      <c r="J9" s="739"/>
      <c r="K9" s="737"/>
      <c r="L9" s="737"/>
      <c r="M9" s="737"/>
      <c r="N9" s="737"/>
      <c r="O9" s="693"/>
      <c r="P9" s="8"/>
      <c r="Q9" s="66"/>
      <c r="R9" s="746"/>
      <c r="S9" s="746"/>
      <c r="T9" s="746"/>
      <c r="U9" s="746"/>
      <c r="V9" s="68"/>
      <c r="W9" s="33"/>
      <c r="X9" s="33"/>
      <c r="Y9" s="33"/>
      <c r="Z9" s="33"/>
      <c r="AA9" s="33"/>
      <c r="AM9" s="25"/>
      <c r="AN9" s="1"/>
      <c r="AO9" s="49"/>
      <c r="AP9" s="1"/>
      <c r="AQ9" s="81"/>
      <c r="AR9" s="81"/>
      <c r="AS9" s="84"/>
      <c r="AT9" s="84"/>
      <c r="AW9" s="22"/>
      <c r="AX9" s="26"/>
      <c r="AY9" s="26"/>
      <c r="AZ9" s="26"/>
      <c r="BA9" s="26"/>
      <c r="BB9" s="26"/>
      <c r="BC9" s="26"/>
      <c r="BD9" s="26"/>
      <c r="BE9" s="26"/>
      <c r="BF9" s="26"/>
    </row>
    <row r="10" spans="1:58" ht="13" x14ac:dyDescent="0.3">
      <c r="A10" s="22"/>
      <c r="B10" s="703" t="s">
        <v>237</v>
      </c>
      <c r="C10" s="703"/>
      <c r="D10" s="703"/>
      <c r="E10" s="703"/>
      <c r="F10" s="703"/>
      <c r="G10" s="703"/>
      <c r="H10" s="703"/>
      <c r="I10" s="703"/>
      <c r="J10" s="703"/>
      <c r="K10" s="703"/>
      <c r="L10" s="703"/>
      <c r="M10" s="703"/>
      <c r="N10" s="703"/>
      <c r="O10" s="703"/>
      <c r="P10" s="7"/>
      <c r="Q10" s="66"/>
      <c r="R10" s="746"/>
      <c r="S10" s="746"/>
      <c r="T10" s="746"/>
      <c r="U10" s="746"/>
      <c r="V10" s="33"/>
      <c r="W10" s="33"/>
      <c r="X10" s="33"/>
      <c r="Y10" s="33"/>
      <c r="Z10" s="33"/>
      <c r="AA10" s="33"/>
      <c r="AB10" s="10"/>
      <c r="AC10" s="10"/>
      <c r="AD10" s="10"/>
      <c r="AM10" s="1"/>
      <c r="AN10" s="1"/>
      <c r="AO10" s="1"/>
      <c r="AP10" s="1"/>
      <c r="AQ10" s="81"/>
      <c r="AR10" s="81"/>
      <c r="AS10" s="81"/>
      <c r="AT10" s="81"/>
      <c r="AW10" s="22"/>
      <c r="AX10" s="26"/>
      <c r="AY10" s="26"/>
      <c r="AZ10" s="26"/>
      <c r="BA10" s="26"/>
      <c r="BB10" s="26"/>
      <c r="BC10" s="26"/>
      <c r="BD10" s="26"/>
      <c r="BE10" s="26"/>
      <c r="BF10" s="26"/>
    </row>
    <row r="11" spans="1:58" x14ac:dyDescent="0.25">
      <c r="A11" s="22"/>
      <c r="B11" s="503" t="s">
        <v>365</v>
      </c>
      <c r="C11" s="502"/>
      <c r="D11" s="3" t="str">
        <f ca="1">IFERROR(INDIRECT(B11 &amp; "!" &amp; "$D$68"),0)</f>
        <v>From Ped&amp;Bike (Segment Results) Worksheet</v>
      </c>
      <c r="E11" s="3">
        <f ca="1">IFERROR(INDIRECT(B11 &amp; "!" &amp; "$D$69"),0)</f>
        <v>0</v>
      </c>
      <c r="F11" s="3">
        <f ca="1">IFERROR(INDIRECT(B11 &amp; "!" &amp; "$D$71"),0)</f>
        <v>6.7883575499999996E-3</v>
      </c>
      <c r="G11" s="88" t="s">
        <v>17</v>
      </c>
      <c r="H11" s="3">
        <f ca="1">IFERROR(INDIRECT(B11 &amp; "!" &amp; "$H$37"),0)</f>
        <v>0.21246032795994022</v>
      </c>
      <c r="I11" s="90" t="e">
        <f ca="1">+H11*D11*D11</f>
        <v>#VALUE!</v>
      </c>
      <c r="J11" s="90" t="e">
        <f ca="1">SQRT(H11*D11)</f>
        <v>#VALUE!</v>
      </c>
      <c r="K11" s="88" t="s">
        <v>17</v>
      </c>
      <c r="L11" s="88" t="s">
        <v>17</v>
      </c>
      <c r="M11" s="88" t="s">
        <v>17</v>
      </c>
      <c r="N11" s="88" t="s">
        <v>17</v>
      </c>
      <c r="O11" s="88" t="s">
        <v>17</v>
      </c>
      <c r="P11" s="7"/>
      <c r="Q11" s="66"/>
      <c r="R11" s="746"/>
      <c r="S11" s="746"/>
      <c r="T11" s="746"/>
      <c r="U11" s="746"/>
      <c r="V11" s="33"/>
      <c r="W11" s="33"/>
      <c r="X11" s="33"/>
      <c r="Y11" s="33"/>
      <c r="Z11" s="33"/>
      <c r="AA11" s="33"/>
      <c r="AB11" s="10"/>
      <c r="AC11" s="10"/>
      <c r="AD11" s="10"/>
      <c r="AM11" s="50"/>
      <c r="AN11" s="35"/>
      <c r="AO11" s="49"/>
      <c r="AP11" s="1"/>
      <c r="AQ11" s="81"/>
      <c r="AR11" s="81"/>
      <c r="AS11" s="84"/>
      <c r="AT11" s="84"/>
      <c r="AW11" s="77"/>
    </row>
    <row r="12" spans="1:58" x14ac:dyDescent="0.25">
      <c r="A12" s="22"/>
      <c r="B12" s="503" t="s">
        <v>387</v>
      </c>
      <c r="C12" s="502"/>
      <c r="D12" s="3">
        <f t="shared" ref="D12:D18" ca="1" si="0">IFERROR(INDIRECT(B12 &amp; "!" &amp; "$D$68"),0)</f>
        <v>0</v>
      </c>
      <c r="E12" s="3">
        <f t="shared" ref="E12:E18" ca="1" si="1">IFERROR(INDIRECT(B12 &amp; "!" &amp; "$D$69"),0)</f>
        <v>0</v>
      </c>
      <c r="F12" s="3">
        <f t="shared" ref="F12:F18" ca="1" si="2">IFERROR(INDIRECT(B12 &amp; "!" &amp; "$D$71"),0)</f>
        <v>0</v>
      </c>
      <c r="G12" s="88" t="s">
        <v>17</v>
      </c>
      <c r="H12" s="3">
        <f t="shared" ref="H12:H18" ca="1" si="3">IFERROR(INDIRECT(B12 &amp; "!" &amp; "$H$37"),0)</f>
        <v>0</v>
      </c>
      <c r="I12" s="90">
        <f t="shared" ref="I12:I18" ca="1" si="4">+H12*D12*D12</f>
        <v>0</v>
      </c>
      <c r="J12" s="90">
        <f t="shared" ref="J12:J18" ca="1" si="5">SQRT(H12*D12)</f>
        <v>0</v>
      </c>
      <c r="K12" s="88" t="s">
        <v>17</v>
      </c>
      <c r="L12" s="88" t="s">
        <v>17</v>
      </c>
      <c r="M12" s="88" t="s">
        <v>17</v>
      </c>
      <c r="N12" s="88" t="s">
        <v>17</v>
      </c>
      <c r="O12" s="88" t="s">
        <v>17</v>
      </c>
      <c r="P12" s="7"/>
      <c r="Q12" s="66"/>
      <c r="R12" s="746"/>
      <c r="S12" s="746"/>
      <c r="T12" s="746"/>
      <c r="U12" s="746"/>
      <c r="V12" s="33"/>
      <c r="W12" s="33"/>
      <c r="X12" s="33"/>
      <c r="Y12" s="33"/>
      <c r="Z12" s="33"/>
      <c r="AA12" s="33"/>
      <c r="AB12" s="10"/>
      <c r="AC12" s="10"/>
      <c r="AD12" s="10"/>
      <c r="AM12" s="35"/>
      <c r="AN12" s="35"/>
      <c r="AO12" s="1"/>
      <c r="AP12" s="1"/>
      <c r="AQ12" s="81"/>
      <c r="AR12" s="81"/>
      <c r="AS12" s="81"/>
      <c r="AT12" s="81"/>
    </row>
    <row r="13" spans="1:58" x14ac:dyDescent="0.25">
      <c r="A13" s="22"/>
      <c r="B13" s="503" t="s">
        <v>388</v>
      </c>
      <c r="C13" s="502"/>
      <c r="D13" s="3">
        <f t="shared" ca="1" si="0"/>
        <v>0</v>
      </c>
      <c r="E13" s="3">
        <f t="shared" ca="1" si="1"/>
        <v>0</v>
      </c>
      <c r="F13" s="3">
        <f t="shared" ca="1" si="2"/>
        <v>0</v>
      </c>
      <c r="G13" s="88" t="s">
        <v>17</v>
      </c>
      <c r="H13" s="3">
        <f t="shared" ca="1" si="3"/>
        <v>0</v>
      </c>
      <c r="I13" s="90">
        <f t="shared" ca="1" si="4"/>
        <v>0</v>
      </c>
      <c r="J13" s="90">
        <f t="shared" ca="1" si="5"/>
        <v>0</v>
      </c>
      <c r="K13" s="88" t="s">
        <v>17</v>
      </c>
      <c r="L13" s="88" t="s">
        <v>17</v>
      </c>
      <c r="M13" s="88" t="s">
        <v>17</v>
      </c>
      <c r="N13" s="88" t="s">
        <v>17</v>
      </c>
      <c r="O13" s="88" t="s">
        <v>17</v>
      </c>
      <c r="P13" s="7"/>
      <c r="Q13" s="66"/>
      <c r="R13" s="746"/>
      <c r="S13" s="746"/>
      <c r="T13" s="746"/>
      <c r="U13" s="746"/>
      <c r="V13" s="33"/>
      <c r="W13" s="33"/>
      <c r="X13" s="33"/>
      <c r="Y13" s="33"/>
      <c r="Z13" s="33"/>
      <c r="AA13" s="33"/>
      <c r="AB13" s="10"/>
      <c r="AC13" s="10"/>
      <c r="AD13" s="10"/>
      <c r="AM13" s="35"/>
      <c r="AN13" s="35"/>
      <c r="AO13" s="49"/>
      <c r="AP13" s="26"/>
      <c r="AQ13" s="26"/>
      <c r="AR13" s="26"/>
      <c r="AS13" s="26"/>
      <c r="AT13" s="26"/>
    </row>
    <row r="14" spans="1:58" x14ac:dyDescent="0.25">
      <c r="A14" s="22"/>
      <c r="B14" s="503" t="s">
        <v>389</v>
      </c>
      <c r="C14" s="502"/>
      <c r="D14" s="3">
        <f t="shared" ca="1" si="0"/>
        <v>0</v>
      </c>
      <c r="E14" s="3">
        <f t="shared" ca="1" si="1"/>
        <v>0</v>
      </c>
      <c r="F14" s="3">
        <f t="shared" ca="1" si="2"/>
        <v>0</v>
      </c>
      <c r="G14" s="88" t="s">
        <v>17</v>
      </c>
      <c r="H14" s="3">
        <f t="shared" ca="1" si="3"/>
        <v>0</v>
      </c>
      <c r="I14" s="90">
        <f t="shared" ca="1" si="4"/>
        <v>0</v>
      </c>
      <c r="J14" s="90">
        <f t="shared" ca="1" si="5"/>
        <v>0</v>
      </c>
      <c r="K14" s="88" t="s">
        <v>17</v>
      </c>
      <c r="L14" s="88" t="s">
        <v>17</v>
      </c>
      <c r="M14" s="88" t="s">
        <v>17</v>
      </c>
      <c r="N14" s="88" t="s">
        <v>17</v>
      </c>
      <c r="O14" s="88" t="s">
        <v>17</v>
      </c>
      <c r="P14" s="7"/>
      <c r="Q14" s="66"/>
      <c r="R14" s="746"/>
      <c r="S14" s="746"/>
      <c r="T14" s="746"/>
      <c r="U14" s="746"/>
      <c r="V14" s="33"/>
      <c r="W14" s="33"/>
      <c r="X14" s="33"/>
      <c r="Y14" s="33"/>
      <c r="Z14" s="33"/>
      <c r="AA14" s="33"/>
      <c r="AB14" s="10"/>
      <c r="AC14" s="10"/>
      <c r="AD14" s="10"/>
      <c r="AM14" s="75"/>
      <c r="AN14" s="75"/>
      <c r="AO14" s="17"/>
      <c r="AP14" s="17"/>
      <c r="AQ14" s="17"/>
      <c r="AR14" s="17"/>
      <c r="AS14" s="17"/>
      <c r="AT14" s="17"/>
    </row>
    <row r="15" spans="1:58" x14ac:dyDescent="0.25">
      <c r="A15" s="22"/>
      <c r="B15" s="503" t="s">
        <v>390</v>
      </c>
      <c r="C15" s="502"/>
      <c r="D15" s="3">
        <f t="shared" ca="1" si="0"/>
        <v>0</v>
      </c>
      <c r="E15" s="3">
        <f t="shared" ca="1" si="1"/>
        <v>0</v>
      </c>
      <c r="F15" s="3">
        <f t="shared" ca="1" si="2"/>
        <v>0</v>
      </c>
      <c r="G15" s="88" t="s">
        <v>17</v>
      </c>
      <c r="H15" s="3">
        <f t="shared" ca="1" si="3"/>
        <v>0</v>
      </c>
      <c r="I15" s="90">
        <f t="shared" ca="1" si="4"/>
        <v>0</v>
      </c>
      <c r="J15" s="90">
        <f t="shared" ca="1" si="5"/>
        <v>0</v>
      </c>
      <c r="K15" s="88" t="s">
        <v>17</v>
      </c>
      <c r="L15" s="88" t="s">
        <v>17</v>
      </c>
      <c r="M15" s="88" t="s">
        <v>17</v>
      </c>
      <c r="N15" s="88" t="s">
        <v>17</v>
      </c>
      <c r="O15" s="88" t="s">
        <v>17</v>
      </c>
      <c r="P15" s="7"/>
      <c r="Q15" s="22"/>
      <c r="T15" s="33"/>
      <c r="U15" s="33"/>
      <c r="V15" s="33"/>
      <c r="W15" s="33"/>
      <c r="X15" s="33"/>
      <c r="Y15" s="33"/>
      <c r="Z15" s="33"/>
      <c r="AA15" s="33"/>
      <c r="AB15" s="10"/>
      <c r="AC15" s="10"/>
      <c r="AD15" s="10"/>
      <c r="AM15" s="17"/>
      <c r="AN15" s="17"/>
      <c r="AO15" s="17"/>
      <c r="AP15" s="17"/>
      <c r="AQ15" s="17"/>
      <c r="AR15" s="17"/>
      <c r="AS15" s="17"/>
      <c r="AT15" s="17"/>
      <c r="AW15" s="22"/>
      <c r="BA15" s="26"/>
    </row>
    <row r="16" spans="1:58" x14ac:dyDescent="0.25">
      <c r="A16" s="22"/>
      <c r="B16" s="503" t="s">
        <v>391</v>
      </c>
      <c r="C16" s="502"/>
      <c r="D16" s="3">
        <f t="shared" ca="1" si="0"/>
        <v>0</v>
      </c>
      <c r="E16" s="3">
        <f t="shared" ca="1" si="1"/>
        <v>0</v>
      </c>
      <c r="F16" s="3">
        <f t="shared" ca="1" si="2"/>
        <v>0</v>
      </c>
      <c r="G16" s="88" t="s">
        <v>17</v>
      </c>
      <c r="H16" s="3">
        <f t="shared" ca="1" si="3"/>
        <v>0</v>
      </c>
      <c r="I16" s="90">
        <f t="shared" ca="1" si="4"/>
        <v>0</v>
      </c>
      <c r="J16" s="90">
        <f t="shared" ca="1" si="5"/>
        <v>0</v>
      </c>
      <c r="K16" s="88" t="s">
        <v>17</v>
      </c>
      <c r="L16" s="88" t="s">
        <v>17</v>
      </c>
      <c r="M16" s="88" t="s">
        <v>17</v>
      </c>
      <c r="N16" s="88" t="s">
        <v>17</v>
      </c>
      <c r="O16" s="88" t="s">
        <v>17</v>
      </c>
      <c r="P16" s="7"/>
      <c r="Q16" s="69"/>
      <c r="R16" s="43"/>
      <c r="S16" s="43"/>
      <c r="T16" s="43"/>
      <c r="U16" s="43"/>
      <c r="V16" s="43"/>
      <c r="W16" s="43"/>
      <c r="X16" s="43"/>
      <c r="Y16" s="43"/>
      <c r="Z16" s="43"/>
      <c r="AA16" s="43"/>
      <c r="AB16" s="10"/>
      <c r="AC16" s="10"/>
      <c r="AD16" s="10"/>
      <c r="AM16" s="17"/>
      <c r="AN16" s="75"/>
      <c r="AO16" s="17"/>
      <c r="AP16" s="17"/>
      <c r="AQ16" s="17"/>
      <c r="AR16" s="17"/>
      <c r="AS16" s="17"/>
      <c r="AT16" s="17"/>
    </row>
    <row r="17" spans="1:58" ht="13" x14ac:dyDescent="0.3">
      <c r="A17" s="22"/>
      <c r="B17" s="503" t="s">
        <v>392</v>
      </c>
      <c r="C17" s="502"/>
      <c r="D17" s="3">
        <f t="shared" ca="1" si="0"/>
        <v>0</v>
      </c>
      <c r="E17" s="3">
        <f t="shared" ca="1" si="1"/>
        <v>0</v>
      </c>
      <c r="F17" s="3">
        <f t="shared" ca="1" si="2"/>
        <v>0</v>
      </c>
      <c r="G17" s="88" t="s">
        <v>17</v>
      </c>
      <c r="H17" s="3">
        <f t="shared" ca="1" si="3"/>
        <v>0</v>
      </c>
      <c r="I17" s="90">
        <f t="shared" ca="1" si="4"/>
        <v>0</v>
      </c>
      <c r="J17" s="90">
        <f t="shared" ca="1" si="5"/>
        <v>0</v>
      </c>
      <c r="K17" s="88" t="s">
        <v>17</v>
      </c>
      <c r="L17" s="88" t="s">
        <v>17</v>
      </c>
      <c r="M17" s="88" t="s">
        <v>17</v>
      </c>
      <c r="N17" s="88" t="s">
        <v>17</v>
      </c>
      <c r="O17" s="88" t="s">
        <v>17</v>
      </c>
      <c r="P17" s="58"/>
      <c r="Q17" s="1"/>
      <c r="R17" s="1"/>
      <c r="S17" s="1"/>
      <c r="T17" s="1"/>
      <c r="U17" s="1"/>
      <c r="V17" s="1"/>
      <c r="W17" s="1"/>
      <c r="X17" s="1"/>
      <c r="Y17" s="1"/>
      <c r="Z17" s="1"/>
      <c r="AA17" s="1"/>
      <c r="AB17" s="10"/>
      <c r="AC17" s="10"/>
      <c r="AD17" s="10"/>
      <c r="AM17" s="17"/>
      <c r="AN17" s="17"/>
      <c r="AO17" s="17"/>
      <c r="AP17" s="17"/>
      <c r="AQ17" s="17"/>
      <c r="AR17" s="17"/>
      <c r="AS17" s="17"/>
      <c r="AT17" s="17"/>
      <c r="AW17" s="22"/>
      <c r="BA17" s="26"/>
    </row>
    <row r="18" spans="1:58" ht="13.5" thickBot="1" x14ac:dyDescent="0.3">
      <c r="B18" s="503" t="s">
        <v>393</v>
      </c>
      <c r="C18" s="502"/>
      <c r="D18" s="3">
        <f t="shared" ca="1" si="0"/>
        <v>0</v>
      </c>
      <c r="E18" s="3">
        <f t="shared" ca="1" si="1"/>
        <v>0</v>
      </c>
      <c r="F18" s="3">
        <f t="shared" ca="1" si="2"/>
        <v>0</v>
      </c>
      <c r="G18" s="136" t="s">
        <v>17</v>
      </c>
      <c r="H18" s="3">
        <f t="shared" ca="1" si="3"/>
        <v>0</v>
      </c>
      <c r="I18" s="90">
        <f t="shared" ca="1" si="4"/>
        <v>0</v>
      </c>
      <c r="J18" s="90">
        <f t="shared" ca="1" si="5"/>
        <v>0</v>
      </c>
      <c r="K18" s="136" t="s">
        <v>17</v>
      </c>
      <c r="L18" s="136" t="s">
        <v>17</v>
      </c>
      <c r="M18" s="136" t="s">
        <v>17</v>
      </c>
      <c r="N18" s="136" t="s">
        <v>17</v>
      </c>
      <c r="O18" s="136" t="s">
        <v>17</v>
      </c>
      <c r="P18" s="57"/>
      <c r="Q18" s="42"/>
      <c r="R18" s="42"/>
      <c r="S18" s="42"/>
      <c r="T18" s="42"/>
      <c r="U18" s="42"/>
      <c r="V18" s="42"/>
      <c r="W18" s="42"/>
      <c r="X18" s="42"/>
      <c r="Y18" s="42"/>
      <c r="Z18" s="65"/>
      <c r="AA18" s="65"/>
      <c r="AB18" s="10"/>
      <c r="AC18" s="10"/>
      <c r="AD18" s="10"/>
    </row>
    <row r="19" spans="1:58" ht="13.5" thickBot="1" x14ac:dyDescent="0.3">
      <c r="B19" s="685" t="s">
        <v>345</v>
      </c>
      <c r="C19" s="686"/>
      <c r="D19" s="133">
        <f ca="1">SUM(D11:D18)</f>
        <v>0</v>
      </c>
      <c r="E19" s="133">
        <f ca="1">SUM(E11:E18)</f>
        <v>0</v>
      </c>
      <c r="F19" s="133">
        <f ca="1">SUM(F11:F18)</f>
        <v>6.7883575499999996E-3</v>
      </c>
      <c r="G19" s="137"/>
      <c r="H19" s="133"/>
      <c r="I19" s="138"/>
      <c r="J19" s="139"/>
      <c r="K19" s="137"/>
      <c r="L19" s="137"/>
      <c r="M19" s="137"/>
      <c r="N19" s="137"/>
      <c r="O19" s="140"/>
      <c r="P19" s="57"/>
      <c r="Q19" s="42"/>
      <c r="R19" s="42"/>
      <c r="S19" s="42"/>
      <c r="T19" s="42"/>
      <c r="U19" s="42"/>
      <c r="V19" s="42"/>
      <c r="W19" s="42"/>
      <c r="X19" s="42"/>
      <c r="Y19" s="42"/>
      <c r="Z19" s="65"/>
      <c r="AA19" s="65"/>
      <c r="AB19" s="10"/>
      <c r="AC19" s="10"/>
      <c r="AD19" s="10"/>
    </row>
    <row r="20" spans="1:58" ht="13" x14ac:dyDescent="0.3">
      <c r="A20" s="22"/>
      <c r="B20" s="703" t="s">
        <v>237</v>
      </c>
      <c r="C20" s="703"/>
      <c r="D20" s="703"/>
      <c r="E20" s="703"/>
      <c r="F20" s="703"/>
      <c r="G20" s="703"/>
      <c r="H20" s="703"/>
      <c r="I20" s="703"/>
      <c r="J20" s="703"/>
      <c r="K20" s="703"/>
      <c r="L20" s="703"/>
      <c r="M20" s="703"/>
      <c r="N20" s="703"/>
      <c r="O20" s="703"/>
      <c r="P20" s="7"/>
      <c r="Q20" s="66"/>
      <c r="R20" s="67"/>
      <c r="S20" s="67"/>
      <c r="T20" s="33"/>
      <c r="U20" s="33"/>
      <c r="V20" s="33"/>
      <c r="W20" s="33"/>
      <c r="X20" s="33"/>
      <c r="Y20" s="33"/>
      <c r="Z20" s="33"/>
      <c r="AA20" s="33"/>
      <c r="AB20" s="10"/>
      <c r="AC20" s="10"/>
      <c r="AD20" s="10"/>
      <c r="AM20" s="1"/>
      <c r="AN20" s="1"/>
      <c r="AO20" s="1"/>
      <c r="AP20" s="1"/>
      <c r="AQ20" s="81"/>
      <c r="AR20" s="81"/>
      <c r="AS20" s="81"/>
      <c r="AT20" s="81"/>
      <c r="AW20" s="22"/>
      <c r="AX20" s="26"/>
      <c r="AY20" s="26"/>
      <c r="AZ20" s="26"/>
      <c r="BA20" s="26"/>
      <c r="BB20" s="26"/>
      <c r="BC20" s="26"/>
      <c r="BD20" s="26"/>
      <c r="BE20" s="26"/>
      <c r="BF20" s="26"/>
    </row>
    <row r="21" spans="1:58" x14ac:dyDescent="0.25">
      <c r="A21" s="22"/>
      <c r="B21" s="503" t="s">
        <v>366</v>
      </c>
      <c r="C21" s="502"/>
      <c r="D21" s="3" t="str">
        <f ca="1">IFERROR(INDIRECT(B21 &amp; "!" &amp; "$D$68"),0)</f>
        <v>From Ped&amp;Bike (Segment Results) Worksheet</v>
      </c>
      <c r="E21" s="3">
        <f ca="1">IFERROR(INDIRECT(B21 &amp; "!" &amp; "$D$69"),0)</f>
        <v>0</v>
      </c>
      <c r="F21" s="3">
        <f ca="1">IFERROR(INDIRECT(B21 &amp; "!" &amp; "$D$71"),0)</f>
        <v>6.7883575499999996E-3</v>
      </c>
      <c r="G21" s="88" t="s">
        <v>17</v>
      </c>
      <c r="H21" s="3">
        <f ca="1">IFERROR(INDIRECT(B21 &amp; "!" &amp; "$H$37"),0)</f>
        <v>0.18730817948195702</v>
      </c>
      <c r="I21" s="90" t="e">
        <f ca="1">+H21*D21*D21</f>
        <v>#VALUE!</v>
      </c>
      <c r="J21" s="90" t="e">
        <f ca="1">SQRT(H21*D21)</f>
        <v>#VALUE!</v>
      </c>
      <c r="K21" s="88" t="s">
        <v>17</v>
      </c>
      <c r="L21" s="88" t="s">
        <v>17</v>
      </c>
      <c r="M21" s="88" t="s">
        <v>17</v>
      </c>
      <c r="N21" s="88" t="s">
        <v>17</v>
      </c>
      <c r="O21" s="88" t="s">
        <v>17</v>
      </c>
      <c r="P21" s="7"/>
      <c r="Q21" s="66"/>
      <c r="R21" s="67"/>
      <c r="S21" s="67"/>
      <c r="T21" s="33"/>
      <c r="U21" s="33"/>
      <c r="V21" s="33"/>
      <c r="W21" s="33"/>
      <c r="X21" s="33"/>
      <c r="Y21" s="33"/>
      <c r="Z21" s="33"/>
      <c r="AA21" s="33"/>
      <c r="AB21" s="10"/>
      <c r="AC21" s="10"/>
      <c r="AD21" s="10"/>
      <c r="AM21" s="50"/>
      <c r="AN21" s="35"/>
      <c r="AO21" s="49"/>
      <c r="AP21" s="1"/>
      <c r="AQ21" s="81"/>
      <c r="AR21" s="81"/>
      <c r="AS21" s="84"/>
      <c r="AT21" s="84"/>
      <c r="AW21" s="77"/>
    </row>
    <row r="22" spans="1:58" x14ac:dyDescent="0.25">
      <c r="A22" s="22"/>
      <c r="B22" s="503" t="s">
        <v>394</v>
      </c>
      <c r="C22" s="502"/>
      <c r="D22" s="3">
        <f t="shared" ref="D22:D28" ca="1" si="6">IFERROR(INDIRECT(B22 &amp; "!" &amp; "$D$68"),0)</f>
        <v>0</v>
      </c>
      <c r="E22" s="3">
        <f t="shared" ref="E22:E28" ca="1" si="7">IFERROR(INDIRECT(B22 &amp; "!" &amp; "$D$69"),0)</f>
        <v>0</v>
      </c>
      <c r="F22" s="3">
        <f t="shared" ref="F22:F28" ca="1" si="8">IFERROR(INDIRECT(B22 &amp; "!" &amp; "$D$71"),0)</f>
        <v>0</v>
      </c>
      <c r="G22" s="88" t="s">
        <v>17</v>
      </c>
      <c r="H22" s="3">
        <f t="shared" ref="H22:H28" ca="1" si="9">IFERROR(INDIRECT(B22 &amp; "!" &amp; "$H$37"),0)</f>
        <v>0</v>
      </c>
      <c r="I22" s="90">
        <f t="shared" ref="I22:I28" ca="1" si="10">+H22*D22*D22</f>
        <v>0</v>
      </c>
      <c r="J22" s="90">
        <f t="shared" ref="J22:J28" ca="1" si="11">SQRT(H22*D22)</f>
        <v>0</v>
      </c>
      <c r="K22" s="88" t="s">
        <v>17</v>
      </c>
      <c r="L22" s="88" t="s">
        <v>17</v>
      </c>
      <c r="M22" s="88" t="s">
        <v>17</v>
      </c>
      <c r="N22" s="88" t="s">
        <v>17</v>
      </c>
      <c r="O22" s="88" t="s">
        <v>17</v>
      </c>
      <c r="P22" s="7"/>
      <c r="Q22" s="66"/>
      <c r="R22" s="67"/>
      <c r="S22" s="67"/>
      <c r="T22" s="33"/>
      <c r="U22" s="33"/>
      <c r="V22" s="33"/>
      <c r="W22" s="33"/>
      <c r="X22" s="33"/>
      <c r="Y22" s="33"/>
      <c r="Z22" s="33"/>
      <c r="AA22" s="33"/>
      <c r="AB22" s="10"/>
      <c r="AC22" s="10"/>
      <c r="AD22" s="10"/>
      <c r="AM22" s="35"/>
      <c r="AN22" s="35"/>
      <c r="AO22" s="1"/>
      <c r="AP22" s="1"/>
      <c r="AQ22" s="81"/>
      <c r="AR22" s="81"/>
      <c r="AS22" s="81"/>
      <c r="AT22" s="81"/>
    </row>
    <row r="23" spans="1:58" x14ac:dyDescent="0.25">
      <c r="A23" s="22"/>
      <c r="B23" s="503" t="s">
        <v>395</v>
      </c>
      <c r="C23" s="502"/>
      <c r="D23" s="3">
        <f t="shared" ca="1" si="6"/>
        <v>0</v>
      </c>
      <c r="E23" s="3">
        <f t="shared" ca="1" si="7"/>
        <v>0</v>
      </c>
      <c r="F23" s="3">
        <f t="shared" ca="1" si="8"/>
        <v>0</v>
      </c>
      <c r="G23" s="88" t="s">
        <v>17</v>
      </c>
      <c r="H23" s="3">
        <f t="shared" ca="1" si="9"/>
        <v>0</v>
      </c>
      <c r="I23" s="90">
        <f t="shared" ca="1" si="10"/>
        <v>0</v>
      </c>
      <c r="J23" s="90">
        <f t="shared" ca="1" si="11"/>
        <v>0</v>
      </c>
      <c r="K23" s="88" t="s">
        <v>17</v>
      </c>
      <c r="L23" s="88" t="s">
        <v>17</v>
      </c>
      <c r="M23" s="88" t="s">
        <v>17</v>
      </c>
      <c r="N23" s="88" t="s">
        <v>17</v>
      </c>
      <c r="O23" s="88" t="s">
        <v>17</v>
      </c>
      <c r="P23" s="7"/>
      <c r="Q23" s="66"/>
      <c r="R23" s="67"/>
      <c r="S23" s="67"/>
      <c r="T23" s="33"/>
      <c r="U23" s="33"/>
      <c r="V23" s="33"/>
      <c r="W23" s="33"/>
      <c r="X23" s="33"/>
      <c r="Y23" s="33"/>
      <c r="Z23" s="33"/>
      <c r="AA23" s="33"/>
      <c r="AB23" s="10"/>
      <c r="AC23" s="10"/>
      <c r="AD23" s="10"/>
      <c r="AM23" s="35"/>
      <c r="AN23" s="35"/>
      <c r="AO23" s="49"/>
      <c r="AP23" s="26"/>
      <c r="AQ23" s="26"/>
      <c r="AR23" s="26"/>
      <c r="AS23" s="26"/>
      <c r="AT23" s="26"/>
    </row>
    <row r="24" spans="1:58" x14ac:dyDescent="0.25">
      <c r="A24" s="22"/>
      <c r="B24" s="503" t="s">
        <v>396</v>
      </c>
      <c r="C24" s="502"/>
      <c r="D24" s="3">
        <f t="shared" ca="1" si="6"/>
        <v>0</v>
      </c>
      <c r="E24" s="3">
        <f t="shared" ca="1" si="7"/>
        <v>0</v>
      </c>
      <c r="F24" s="3">
        <f t="shared" ca="1" si="8"/>
        <v>0</v>
      </c>
      <c r="G24" s="88" t="s">
        <v>17</v>
      </c>
      <c r="H24" s="3">
        <f t="shared" ca="1" si="9"/>
        <v>0</v>
      </c>
      <c r="I24" s="90">
        <f t="shared" ca="1" si="10"/>
        <v>0</v>
      </c>
      <c r="J24" s="90">
        <f t="shared" ca="1" si="11"/>
        <v>0</v>
      </c>
      <c r="K24" s="88" t="s">
        <v>17</v>
      </c>
      <c r="L24" s="88" t="s">
        <v>17</v>
      </c>
      <c r="M24" s="88" t="s">
        <v>17</v>
      </c>
      <c r="N24" s="88" t="s">
        <v>17</v>
      </c>
      <c r="O24" s="88" t="s">
        <v>17</v>
      </c>
      <c r="P24" s="7"/>
      <c r="Q24" s="66"/>
      <c r="R24" s="67"/>
      <c r="S24" s="67"/>
      <c r="T24" s="33"/>
      <c r="U24" s="33"/>
      <c r="V24" s="33"/>
      <c r="W24" s="33"/>
      <c r="X24" s="33"/>
      <c r="Y24" s="33"/>
      <c r="Z24" s="33"/>
      <c r="AA24" s="33"/>
      <c r="AB24" s="10"/>
      <c r="AC24" s="10"/>
      <c r="AD24" s="10"/>
      <c r="AM24" s="75"/>
      <c r="AN24" s="75"/>
      <c r="AO24" s="17"/>
      <c r="AP24" s="17"/>
      <c r="AQ24" s="17"/>
      <c r="AR24" s="17"/>
      <c r="AS24" s="17"/>
      <c r="AT24" s="17"/>
    </row>
    <row r="25" spans="1:58" x14ac:dyDescent="0.25">
      <c r="A25" s="22"/>
      <c r="B25" s="503" t="s">
        <v>397</v>
      </c>
      <c r="C25" s="502"/>
      <c r="D25" s="3">
        <f t="shared" ca="1" si="6"/>
        <v>0</v>
      </c>
      <c r="E25" s="3">
        <f t="shared" ca="1" si="7"/>
        <v>0</v>
      </c>
      <c r="F25" s="3">
        <f t="shared" ca="1" si="8"/>
        <v>0</v>
      </c>
      <c r="G25" s="88" t="s">
        <v>17</v>
      </c>
      <c r="H25" s="3">
        <f t="shared" ca="1" si="9"/>
        <v>0</v>
      </c>
      <c r="I25" s="90">
        <f t="shared" ca="1" si="10"/>
        <v>0</v>
      </c>
      <c r="J25" s="90">
        <f t="shared" ca="1" si="11"/>
        <v>0</v>
      </c>
      <c r="K25" s="88" t="s">
        <v>17</v>
      </c>
      <c r="L25" s="88" t="s">
        <v>17</v>
      </c>
      <c r="M25" s="88" t="s">
        <v>17</v>
      </c>
      <c r="N25" s="88" t="s">
        <v>17</v>
      </c>
      <c r="O25" s="88" t="s">
        <v>17</v>
      </c>
      <c r="P25" s="7"/>
      <c r="Q25" s="22"/>
      <c r="T25" s="33"/>
      <c r="U25" s="33"/>
      <c r="V25" s="33"/>
      <c r="W25" s="33"/>
      <c r="X25" s="33"/>
      <c r="Y25" s="33"/>
      <c r="Z25" s="33"/>
      <c r="AA25" s="33"/>
      <c r="AB25" s="10"/>
      <c r="AC25" s="10"/>
      <c r="AD25" s="10"/>
      <c r="AM25" s="17"/>
      <c r="AN25" s="17"/>
      <c r="AO25" s="17"/>
      <c r="AP25" s="17"/>
      <c r="AQ25" s="17"/>
      <c r="AR25" s="17"/>
      <c r="AS25" s="17"/>
      <c r="AT25" s="17"/>
      <c r="AW25" s="22"/>
      <c r="BA25" s="26"/>
    </row>
    <row r="26" spans="1:58" x14ac:dyDescent="0.25">
      <c r="A26" s="22"/>
      <c r="B26" s="503" t="s">
        <v>398</v>
      </c>
      <c r="C26" s="502"/>
      <c r="D26" s="3">
        <f t="shared" ca="1" si="6"/>
        <v>0</v>
      </c>
      <c r="E26" s="3">
        <f t="shared" ca="1" si="7"/>
        <v>0</v>
      </c>
      <c r="F26" s="3">
        <f t="shared" ca="1" si="8"/>
        <v>0</v>
      </c>
      <c r="G26" s="88" t="s">
        <v>17</v>
      </c>
      <c r="H26" s="3">
        <f t="shared" ca="1" si="9"/>
        <v>0</v>
      </c>
      <c r="I26" s="90">
        <f t="shared" ca="1" si="10"/>
        <v>0</v>
      </c>
      <c r="J26" s="90">
        <f t="shared" ca="1" si="11"/>
        <v>0</v>
      </c>
      <c r="K26" s="88" t="s">
        <v>17</v>
      </c>
      <c r="L26" s="88" t="s">
        <v>17</v>
      </c>
      <c r="M26" s="88" t="s">
        <v>17</v>
      </c>
      <c r="N26" s="88" t="s">
        <v>17</v>
      </c>
      <c r="O26" s="88" t="s">
        <v>17</v>
      </c>
      <c r="P26" s="7"/>
      <c r="Q26" s="69"/>
      <c r="R26" s="43"/>
      <c r="S26" s="43"/>
      <c r="T26" s="43"/>
      <c r="U26" s="43"/>
      <c r="V26" s="43"/>
      <c r="W26" s="43"/>
      <c r="X26" s="43"/>
      <c r="Y26" s="43"/>
      <c r="Z26" s="43"/>
      <c r="AA26" s="43"/>
      <c r="AB26" s="10"/>
      <c r="AC26" s="10"/>
      <c r="AD26" s="10"/>
      <c r="AM26" s="17"/>
      <c r="AN26" s="75"/>
      <c r="AO26" s="17"/>
      <c r="AP26" s="17"/>
      <c r="AQ26" s="17"/>
      <c r="AR26" s="17"/>
      <c r="AS26" s="17"/>
      <c r="AT26" s="17"/>
    </row>
    <row r="27" spans="1:58" ht="13" x14ac:dyDescent="0.3">
      <c r="A27" s="22"/>
      <c r="B27" s="503" t="s">
        <v>399</v>
      </c>
      <c r="C27" s="502"/>
      <c r="D27" s="3">
        <f ca="1">IFERROR(INDIRECT(B27 &amp; "!" &amp; "$D$68"),0)</f>
        <v>0</v>
      </c>
      <c r="E27" s="3">
        <f t="shared" ca="1" si="7"/>
        <v>0</v>
      </c>
      <c r="F27" s="3">
        <f t="shared" ca="1" si="8"/>
        <v>0</v>
      </c>
      <c r="G27" s="88" t="s">
        <v>17</v>
      </c>
      <c r="H27" s="3">
        <f t="shared" ca="1" si="9"/>
        <v>0</v>
      </c>
      <c r="I27" s="90">
        <f t="shared" ca="1" si="10"/>
        <v>0</v>
      </c>
      <c r="J27" s="90">
        <f t="shared" ca="1" si="11"/>
        <v>0</v>
      </c>
      <c r="K27" s="88" t="s">
        <v>17</v>
      </c>
      <c r="L27" s="88" t="s">
        <v>17</v>
      </c>
      <c r="M27" s="88" t="s">
        <v>17</v>
      </c>
      <c r="N27" s="88" t="s">
        <v>17</v>
      </c>
      <c r="O27" s="88" t="s">
        <v>17</v>
      </c>
      <c r="P27" s="58"/>
      <c r="Q27" s="1"/>
      <c r="R27" s="1"/>
      <c r="S27" s="1"/>
      <c r="T27" s="1"/>
      <c r="U27" s="1"/>
      <c r="V27" s="1"/>
      <c r="W27" s="1"/>
      <c r="X27" s="1"/>
      <c r="Y27" s="1"/>
      <c r="Z27" s="1"/>
      <c r="AA27" s="1"/>
      <c r="AB27" s="10"/>
      <c r="AC27" s="10"/>
      <c r="AD27" s="10"/>
      <c r="AM27" s="17"/>
      <c r="AN27" s="17"/>
      <c r="AO27" s="17"/>
      <c r="AP27" s="17"/>
      <c r="AQ27" s="17"/>
      <c r="AR27" s="17"/>
      <c r="AS27" s="17"/>
      <c r="AT27" s="17"/>
      <c r="AW27" s="22"/>
      <c r="BA27" s="26"/>
    </row>
    <row r="28" spans="1:58" ht="13.5" thickBot="1" x14ac:dyDescent="0.3">
      <c r="B28" s="503" t="s">
        <v>400</v>
      </c>
      <c r="C28" s="502"/>
      <c r="D28" s="3">
        <f t="shared" ca="1" si="6"/>
        <v>0</v>
      </c>
      <c r="E28" s="3">
        <f t="shared" ca="1" si="7"/>
        <v>0</v>
      </c>
      <c r="F28" s="3">
        <f t="shared" ca="1" si="8"/>
        <v>0</v>
      </c>
      <c r="G28" s="136" t="s">
        <v>17</v>
      </c>
      <c r="H28" s="3">
        <f t="shared" ca="1" si="9"/>
        <v>0</v>
      </c>
      <c r="I28" s="90">
        <f t="shared" ca="1" si="10"/>
        <v>0</v>
      </c>
      <c r="J28" s="90">
        <f t="shared" ca="1" si="11"/>
        <v>0</v>
      </c>
      <c r="K28" s="136" t="s">
        <v>17</v>
      </c>
      <c r="L28" s="136" t="s">
        <v>17</v>
      </c>
      <c r="M28" s="136" t="s">
        <v>17</v>
      </c>
      <c r="N28" s="136" t="s">
        <v>17</v>
      </c>
      <c r="O28" s="136" t="s">
        <v>17</v>
      </c>
      <c r="P28" s="57"/>
      <c r="Q28" s="42"/>
      <c r="R28" s="42"/>
      <c r="S28" s="42"/>
      <c r="T28" s="42"/>
      <c r="U28" s="42"/>
      <c r="V28" s="42"/>
      <c r="W28" s="42"/>
      <c r="X28" s="42"/>
      <c r="Y28" s="42"/>
      <c r="Z28" s="65"/>
      <c r="AA28" s="65"/>
      <c r="AB28" s="10"/>
      <c r="AC28" s="10"/>
      <c r="AD28" s="10"/>
    </row>
    <row r="29" spans="1:58" ht="13.5" thickBot="1" x14ac:dyDescent="0.3">
      <c r="B29" s="685" t="s">
        <v>345</v>
      </c>
      <c r="C29" s="686"/>
      <c r="D29" s="133">
        <f ca="1">SUM(D21:D28)</f>
        <v>0</v>
      </c>
      <c r="E29" s="133">
        <f ca="1">SUM(E21:E28)</f>
        <v>0</v>
      </c>
      <c r="F29" s="133">
        <f ca="1">SUM(F21:F28)</f>
        <v>6.7883575499999996E-3</v>
      </c>
      <c r="G29" s="137"/>
      <c r="H29" s="133"/>
      <c r="I29" s="138"/>
      <c r="J29" s="139"/>
      <c r="K29" s="137"/>
      <c r="L29" s="137"/>
      <c r="M29" s="137"/>
      <c r="N29" s="137"/>
      <c r="O29" s="140"/>
      <c r="P29" s="57"/>
      <c r="Q29" s="42"/>
      <c r="R29" s="42"/>
      <c r="S29" s="42"/>
      <c r="T29" s="42"/>
      <c r="U29" s="42"/>
      <c r="V29" s="42"/>
      <c r="W29" s="42"/>
      <c r="X29" s="42"/>
      <c r="Y29" s="42"/>
      <c r="Z29" s="65"/>
      <c r="AA29" s="65"/>
      <c r="AB29" s="10"/>
      <c r="AC29" s="10"/>
      <c r="AD29" s="10"/>
    </row>
    <row r="30" spans="1:58" ht="13" x14ac:dyDescent="0.3">
      <c r="B30" s="703" t="s">
        <v>238</v>
      </c>
      <c r="C30" s="703"/>
      <c r="D30" s="703"/>
      <c r="E30" s="703"/>
      <c r="F30" s="703"/>
      <c r="G30" s="703"/>
      <c r="H30" s="703"/>
      <c r="I30" s="703"/>
      <c r="J30" s="703"/>
      <c r="K30" s="703"/>
      <c r="L30" s="703"/>
      <c r="M30" s="703"/>
      <c r="N30" s="703"/>
      <c r="O30" s="703"/>
      <c r="P30" s="56"/>
      <c r="Q30" s="42"/>
      <c r="R30" s="42"/>
      <c r="S30" s="42"/>
      <c r="T30" s="42"/>
      <c r="U30" s="42"/>
      <c r="V30" s="42"/>
      <c r="W30" s="42"/>
      <c r="X30" s="42"/>
      <c r="Y30" s="42"/>
      <c r="Z30" s="65"/>
      <c r="AA30" s="65"/>
      <c r="AB30" s="1"/>
      <c r="AC30" s="1"/>
      <c r="AD30" s="1"/>
      <c r="AE30" s="1"/>
      <c r="AF30" s="1"/>
      <c r="AG30" s="1"/>
      <c r="AH30" s="1"/>
      <c r="AI30" s="1"/>
      <c r="AJ30" s="1"/>
      <c r="AM30" s="4"/>
      <c r="AN30" s="4"/>
      <c r="AO30" s="4"/>
      <c r="AP30" s="4"/>
      <c r="AQ30" s="4"/>
      <c r="AR30" s="1"/>
      <c r="AS30" s="1"/>
      <c r="AT30" s="1"/>
    </row>
    <row r="31" spans="1:58" ht="13" x14ac:dyDescent="0.3">
      <c r="A31" s="38"/>
      <c r="B31" s="503" t="s">
        <v>369</v>
      </c>
      <c r="C31" s="502"/>
      <c r="D31" s="3">
        <f ca="1">IFERROR(INDIRECT(B31 &amp; "!" &amp; "$G$65"),0)</f>
        <v>0</v>
      </c>
      <c r="E31" s="3">
        <f ca="1">IFERROR(INDIRECT(B31 &amp; "!" &amp; "$G$66"),0)</f>
        <v>0</v>
      </c>
      <c r="F31" s="91">
        <f ca="1">IFERROR(INDIRECT(B31 &amp; "!" &amp; "$G$68"),0)</f>
        <v>0</v>
      </c>
      <c r="G31" s="88" t="s">
        <v>17</v>
      </c>
      <c r="H31" s="91">
        <f ca="1">IFERROR(INDIRECT(B31 &amp; "!" &amp; "$H$34"),0)</f>
        <v>0.27700000000000002</v>
      </c>
      <c r="I31" s="3">
        <f ca="1">+H31*D31*D31</f>
        <v>0</v>
      </c>
      <c r="J31" s="3">
        <f ca="1">SQRT(H31*D31)</f>
        <v>0</v>
      </c>
      <c r="K31" s="88" t="s">
        <v>17</v>
      </c>
      <c r="L31" s="88" t="s">
        <v>17</v>
      </c>
      <c r="M31" s="88" t="s">
        <v>17</v>
      </c>
      <c r="N31" s="88" t="s">
        <v>17</v>
      </c>
      <c r="O31" s="88" t="s">
        <v>17</v>
      </c>
      <c r="P31" s="8"/>
      <c r="Q31" s="65"/>
      <c r="R31" s="65"/>
      <c r="S31" s="65"/>
      <c r="T31" s="4"/>
      <c r="U31" s="1"/>
      <c r="V31" s="4"/>
      <c r="X31" s="4"/>
      <c r="Y31" s="1"/>
      <c r="Z31" s="4"/>
      <c r="AB31" s="56"/>
      <c r="AC31" s="56"/>
      <c r="AD31" s="56"/>
      <c r="AE31" s="56"/>
      <c r="AF31" s="56"/>
      <c r="AG31" s="56"/>
      <c r="AH31" s="56"/>
      <c r="AI31" s="56"/>
      <c r="AJ31" s="56"/>
      <c r="AM31" s="4"/>
      <c r="AN31" s="4"/>
      <c r="AO31" s="4"/>
      <c r="AP31" s="1"/>
      <c r="AQ31" s="4"/>
      <c r="AR31" s="1"/>
      <c r="AS31" s="1"/>
      <c r="AT31" s="1"/>
    </row>
    <row r="32" spans="1:58" ht="13" x14ac:dyDescent="0.3">
      <c r="A32" s="89"/>
      <c r="B32" s="665" t="s">
        <v>380</v>
      </c>
      <c r="C32" s="502"/>
      <c r="D32" s="3">
        <f t="shared" ref="D32:D38" ca="1" si="12">IFERROR(INDIRECT(B32 &amp; "!" &amp; "$G$65"),0)</f>
        <v>0</v>
      </c>
      <c r="E32" s="3">
        <f t="shared" ref="E32:E38" ca="1" si="13">IFERROR(INDIRECT(B32 &amp; "!" &amp; "$G$66"),0)</f>
        <v>0</v>
      </c>
      <c r="F32" s="91">
        <f t="shared" ref="F32:F38" ca="1" si="14">IFERROR(INDIRECT(B32 &amp; "!" &amp; "$G$68"),0)</f>
        <v>0</v>
      </c>
      <c r="G32" s="88" t="s">
        <v>17</v>
      </c>
      <c r="H32" s="91">
        <f t="shared" ref="H32:H38" ca="1" si="15">IFERROR(INDIRECT(B32 &amp; "!" &amp; "$H$34"),0)</f>
        <v>0</v>
      </c>
      <c r="I32" s="3">
        <f t="shared" ref="I32:I38" ca="1" si="16">+H32*D32*D32</f>
        <v>0</v>
      </c>
      <c r="J32" s="3">
        <f t="shared" ref="J32:J38" ca="1" si="17">SQRT(H32*D32)</f>
        <v>0</v>
      </c>
      <c r="K32" s="88" t="s">
        <v>17</v>
      </c>
      <c r="L32" s="88" t="s">
        <v>17</v>
      </c>
      <c r="M32" s="88" t="s">
        <v>17</v>
      </c>
      <c r="N32" s="88" t="s">
        <v>17</v>
      </c>
      <c r="O32" s="88" t="s">
        <v>17</v>
      </c>
      <c r="Q32" s="25"/>
      <c r="R32" s="1"/>
      <c r="S32" s="1"/>
      <c r="T32" s="1"/>
      <c r="U32" s="1"/>
      <c r="X32" s="1"/>
      <c r="Y32" s="1"/>
      <c r="AB32" s="42"/>
      <c r="AC32" s="42"/>
      <c r="AD32" s="42"/>
      <c r="AE32" s="42"/>
      <c r="AF32" s="42"/>
      <c r="AG32" s="42"/>
      <c r="AH32" s="42"/>
      <c r="AI32" s="42"/>
      <c r="AJ32" s="42"/>
      <c r="AM32" s="4"/>
      <c r="AN32" s="4"/>
      <c r="AO32" s="1"/>
      <c r="AP32" s="1"/>
      <c r="AQ32" s="1"/>
      <c r="AR32" s="1"/>
      <c r="AS32" s="1"/>
      <c r="AT32" s="1"/>
    </row>
    <row r="33" spans="1:46" ht="13" x14ac:dyDescent="0.25">
      <c r="A33" s="65"/>
      <c r="B33" s="503" t="s">
        <v>381</v>
      </c>
      <c r="C33" s="502"/>
      <c r="D33" s="3">
        <f t="shared" ca="1" si="12"/>
        <v>0</v>
      </c>
      <c r="E33" s="3">
        <f t="shared" ca="1" si="13"/>
        <v>0</v>
      </c>
      <c r="F33" s="91">
        <f t="shared" ca="1" si="14"/>
        <v>0</v>
      </c>
      <c r="G33" s="88" t="s">
        <v>17</v>
      </c>
      <c r="H33" s="91">
        <f t="shared" ca="1" si="15"/>
        <v>0</v>
      </c>
      <c r="I33" s="3">
        <f t="shared" ca="1" si="16"/>
        <v>0</v>
      </c>
      <c r="J33" s="3">
        <f t="shared" ca="1" si="17"/>
        <v>0</v>
      </c>
      <c r="K33" s="88" t="s">
        <v>17</v>
      </c>
      <c r="L33" s="88" t="s">
        <v>17</v>
      </c>
      <c r="M33" s="88" t="s">
        <v>17</v>
      </c>
      <c r="N33" s="88" t="s">
        <v>17</v>
      </c>
      <c r="O33" s="88" t="s">
        <v>17</v>
      </c>
      <c r="Q33" s="65"/>
      <c r="AB33" s="42"/>
      <c r="AC33" s="42"/>
      <c r="AD33" s="42"/>
      <c r="AE33" s="42"/>
      <c r="AF33" s="42"/>
      <c r="AG33" s="42"/>
      <c r="AH33" s="42"/>
      <c r="AI33" s="42"/>
      <c r="AJ33" s="42"/>
      <c r="AM33" s="1"/>
      <c r="AN33" s="1"/>
      <c r="AO33" s="1"/>
      <c r="AP33" s="1"/>
      <c r="AQ33" s="82"/>
      <c r="AR33" s="82"/>
      <c r="AS33" s="82"/>
      <c r="AT33" s="82"/>
    </row>
    <row r="34" spans="1:46" ht="13" x14ac:dyDescent="0.25">
      <c r="A34" s="65"/>
      <c r="B34" s="665" t="s">
        <v>382</v>
      </c>
      <c r="C34" s="502"/>
      <c r="D34" s="3">
        <f t="shared" ca="1" si="12"/>
        <v>0</v>
      </c>
      <c r="E34" s="3">
        <f t="shared" ca="1" si="13"/>
        <v>0</v>
      </c>
      <c r="F34" s="91">
        <f t="shared" ca="1" si="14"/>
        <v>0</v>
      </c>
      <c r="G34" s="88" t="s">
        <v>17</v>
      </c>
      <c r="H34" s="91">
        <f t="shared" ca="1" si="15"/>
        <v>0</v>
      </c>
      <c r="I34" s="3">
        <f t="shared" ca="1" si="16"/>
        <v>0</v>
      </c>
      <c r="J34" s="3">
        <f t="shared" ca="1" si="17"/>
        <v>0</v>
      </c>
      <c r="K34" s="88" t="s">
        <v>17</v>
      </c>
      <c r="L34" s="88" t="s">
        <v>17</v>
      </c>
      <c r="M34" s="88" t="s">
        <v>17</v>
      </c>
      <c r="N34" s="88" t="s">
        <v>17</v>
      </c>
      <c r="O34" s="88" t="s">
        <v>17</v>
      </c>
      <c r="T34" s="39"/>
      <c r="U34" s="39"/>
      <c r="V34" s="39"/>
      <c r="W34" s="36"/>
      <c r="X34" s="39"/>
      <c r="Y34" s="39"/>
      <c r="Z34" s="39"/>
      <c r="AA34" s="36"/>
      <c r="AB34" s="60"/>
      <c r="AC34" s="60"/>
      <c r="AD34" s="60"/>
      <c r="AE34" s="60"/>
      <c r="AF34" s="60"/>
      <c r="AG34" s="60"/>
      <c r="AH34" s="60"/>
      <c r="AI34" s="60"/>
      <c r="AJ34" s="60"/>
      <c r="AM34" s="1"/>
      <c r="AN34" s="1"/>
      <c r="AO34" s="1"/>
      <c r="AP34" s="1"/>
      <c r="AQ34" s="83"/>
      <c r="AR34" s="83"/>
      <c r="AS34" s="83"/>
      <c r="AT34" s="83"/>
    </row>
    <row r="35" spans="1:46" ht="13" x14ac:dyDescent="0.25">
      <c r="A35" s="55"/>
      <c r="B35" s="503" t="s">
        <v>383</v>
      </c>
      <c r="C35" s="502"/>
      <c r="D35" s="3">
        <f t="shared" ca="1" si="12"/>
        <v>0</v>
      </c>
      <c r="E35" s="3">
        <f t="shared" ca="1" si="13"/>
        <v>0</v>
      </c>
      <c r="F35" s="91">
        <f t="shared" ca="1" si="14"/>
        <v>0</v>
      </c>
      <c r="G35" s="88" t="s">
        <v>17</v>
      </c>
      <c r="H35" s="91">
        <f t="shared" ca="1" si="15"/>
        <v>0</v>
      </c>
      <c r="I35" s="3">
        <f t="shared" ca="1" si="16"/>
        <v>0</v>
      </c>
      <c r="J35" s="3">
        <f t="shared" ca="1" si="17"/>
        <v>0</v>
      </c>
      <c r="K35" s="88" t="s">
        <v>17</v>
      </c>
      <c r="L35" s="88" t="s">
        <v>17</v>
      </c>
      <c r="M35" s="88" t="s">
        <v>17</v>
      </c>
      <c r="N35" s="88" t="s">
        <v>17</v>
      </c>
      <c r="O35" s="88" t="s">
        <v>17</v>
      </c>
      <c r="P35" s="45"/>
      <c r="T35" s="36"/>
      <c r="U35" s="36"/>
      <c r="V35" s="36"/>
      <c r="W35" s="36"/>
      <c r="X35" s="36"/>
      <c r="Y35" s="36"/>
      <c r="Z35" s="36"/>
      <c r="AA35" s="36"/>
      <c r="AB35" s="61"/>
      <c r="AC35" s="61"/>
      <c r="AD35" s="61"/>
      <c r="AE35" s="61"/>
      <c r="AF35" s="61"/>
      <c r="AG35" s="61"/>
      <c r="AH35" s="61"/>
      <c r="AI35" s="61"/>
      <c r="AJ35" s="61"/>
      <c r="AM35" s="25"/>
      <c r="AN35" s="1"/>
      <c r="AO35" s="49"/>
      <c r="AP35" s="1"/>
      <c r="AQ35" s="81"/>
      <c r="AR35" s="81"/>
      <c r="AS35" s="84"/>
      <c r="AT35" s="84"/>
    </row>
    <row r="36" spans="1:46" ht="13" x14ac:dyDescent="0.3">
      <c r="A36" s="55"/>
      <c r="B36" s="665" t="s">
        <v>384</v>
      </c>
      <c r="C36" s="502"/>
      <c r="D36" s="3">
        <f t="shared" ca="1" si="12"/>
        <v>0</v>
      </c>
      <c r="E36" s="3">
        <f t="shared" ca="1" si="13"/>
        <v>0</v>
      </c>
      <c r="F36" s="91">
        <f t="shared" ca="1" si="14"/>
        <v>0</v>
      </c>
      <c r="G36" s="88" t="s">
        <v>17</v>
      </c>
      <c r="H36" s="91">
        <f t="shared" ca="1" si="15"/>
        <v>0</v>
      </c>
      <c r="I36" s="3">
        <f t="shared" ca="1" si="16"/>
        <v>0</v>
      </c>
      <c r="J36" s="3">
        <f t="shared" ca="1" si="17"/>
        <v>0</v>
      </c>
      <c r="K36" s="88" t="s">
        <v>17</v>
      </c>
      <c r="L36" s="88" t="s">
        <v>17</v>
      </c>
      <c r="M36" s="88" t="s">
        <v>17</v>
      </c>
      <c r="N36" s="88" t="s">
        <v>17</v>
      </c>
      <c r="O36" s="88" t="s">
        <v>17</v>
      </c>
      <c r="P36" s="4"/>
      <c r="Q36" s="66"/>
      <c r="R36" s="1"/>
      <c r="S36" s="1"/>
      <c r="T36" s="68"/>
      <c r="U36" s="68"/>
      <c r="V36" s="68"/>
      <c r="W36" s="1"/>
      <c r="X36" s="33"/>
      <c r="Y36" s="33"/>
      <c r="Z36" s="33"/>
      <c r="AA36" s="33"/>
      <c r="AB36" s="4"/>
      <c r="AC36" s="1"/>
      <c r="AD36" s="1"/>
      <c r="AE36" s="1"/>
      <c r="AF36" s="1"/>
      <c r="AG36" s="1"/>
      <c r="AH36" s="1"/>
      <c r="AI36" s="1"/>
      <c r="AJ36" s="1"/>
      <c r="AM36" s="1"/>
      <c r="AN36" s="1"/>
      <c r="AO36" s="1"/>
      <c r="AP36" s="1"/>
      <c r="AQ36" s="81"/>
      <c r="AR36" s="81"/>
      <c r="AS36" s="81"/>
      <c r="AT36" s="81"/>
    </row>
    <row r="37" spans="1:46" ht="13" x14ac:dyDescent="0.3">
      <c r="A37" s="26"/>
      <c r="B37" s="503" t="s">
        <v>385</v>
      </c>
      <c r="C37" s="502"/>
      <c r="D37" s="3">
        <f t="shared" ca="1" si="12"/>
        <v>0</v>
      </c>
      <c r="E37" s="3">
        <f t="shared" ca="1" si="13"/>
        <v>0</v>
      </c>
      <c r="F37" s="91">
        <f t="shared" ca="1" si="14"/>
        <v>0</v>
      </c>
      <c r="G37" s="88" t="s">
        <v>17</v>
      </c>
      <c r="H37" s="91">
        <f t="shared" ca="1" si="15"/>
        <v>0</v>
      </c>
      <c r="I37" s="3">
        <f t="shared" ca="1" si="16"/>
        <v>0</v>
      </c>
      <c r="J37" s="3">
        <f t="shared" ca="1" si="17"/>
        <v>0</v>
      </c>
      <c r="K37" s="88" t="s">
        <v>17</v>
      </c>
      <c r="L37" s="88" t="s">
        <v>17</v>
      </c>
      <c r="M37" s="88" t="s">
        <v>17</v>
      </c>
      <c r="N37" s="88" t="s">
        <v>17</v>
      </c>
      <c r="O37" s="88" t="s">
        <v>17</v>
      </c>
      <c r="P37" s="4"/>
      <c r="Q37" s="66"/>
      <c r="R37" s="1"/>
      <c r="S37" s="1"/>
      <c r="T37" s="68"/>
      <c r="U37" s="68"/>
      <c r="V37" s="68"/>
      <c r="W37" s="1"/>
      <c r="X37" s="33"/>
      <c r="Y37" s="33"/>
      <c r="Z37" s="33"/>
      <c r="AA37" s="33"/>
      <c r="AB37" s="4"/>
      <c r="AC37" s="1"/>
      <c r="AD37" s="1"/>
      <c r="AE37" s="1"/>
      <c r="AF37" s="1"/>
      <c r="AG37" s="1"/>
      <c r="AH37" s="1"/>
      <c r="AI37" s="1"/>
      <c r="AJ37" s="1"/>
      <c r="AM37" s="1"/>
      <c r="AN37" s="1"/>
      <c r="AO37" s="1"/>
      <c r="AP37" s="1"/>
      <c r="AQ37" s="81"/>
      <c r="AR37" s="81"/>
      <c r="AS37" s="81"/>
      <c r="AT37" s="81"/>
    </row>
    <row r="38" spans="1:46" ht="13" thickBot="1" x14ac:dyDescent="0.3">
      <c r="A38" s="22"/>
      <c r="B38" s="665" t="s">
        <v>386</v>
      </c>
      <c r="C38" s="502"/>
      <c r="D38" s="3">
        <f t="shared" ca="1" si="12"/>
        <v>0</v>
      </c>
      <c r="E38" s="3">
        <f t="shared" ca="1" si="13"/>
        <v>0</v>
      </c>
      <c r="F38" s="91">
        <f t="shared" ca="1" si="14"/>
        <v>0</v>
      </c>
      <c r="G38" s="136" t="s">
        <v>17</v>
      </c>
      <c r="H38" s="91">
        <f t="shared" ca="1" si="15"/>
        <v>0</v>
      </c>
      <c r="I38" s="3">
        <f t="shared" ca="1" si="16"/>
        <v>0</v>
      </c>
      <c r="J38" s="3">
        <f t="shared" ca="1" si="17"/>
        <v>0</v>
      </c>
      <c r="K38" s="136" t="s">
        <v>17</v>
      </c>
      <c r="L38" s="136" t="s">
        <v>17</v>
      </c>
      <c r="M38" s="136" t="s">
        <v>17</v>
      </c>
      <c r="N38" s="136" t="s">
        <v>17</v>
      </c>
      <c r="O38" s="136" t="s">
        <v>17</v>
      </c>
      <c r="P38" s="57"/>
      <c r="Q38" s="66"/>
      <c r="R38" s="67"/>
      <c r="S38" s="67"/>
      <c r="V38" s="33"/>
      <c r="W38" s="33"/>
      <c r="X38" s="33"/>
      <c r="Y38" s="33"/>
      <c r="Z38" s="33"/>
      <c r="AA38" s="33"/>
      <c r="AB38" s="10"/>
      <c r="AC38" s="10"/>
      <c r="AD38" s="10"/>
      <c r="AE38" s="10"/>
      <c r="AF38" s="10"/>
      <c r="AG38" s="10"/>
      <c r="AH38" s="10"/>
      <c r="AI38" s="10"/>
      <c r="AJ38" s="10"/>
      <c r="AM38" s="50"/>
      <c r="AN38" s="35"/>
      <c r="AO38" s="49"/>
      <c r="AP38" s="1"/>
      <c r="AQ38" s="81"/>
      <c r="AR38" s="81"/>
      <c r="AS38" s="84"/>
      <c r="AT38" s="84"/>
    </row>
    <row r="39" spans="1:46" ht="13" thickBot="1" x14ac:dyDescent="0.3">
      <c r="A39" s="22"/>
      <c r="B39" s="671" t="s">
        <v>346</v>
      </c>
      <c r="C39" s="672"/>
      <c r="D39" s="130">
        <f ca="1">SUM(D31:D38)</f>
        <v>0</v>
      </c>
      <c r="E39" s="130">
        <f ca="1">SUM(E31:E38)</f>
        <v>0</v>
      </c>
      <c r="F39" s="130">
        <f ca="1">SUM(F31:F38)</f>
        <v>0</v>
      </c>
      <c r="G39" s="141"/>
      <c r="H39" s="142"/>
      <c r="I39" s="130"/>
      <c r="J39" s="130"/>
      <c r="K39" s="141"/>
      <c r="L39" s="141"/>
      <c r="M39" s="141"/>
      <c r="N39" s="141"/>
      <c r="O39" s="143"/>
      <c r="P39" s="57"/>
      <c r="Q39" s="66"/>
      <c r="R39" s="67"/>
      <c r="S39" s="67"/>
      <c r="V39" s="33"/>
      <c r="W39" s="33"/>
      <c r="X39" s="33"/>
      <c r="Y39" s="33"/>
      <c r="Z39" s="33"/>
      <c r="AA39" s="33"/>
      <c r="AB39" s="10"/>
      <c r="AC39" s="10"/>
      <c r="AD39" s="10"/>
      <c r="AE39" s="10"/>
      <c r="AF39" s="10"/>
      <c r="AG39" s="10"/>
      <c r="AH39" s="10"/>
      <c r="AI39" s="10"/>
      <c r="AJ39" s="10"/>
      <c r="AM39" s="50"/>
      <c r="AN39" s="35"/>
      <c r="AO39" s="49"/>
      <c r="AP39" s="1"/>
      <c r="AQ39" s="81"/>
      <c r="AR39" s="81"/>
      <c r="AS39" s="84"/>
      <c r="AT39" s="84"/>
    </row>
    <row r="40" spans="1:46" ht="14" thickTop="1" thickBot="1" x14ac:dyDescent="0.3">
      <c r="A40" s="34"/>
      <c r="B40" s="666" t="s">
        <v>234</v>
      </c>
      <c r="C40" s="667"/>
      <c r="D40" s="93">
        <f ca="1">SUM(D11:D18)+SUM(D21:D28)+SUM(D31:D38)</f>
        <v>0</v>
      </c>
      <c r="E40" s="93">
        <f ca="1">SUM(E11:E18)+SUM(E21:E28)+SUM(E31:E38)</f>
        <v>0</v>
      </c>
      <c r="F40" s="93">
        <f ca="1">SUM(F11:F18)+SUM(F21:F28)+SUM(F31:F38)</f>
        <v>1.3576715099999999E-2</v>
      </c>
      <c r="G40" s="109">
        <v>0</v>
      </c>
      <c r="H40" s="95" t="s">
        <v>17</v>
      </c>
      <c r="I40" s="93" t="e">
        <f ca="1">SUM(I11:I18)+SUM(I21:I28)+SUM(I31:I38)</f>
        <v>#VALUE!</v>
      </c>
      <c r="J40" s="93" t="e">
        <f ca="1">SUM(J11:J18)+SUM(J21:J28)+SUM(J31:J38)</f>
        <v>#VALUE!</v>
      </c>
      <c r="K40" s="79" t="e">
        <f ca="1">1/(1+I40/D40)</f>
        <v>#VALUE!</v>
      </c>
      <c r="L40" s="79" t="e">
        <f ca="1">K40*D40+((1-K40)*G40)</f>
        <v>#VALUE!</v>
      </c>
      <c r="M40" s="79" t="e">
        <f ca="1">1/(1+(J40/D40))</f>
        <v>#VALUE!</v>
      </c>
      <c r="N40" s="79" t="e">
        <f ca="1">+M40*D40+(1-M40)*G40</f>
        <v>#VALUE!</v>
      </c>
      <c r="O40" s="87" t="e">
        <f ca="1">(L40+N40)/2</f>
        <v>#VALUE!</v>
      </c>
      <c r="P40" s="57"/>
      <c r="S40" s="10"/>
      <c r="T40" s="10"/>
      <c r="U40" s="10"/>
      <c r="V40" s="10"/>
      <c r="W40" s="10"/>
      <c r="X40" s="10"/>
      <c r="Y40" s="10"/>
      <c r="Z40" s="10"/>
      <c r="AA40" s="10"/>
      <c r="AB40" s="10"/>
      <c r="AC40" s="10"/>
      <c r="AD40" s="10"/>
      <c r="AE40" s="10"/>
      <c r="AF40" s="10"/>
      <c r="AG40" s="10"/>
      <c r="AH40" s="10"/>
      <c r="AI40" s="10"/>
      <c r="AJ40" s="10"/>
      <c r="AM40" s="35"/>
      <c r="AN40" s="35"/>
      <c r="AO40" s="1"/>
      <c r="AP40" s="1"/>
      <c r="AQ40" s="81"/>
      <c r="AR40" s="81"/>
      <c r="AS40" s="81"/>
      <c r="AT40" s="81"/>
    </row>
    <row r="41" spans="1:46" x14ac:dyDescent="0.25">
      <c r="A41" s="31"/>
      <c r="B41" s="43"/>
      <c r="C41" s="38"/>
      <c r="D41" s="38"/>
      <c r="F41" s="31"/>
      <c r="H41" s="31"/>
      <c r="J41" s="31"/>
      <c r="K41" s="31"/>
      <c r="L41" s="31"/>
      <c r="P41" s="57"/>
      <c r="S41" s="10"/>
      <c r="T41" s="10"/>
      <c r="U41" s="10"/>
      <c r="V41" s="10"/>
      <c r="W41" s="10"/>
      <c r="X41" s="10"/>
      <c r="Y41" s="10"/>
      <c r="Z41" s="10"/>
      <c r="AA41" s="10"/>
      <c r="AB41" s="10"/>
      <c r="AC41" s="10"/>
      <c r="AD41" s="10"/>
      <c r="AE41" s="10"/>
      <c r="AF41" s="10"/>
      <c r="AG41" s="10"/>
      <c r="AH41" s="10"/>
      <c r="AI41" s="10"/>
      <c r="AJ41" s="10"/>
      <c r="AM41" s="35"/>
      <c r="AN41" s="35"/>
      <c r="AO41" s="49"/>
      <c r="AP41" s="26"/>
      <c r="AQ41" s="26"/>
      <c r="AR41" s="26"/>
      <c r="AS41" s="26"/>
      <c r="AT41" s="26"/>
    </row>
    <row r="42" spans="1:46" ht="13" x14ac:dyDescent="0.25">
      <c r="A42" s="42"/>
      <c r="B42" s="43"/>
      <c r="C42" s="70"/>
      <c r="D42" s="42"/>
      <c r="E42" s="42"/>
      <c r="F42" s="42"/>
      <c r="G42" s="1"/>
      <c r="H42" s="42"/>
      <c r="J42" s="42"/>
      <c r="K42" s="42"/>
      <c r="L42" s="42"/>
      <c r="P42" s="57"/>
      <c r="S42" s="10"/>
      <c r="T42" s="10"/>
      <c r="U42" s="10"/>
      <c r="V42" s="10"/>
      <c r="W42" s="10"/>
      <c r="X42" s="10"/>
      <c r="Y42" s="10"/>
      <c r="Z42" s="10"/>
      <c r="AA42" s="10"/>
      <c r="AB42" s="10"/>
      <c r="AC42" s="10"/>
      <c r="AD42" s="10"/>
      <c r="AE42" s="10"/>
      <c r="AF42" s="10"/>
      <c r="AG42" s="10"/>
      <c r="AH42" s="10"/>
      <c r="AI42" s="10"/>
      <c r="AJ42" s="10"/>
      <c r="AM42" s="75"/>
      <c r="AN42" s="75"/>
      <c r="AO42" s="17"/>
      <c r="AP42" s="17"/>
      <c r="AQ42" s="17"/>
      <c r="AR42" s="17"/>
      <c r="AS42" s="17"/>
      <c r="AT42" s="17"/>
    </row>
    <row r="43" spans="1:46" x14ac:dyDescent="0.25">
      <c r="B43" s="43"/>
      <c r="C43" s="25"/>
      <c r="D43" s="1"/>
      <c r="E43" s="1"/>
      <c r="J43" s="49"/>
      <c r="K43" s="1"/>
      <c r="P43" s="57"/>
      <c r="S43" s="10"/>
      <c r="T43" s="10"/>
      <c r="U43" s="10"/>
      <c r="V43" s="10"/>
      <c r="W43" s="10"/>
      <c r="X43" s="10"/>
      <c r="Y43" s="10"/>
      <c r="Z43" s="10"/>
      <c r="AA43" s="10"/>
      <c r="AB43" s="10"/>
      <c r="AC43" s="10"/>
      <c r="AD43" s="10"/>
      <c r="AE43" s="10"/>
      <c r="AF43" s="10"/>
      <c r="AG43" s="10"/>
      <c r="AH43" s="10"/>
      <c r="AI43" s="10"/>
      <c r="AJ43" s="10"/>
      <c r="AM43" s="9"/>
      <c r="AN43" s="17"/>
      <c r="AO43" s="17"/>
      <c r="AP43" s="17"/>
      <c r="AQ43" s="17"/>
      <c r="AR43" s="17"/>
      <c r="AS43" s="17"/>
      <c r="AT43" s="17"/>
    </row>
    <row r="44" spans="1:46" x14ac:dyDescent="0.25">
      <c r="B44" s="43"/>
      <c r="C44" s="49"/>
      <c r="D44" s="49"/>
      <c r="E44" s="49"/>
      <c r="F44" s="50"/>
      <c r="G44" s="35"/>
      <c r="H44" s="50"/>
      <c r="J44" s="1"/>
      <c r="K44" s="1"/>
      <c r="L44" s="49"/>
      <c r="M44" s="1"/>
      <c r="P44" s="57"/>
      <c r="S44" s="10"/>
      <c r="T44" s="10"/>
      <c r="U44" s="10"/>
      <c r="V44" s="10"/>
      <c r="W44" s="10"/>
      <c r="X44" s="10"/>
      <c r="Y44" s="10"/>
      <c r="Z44" s="10"/>
      <c r="AA44" s="10"/>
      <c r="AB44" s="10"/>
      <c r="AC44" s="10"/>
      <c r="AD44" s="10"/>
      <c r="AE44" s="10"/>
      <c r="AF44" s="10"/>
      <c r="AG44" s="10"/>
      <c r="AH44" s="10"/>
      <c r="AI44" s="10"/>
      <c r="AJ44" s="10"/>
      <c r="AM44" s="85"/>
      <c r="AN44" s="75"/>
      <c r="AO44" s="17"/>
      <c r="AP44" s="17"/>
      <c r="AQ44" s="17"/>
      <c r="AR44" s="17"/>
      <c r="AS44" s="17"/>
      <c r="AT44" s="17"/>
    </row>
    <row r="45" spans="1:46" ht="13" thickBot="1" x14ac:dyDescent="0.3">
      <c r="B45" s="43"/>
      <c r="C45" s="25"/>
      <c r="D45" s="1"/>
      <c r="E45" s="1"/>
      <c r="K45" s="26"/>
      <c r="L45" s="33"/>
      <c r="M45" s="1"/>
      <c r="P45" s="57"/>
      <c r="S45" s="10"/>
      <c r="T45" s="10"/>
      <c r="U45" s="10"/>
      <c r="V45" s="10"/>
      <c r="W45" s="10"/>
      <c r="X45" s="10"/>
      <c r="Y45" s="10"/>
      <c r="Z45" s="10"/>
      <c r="AA45" s="10"/>
      <c r="AB45" s="10"/>
      <c r="AC45" s="10"/>
      <c r="AD45" s="10"/>
      <c r="AE45" s="10"/>
      <c r="AF45" s="10"/>
      <c r="AG45" s="10"/>
      <c r="AH45" s="10"/>
      <c r="AI45" s="10"/>
      <c r="AJ45" s="10"/>
      <c r="AM45" s="17"/>
      <c r="AN45" s="17"/>
      <c r="AO45" s="17"/>
      <c r="AP45" s="17"/>
      <c r="AQ45" s="17"/>
      <c r="AR45" s="17"/>
      <c r="AS45" s="17"/>
      <c r="AT45" s="17"/>
    </row>
    <row r="46" spans="1:46" ht="13.5" thickTop="1" x14ac:dyDescent="0.3">
      <c r="B46" s="730" t="s">
        <v>266</v>
      </c>
      <c r="C46" s="730"/>
      <c r="D46" s="730"/>
      <c r="E46" s="730"/>
      <c r="F46" s="730"/>
      <c r="G46" s="730"/>
      <c r="H46" s="730"/>
      <c r="I46" s="730"/>
      <c r="J46" s="730"/>
      <c r="K46" s="26"/>
      <c r="L46" s="33"/>
      <c r="M46" s="1"/>
      <c r="P46" s="56"/>
      <c r="Q46" s="1"/>
      <c r="R46" s="1"/>
      <c r="S46" s="1"/>
      <c r="T46" s="1"/>
      <c r="U46" s="1"/>
      <c r="V46" s="1"/>
      <c r="W46" s="1"/>
      <c r="X46" s="1"/>
      <c r="Y46" s="1"/>
      <c r="Z46" s="1"/>
      <c r="AA46" s="1"/>
      <c r="AB46" s="4"/>
      <c r="AC46" s="4"/>
      <c r="AD46" s="4"/>
      <c r="AE46" s="4"/>
      <c r="AF46" s="4"/>
      <c r="AG46" s="4"/>
      <c r="AH46" s="4"/>
      <c r="AI46" s="4"/>
      <c r="AJ46" s="4"/>
      <c r="AM46" s="17"/>
      <c r="AN46" s="17"/>
      <c r="AO46" s="17"/>
      <c r="AP46" s="17"/>
      <c r="AQ46" s="17"/>
      <c r="AR46" s="17"/>
      <c r="AS46" s="17"/>
      <c r="AT46" s="17"/>
    </row>
    <row r="47" spans="1:46" ht="13" thickBot="1" x14ac:dyDescent="0.3">
      <c r="A47" s="22"/>
      <c r="B47" s="718"/>
      <c r="C47" s="718"/>
      <c r="D47" s="718"/>
      <c r="E47" s="718"/>
      <c r="F47" s="718"/>
      <c r="G47" s="718"/>
      <c r="H47" s="718"/>
      <c r="I47" s="718"/>
      <c r="J47" s="718"/>
      <c r="K47" s="26"/>
      <c r="L47" s="33"/>
      <c r="M47" s="1"/>
      <c r="P47" s="57"/>
      <c r="S47" s="10"/>
      <c r="T47" s="10"/>
      <c r="U47" s="10"/>
      <c r="V47" s="10"/>
      <c r="W47" s="10"/>
      <c r="X47" s="10"/>
      <c r="Y47" s="10"/>
      <c r="Z47" s="10"/>
      <c r="AA47" s="10"/>
      <c r="AB47" s="10"/>
      <c r="AC47" s="10"/>
      <c r="AD47" s="10"/>
      <c r="AE47" s="10"/>
      <c r="AF47" s="10"/>
      <c r="AG47" s="10"/>
      <c r="AH47" s="10"/>
      <c r="AI47" s="10"/>
      <c r="AJ47" s="10"/>
      <c r="AM47" s="17"/>
      <c r="AN47" s="17"/>
      <c r="AO47" s="17"/>
      <c r="AP47" s="17"/>
      <c r="AQ47" s="17"/>
      <c r="AR47" s="17"/>
      <c r="AS47" s="17"/>
      <c r="AT47" s="17"/>
    </row>
    <row r="48" spans="1:46" ht="13" x14ac:dyDescent="0.25">
      <c r="A48" s="17"/>
      <c r="B48" s="731" t="s">
        <v>19</v>
      </c>
      <c r="C48" s="732"/>
      <c r="D48" s="732"/>
      <c r="E48" s="510" t="s">
        <v>20</v>
      </c>
      <c r="F48" s="732"/>
      <c r="G48" s="732"/>
      <c r="H48" s="510" t="s">
        <v>21</v>
      </c>
      <c r="I48" s="732"/>
      <c r="J48" s="733"/>
      <c r="K48" s="71"/>
      <c r="L48" s="49"/>
      <c r="M48" s="1"/>
      <c r="P48" s="57"/>
      <c r="S48" s="59"/>
      <c r="T48" s="10"/>
      <c r="U48" s="10"/>
      <c r="V48" s="10"/>
      <c r="W48" s="10"/>
      <c r="X48" s="10"/>
      <c r="Y48" s="10"/>
      <c r="Z48" s="10"/>
      <c r="AA48" s="10"/>
      <c r="AB48" s="59"/>
      <c r="AC48" s="10"/>
      <c r="AD48" s="10"/>
      <c r="AE48" s="10"/>
      <c r="AF48" s="10"/>
      <c r="AG48" s="10"/>
      <c r="AH48" s="10"/>
      <c r="AI48" s="10"/>
      <c r="AJ48" s="10"/>
      <c r="AM48" s="42"/>
      <c r="AN48" s="36"/>
      <c r="AO48" s="36"/>
      <c r="AP48" s="36"/>
      <c r="AQ48" s="36"/>
      <c r="AR48" s="36"/>
      <c r="AS48" s="65"/>
    </row>
    <row r="49" spans="1:54" ht="14" x14ac:dyDescent="0.4">
      <c r="A49" s="17"/>
      <c r="B49" s="673" t="s">
        <v>49</v>
      </c>
      <c r="C49" s="674"/>
      <c r="D49" s="674"/>
      <c r="E49" s="734" t="s">
        <v>259</v>
      </c>
      <c r="F49" s="735"/>
      <c r="G49" s="735"/>
      <c r="H49" s="734" t="s">
        <v>260</v>
      </c>
      <c r="I49" s="735"/>
      <c r="J49" s="736"/>
      <c r="K49" s="35"/>
      <c r="L49" s="33"/>
      <c r="M49" s="1"/>
      <c r="P49" s="57"/>
      <c r="S49" s="59"/>
      <c r="T49" s="10"/>
      <c r="U49" s="10"/>
      <c r="V49" s="10"/>
      <c r="W49" s="10"/>
      <c r="X49" s="10"/>
      <c r="Y49" s="10"/>
      <c r="Z49" s="10"/>
      <c r="AA49" s="10"/>
      <c r="AB49" s="59"/>
      <c r="AC49" s="10"/>
      <c r="AD49" s="10"/>
      <c r="AE49" s="10"/>
      <c r="AF49" s="10"/>
      <c r="AG49" s="10"/>
      <c r="AH49" s="10"/>
      <c r="AI49" s="10"/>
      <c r="AJ49" s="10"/>
      <c r="AM49" s="42"/>
      <c r="AN49" s="36"/>
      <c r="AO49" s="36"/>
      <c r="AP49" s="36"/>
      <c r="AQ49" s="36"/>
      <c r="AR49" s="36"/>
      <c r="AS49" s="65"/>
    </row>
    <row r="50" spans="1:54" ht="15.5" x14ac:dyDescent="0.25">
      <c r="A50" s="69"/>
      <c r="B50" s="665" t="s">
        <v>39</v>
      </c>
      <c r="C50" s="678"/>
      <c r="D50" s="678"/>
      <c r="E50" s="435" t="s">
        <v>267</v>
      </c>
      <c r="F50" s="309"/>
      <c r="G50" s="309"/>
      <c r="H50" s="435" t="s">
        <v>270</v>
      </c>
      <c r="I50" s="309"/>
      <c r="J50" s="437"/>
      <c r="K50" s="43"/>
      <c r="L50" s="43"/>
      <c r="M50" s="43"/>
      <c r="N50" s="43"/>
      <c r="P50" s="57"/>
      <c r="S50" s="59"/>
      <c r="T50" s="10"/>
      <c r="U50" s="10"/>
      <c r="V50" s="10"/>
      <c r="W50" s="10"/>
      <c r="X50" s="10"/>
      <c r="Y50" s="10"/>
      <c r="Z50" s="10"/>
      <c r="AA50" s="10"/>
      <c r="AB50" s="59"/>
      <c r="AC50" s="10"/>
      <c r="AD50" s="10"/>
      <c r="AE50" s="10"/>
      <c r="AF50" s="10"/>
      <c r="AG50" s="10"/>
      <c r="AH50" s="10"/>
      <c r="AI50" s="10"/>
      <c r="AJ50" s="10"/>
      <c r="AM50" s="42"/>
      <c r="AN50" s="36"/>
      <c r="AO50" s="36"/>
      <c r="AP50" s="36"/>
      <c r="AQ50" s="36"/>
      <c r="AR50" s="36"/>
      <c r="AS50" s="65"/>
    </row>
    <row r="51" spans="1:54" ht="13" x14ac:dyDescent="0.3">
      <c r="A51" s="32"/>
      <c r="B51" s="679"/>
      <c r="C51" s="678"/>
      <c r="D51" s="678"/>
      <c r="E51" s="371">
        <f ca="1">+D40</f>
        <v>0</v>
      </c>
      <c r="F51" s="400"/>
      <c r="G51" s="372"/>
      <c r="H51" s="371" t="e">
        <f ca="1">+O40</f>
        <v>#VALUE!</v>
      </c>
      <c r="I51" s="690"/>
      <c r="J51" s="690"/>
      <c r="K51" s="32"/>
      <c r="L51" s="32"/>
      <c r="M51" s="32"/>
      <c r="P51" s="57"/>
      <c r="S51" s="10"/>
      <c r="T51" s="10"/>
      <c r="U51" s="10"/>
      <c r="V51" s="10"/>
      <c r="W51" s="10"/>
      <c r="X51" s="10"/>
      <c r="Y51" s="10"/>
      <c r="Z51" s="10"/>
      <c r="AA51" s="10"/>
      <c r="AB51" s="10"/>
      <c r="AC51" s="10"/>
      <c r="AD51" s="10"/>
      <c r="AE51" s="10"/>
      <c r="AF51" s="10"/>
      <c r="AG51" s="10"/>
      <c r="AH51" s="10"/>
      <c r="AI51" s="10"/>
      <c r="AJ51" s="10"/>
      <c r="AM51" s="36"/>
      <c r="AN51" s="36"/>
      <c r="AO51" s="36"/>
      <c r="AP51" s="36"/>
      <c r="AQ51" s="36"/>
      <c r="AR51" s="36"/>
      <c r="AS51" s="65"/>
      <c r="AT51" s="44"/>
      <c r="AU51" s="44"/>
      <c r="AV51" s="44"/>
      <c r="AW51" s="44"/>
      <c r="AX51" s="44"/>
      <c r="AY51" s="44"/>
      <c r="AZ51" s="44"/>
      <c r="BA51" s="44"/>
      <c r="BB51" s="44"/>
    </row>
    <row r="52" spans="1:54" ht="15.5" x14ac:dyDescent="0.3">
      <c r="A52" s="36"/>
      <c r="B52" s="665" t="s">
        <v>262</v>
      </c>
      <c r="C52" s="678"/>
      <c r="D52" s="678"/>
      <c r="E52" s="435" t="s">
        <v>268</v>
      </c>
      <c r="F52" s="309"/>
      <c r="G52" s="309"/>
      <c r="H52" s="435" t="s">
        <v>264</v>
      </c>
      <c r="I52" s="309"/>
      <c r="J52" s="437"/>
      <c r="K52" s="36"/>
      <c r="L52" s="36"/>
      <c r="M52" s="37"/>
      <c r="P52" s="57"/>
      <c r="S52" s="10"/>
      <c r="T52" s="10"/>
      <c r="U52" s="10"/>
      <c r="V52" s="10"/>
      <c r="W52" s="10"/>
      <c r="X52" s="10"/>
      <c r="Y52" s="10"/>
      <c r="Z52" s="10"/>
      <c r="AA52" s="10"/>
      <c r="AB52" s="10"/>
      <c r="AC52" s="10"/>
      <c r="AD52" s="10"/>
      <c r="AE52" s="10"/>
      <c r="AF52" s="10"/>
      <c r="AG52" s="10"/>
      <c r="AH52" s="10"/>
      <c r="AI52" s="10"/>
      <c r="AJ52" s="10"/>
      <c r="AM52" s="34"/>
      <c r="AP52" s="4"/>
      <c r="AT52" s="1"/>
      <c r="AY52" s="1"/>
      <c r="AZ52" s="1"/>
      <c r="BA52" s="1"/>
      <c r="BB52" s="1"/>
    </row>
    <row r="53" spans="1:54" ht="13" x14ac:dyDescent="0.3">
      <c r="A53" s="34"/>
      <c r="B53" s="679"/>
      <c r="C53" s="678"/>
      <c r="D53" s="678"/>
      <c r="E53" s="687">
        <f ca="1">+E40</f>
        <v>0</v>
      </c>
      <c r="F53" s="688"/>
      <c r="G53" s="689"/>
      <c r="H53" s="504" t="e">
        <f ca="1">+O40*E40/D40</f>
        <v>#VALUE!</v>
      </c>
      <c r="I53" s="690"/>
      <c r="J53" s="690"/>
      <c r="K53" s="1"/>
      <c r="L53" s="1"/>
      <c r="M53" s="1"/>
      <c r="P53" s="57"/>
      <c r="S53" s="10"/>
      <c r="T53" s="10"/>
      <c r="U53" s="10"/>
      <c r="V53" s="10"/>
      <c r="W53" s="10"/>
      <c r="X53" s="10"/>
      <c r="Y53" s="10"/>
      <c r="Z53" s="10"/>
      <c r="AA53" s="10"/>
      <c r="AB53" s="10"/>
      <c r="AC53" s="10"/>
      <c r="AD53" s="10"/>
      <c r="AE53" s="10"/>
      <c r="AF53" s="10"/>
      <c r="AG53" s="10"/>
      <c r="AH53" s="10"/>
      <c r="AI53" s="10"/>
      <c r="AJ53" s="10"/>
      <c r="AM53" s="45"/>
      <c r="AN53" s="43"/>
      <c r="AO53" s="1"/>
      <c r="AP53" s="8"/>
      <c r="AQ53" s="4"/>
      <c r="AR53" s="44"/>
      <c r="AT53" s="4"/>
      <c r="AY53" s="4"/>
      <c r="AZ53" s="4"/>
      <c r="BA53" s="4"/>
    </row>
    <row r="54" spans="1:54" ht="15.5" x14ac:dyDescent="0.3">
      <c r="A54" s="31"/>
      <c r="B54" s="709" t="s">
        <v>263</v>
      </c>
      <c r="C54" s="710"/>
      <c r="D54" s="710"/>
      <c r="E54" s="435" t="s">
        <v>269</v>
      </c>
      <c r="F54" s="309"/>
      <c r="G54" s="309"/>
      <c r="H54" s="435" t="s">
        <v>265</v>
      </c>
      <c r="I54" s="309"/>
      <c r="J54" s="437"/>
      <c r="K54" s="38"/>
      <c r="L54" s="38"/>
      <c r="M54" s="1"/>
      <c r="P54" s="57"/>
      <c r="S54" s="10"/>
      <c r="T54" s="10"/>
      <c r="U54" s="10"/>
      <c r="V54" s="10"/>
      <c r="W54" s="10"/>
      <c r="X54" s="10"/>
      <c r="Y54" s="10"/>
      <c r="Z54" s="10"/>
      <c r="AA54" s="10"/>
      <c r="AB54" s="10"/>
      <c r="AC54" s="10"/>
      <c r="AD54" s="10"/>
      <c r="AE54" s="10"/>
      <c r="AF54" s="10"/>
      <c r="AG54" s="10"/>
      <c r="AH54" s="10"/>
      <c r="AI54" s="10"/>
      <c r="AJ54" s="10"/>
      <c r="AM54" s="25"/>
      <c r="AN54" s="1"/>
      <c r="AP54" s="46"/>
      <c r="AQ54" s="1"/>
      <c r="AR54" s="46"/>
      <c r="AS54" s="46"/>
      <c r="AY54" s="4"/>
      <c r="AZ54" s="4"/>
      <c r="BA54" s="4"/>
    </row>
    <row r="55" spans="1:54" ht="13.5" thickBot="1" x14ac:dyDescent="0.35">
      <c r="A55" s="42"/>
      <c r="B55" s="711"/>
      <c r="C55" s="712"/>
      <c r="D55" s="712"/>
      <c r="E55" s="704">
        <f ca="1">+F40</f>
        <v>1.3576715099999999E-2</v>
      </c>
      <c r="F55" s="705"/>
      <c r="G55" s="706"/>
      <c r="H55" s="707" t="e">
        <f ca="1">+O40*F40/D40</f>
        <v>#VALUE!</v>
      </c>
      <c r="I55" s="708"/>
      <c r="J55" s="708"/>
      <c r="K55" s="42"/>
      <c r="L55" s="42"/>
      <c r="M55" s="42"/>
      <c r="P55" s="57"/>
      <c r="S55" s="10"/>
      <c r="T55" s="10"/>
      <c r="U55" s="10"/>
      <c r="V55" s="10"/>
      <c r="W55" s="10"/>
      <c r="X55" s="10"/>
      <c r="Y55" s="10"/>
      <c r="Z55" s="10"/>
      <c r="AA55" s="10"/>
      <c r="AB55" s="10"/>
      <c r="AC55" s="10"/>
      <c r="AD55" s="10"/>
      <c r="AE55" s="10"/>
      <c r="AF55" s="10"/>
      <c r="AG55" s="10"/>
      <c r="AH55" s="10"/>
      <c r="AI55" s="10"/>
      <c r="AJ55" s="10"/>
      <c r="AM55" s="25"/>
      <c r="AN55" s="1"/>
      <c r="AP55" s="46"/>
      <c r="AQ55" s="1"/>
      <c r="AR55" s="46"/>
      <c r="AS55" s="46"/>
      <c r="AY55" s="4"/>
      <c r="AZ55" s="4"/>
      <c r="BA55" s="8"/>
    </row>
    <row r="56" spans="1:54" ht="13" x14ac:dyDescent="0.25">
      <c r="A56" s="42"/>
      <c r="C56" s="31"/>
      <c r="D56" s="31"/>
      <c r="E56" s="31"/>
      <c r="F56" s="38"/>
      <c r="G56" s="31"/>
      <c r="H56" s="31"/>
      <c r="I56" s="38"/>
      <c r="K56" s="1"/>
      <c r="L56" s="1"/>
      <c r="M56" s="1"/>
      <c r="AM56" s="25"/>
      <c r="AN56" s="1"/>
      <c r="AP56" s="33"/>
      <c r="AQ56" s="1"/>
      <c r="AR56" s="46"/>
      <c r="AS56" s="46"/>
      <c r="AY56" s="1"/>
      <c r="AZ56" s="9"/>
      <c r="BA56" s="6"/>
    </row>
    <row r="57" spans="1:54" x14ac:dyDescent="0.25">
      <c r="A57" s="1"/>
      <c r="B57" s="1"/>
      <c r="C57" s="1"/>
      <c r="F57" s="1"/>
      <c r="G57" s="1"/>
      <c r="H57" s="1"/>
      <c r="I57" s="1"/>
      <c r="J57" s="1"/>
      <c r="K57" s="1"/>
      <c r="L57" s="1"/>
      <c r="M57" s="1"/>
    </row>
    <row r="58" spans="1:54" x14ac:dyDescent="0.25">
      <c r="A58" s="1"/>
      <c r="B58" s="1"/>
      <c r="C58" s="50"/>
      <c r="D58" s="72"/>
      <c r="E58" s="51"/>
      <c r="F58" s="50"/>
      <c r="G58" s="72"/>
      <c r="H58" s="51"/>
      <c r="I58" s="50"/>
      <c r="J58" s="72"/>
      <c r="K58" s="50"/>
      <c r="L58" s="72"/>
      <c r="M58" s="51"/>
    </row>
    <row r="59" spans="1:54" x14ac:dyDescent="0.25">
      <c r="A59" s="1"/>
      <c r="B59" s="1"/>
      <c r="C59" s="1"/>
      <c r="D59" s="1"/>
      <c r="E59" s="1"/>
      <c r="F59" s="1"/>
      <c r="G59" s="1"/>
      <c r="H59" s="1"/>
      <c r="I59" s="1"/>
      <c r="J59" s="1"/>
      <c r="K59" s="1"/>
      <c r="L59" s="1"/>
      <c r="M59" s="1"/>
    </row>
    <row r="60" spans="1:54" x14ac:dyDescent="0.25">
      <c r="C60" s="33"/>
      <c r="D60" s="33"/>
      <c r="E60" s="33"/>
      <c r="F60" s="33"/>
      <c r="G60" s="33"/>
      <c r="H60" s="33"/>
      <c r="I60" s="33"/>
      <c r="J60" s="33"/>
      <c r="K60" s="33"/>
      <c r="L60" s="33"/>
      <c r="M60" s="33"/>
    </row>
    <row r="61" spans="1:54" x14ac:dyDescent="0.25">
      <c r="A61" s="26"/>
      <c r="B61" s="26"/>
      <c r="C61" s="26"/>
      <c r="D61" s="49"/>
      <c r="E61" s="26"/>
      <c r="F61" s="26"/>
      <c r="G61" s="38"/>
      <c r="I61" s="26"/>
      <c r="J61" s="49"/>
      <c r="K61" s="26"/>
      <c r="L61" s="49"/>
      <c r="M61" s="1"/>
    </row>
    <row r="62" spans="1:54" x14ac:dyDescent="0.25">
      <c r="A62" s="55"/>
      <c r="C62" s="33"/>
      <c r="D62" s="33"/>
      <c r="E62" s="33"/>
      <c r="F62" s="33"/>
      <c r="G62" s="33"/>
      <c r="H62" s="33"/>
      <c r="I62" s="33"/>
      <c r="J62" s="33"/>
      <c r="K62" s="33"/>
      <c r="L62" s="33"/>
      <c r="M62" s="33"/>
    </row>
    <row r="63" spans="1:54" x14ac:dyDescent="0.25">
      <c r="A63" s="55"/>
      <c r="C63" s="33"/>
      <c r="D63" s="33"/>
      <c r="E63" s="33"/>
      <c r="F63" s="33"/>
      <c r="G63" s="33"/>
      <c r="H63" s="33"/>
      <c r="I63" s="33"/>
      <c r="J63" s="33"/>
      <c r="K63" s="33"/>
      <c r="L63" s="33"/>
      <c r="M63" s="33"/>
    </row>
    <row r="64" spans="1:54" x14ac:dyDescent="0.25">
      <c r="A64" s="45"/>
      <c r="C64" s="33"/>
      <c r="D64" s="33"/>
      <c r="E64" s="33"/>
      <c r="F64" s="33"/>
      <c r="G64" s="33"/>
      <c r="H64" s="33"/>
      <c r="I64" s="33"/>
      <c r="J64" s="33"/>
      <c r="K64" s="33"/>
      <c r="L64" s="33"/>
      <c r="M64" s="33"/>
    </row>
    <row r="65" spans="1:14" x14ac:dyDescent="0.25">
      <c r="A65" s="55"/>
      <c r="C65" s="33"/>
      <c r="D65" s="33"/>
      <c r="E65" s="33"/>
      <c r="F65" s="33"/>
      <c r="G65" s="33"/>
      <c r="H65" s="33"/>
      <c r="I65" s="33"/>
      <c r="J65" s="33"/>
      <c r="K65" s="33"/>
      <c r="L65" s="33"/>
      <c r="M65" s="33"/>
    </row>
    <row r="66" spans="1:14" x14ac:dyDescent="0.25">
      <c r="A66" s="55"/>
      <c r="C66" s="33"/>
      <c r="D66" s="33"/>
      <c r="E66" s="33"/>
      <c r="F66" s="33"/>
      <c r="G66" s="33"/>
      <c r="H66" s="33"/>
      <c r="I66" s="33"/>
      <c r="J66" s="33"/>
      <c r="K66" s="33"/>
      <c r="L66" s="33"/>
      <c r="M66" s="33"/>
    </row>
    <row r="67" spans="1:14" x14ac:dyDescent="0.25">
      <c r="A67" s="55"/>
      <c r="C67" s="33"/>
      <c r="D67" s="33"/>
      <c r="E67" s="33"/>
      <c r="F67" s="33"/>
      <c r="G67" s="33"/>
      <c r="H67" s="33"/>
      <c r="I67" s="33"/>
      <c r="J67" s="33"/>
      <c r="K67" s="33"/>
      <c r="L67" s="33"/>
      <c r="M67" s="33"/>
    </row>
    <row r="68" spans="1:14" x14ac:dyDescent="0.25">
      <c r="A68" s="69"/>
      <c r="B68" s="43"/>
      <c r="C68" s="43"/>
      <c r="D68" s="43"/>
      <c r="E68" s="43"/>
      <c r="F68" s="43"/>
      <c r="G68" s="43"/>
      <c r="H68" s="43"/>
      <c r="I68" s="43"/>
      <c r="J68" s="43"/>
      <c r="K68" s="43"/>
      <c r="L68" s="43"/>
      <c r="M68" s="43"/>
      <c r="N68" s="43"/>
    </row>
    <row r="69" spans="1:14" x14ac:dyDescent="0.25">
      <c r="C69" s="33"/>
      <c r="D69" s="33"/>
      <c r="E69" s="33"/>
      <c r="F69" s="33"/>
      <c r="G69" s="1"/>
      <c r="H69" s="33"/>
      <c r="I69" s="33"/>
      <c r="J69" s="33"/>
      <c r="K69" s="1"/>
      <c r="L69" s="33"/>
      <c r="M69" s="33"/>
    </row>
    <row r="70" spans="1:14" ht="13" x14ac:dyDescent="0.3">
      <c r="A70" s="4"/>
      <c r="B70" s="1"/>
      <c r="C70" s="1"/>
      <c r="D70" s="1"/>
      <c r="E70" s="1"/>
      <c r="F70" s="1"/>
      <c r="G70" s="1"/>
    </row>
    <row r="72" spans="1:14" ht="13" x14ac:dyDescent="0.25">
      <c r="A72" s="34"/>
      <c r="B72" s="34"/>
      <c r="C72" s="34"/>
      <c r="D72" s="34"/>
      <c r="E72" s="34"/>
      <c r="F72" s="34"/>
      <c r="G72" s="34"/>
      <c r="H72" s="34"/>
      <c r="I72" s="34"/>
      <c r="J72" s="34"/>
      <c r="K72" s="34"/>
      <c r="L72" s="34"/>
      <c r="M72" s="34"/>
    </row>
    <row r="73" spans="1:14" x14ac:dyDescent="0.25">
      <c r="A73" s="31"/>
      <c r="B73" s="31"/>
      <c r="C73" s="31"/>
      <c r="E73" s="38"/>
      <c r="F73" s="1"/>
      <c r="G73" s="1"/>
      <c r="H73" s="1"/>
      <c r="I73" s="38"/>
      <c r="J73" s="1"/>
      <c r="K73" s="1"/>
      <c r="L73" s="1"/>
      <c r="M73" s="1"/>
    </row>
    <row r="74" spans="1:14" ht="13" x14ac:dyDescent="0.3">
      <c r="A74" s="42"/>
      <c r="B74" s="42"/>
      <c r="C74" s="42"/>
      <c r="D74" s="42"/>
      <c r="E74" s="4"/>
      <c r="F74" s="4"/>
      <c r="G74" s="4"/>
      <c r="H74" s="4"/>
      <c r="I74" s="4"/>
      <c r="J74" s="4"/>
      <c r="K74" s="4"/>
      <c r="L74" s="4"/>
      <c r="M74" s="4"/>
    </row>
    <row r="75" spans="1:14" x14ac:dyDescent="0.25">
      <c r="A75" s="65"/>
      <c r="B75" s="65"/>
      <c r="C75" s="65"/>
      <c r="D75" s="65"/>
      <c r="E75" s="38"/>
      <c r="I75" s="38"/>
      <c r="J75" s="31"/>
      <c r="K75" s="31"/>
    </row>
    <row r="76" spans="1:14" x14ac:dyDescent="0.25">
      <c r="A76" s="43"/>
      <c r="B76" s="43"/>
      <c r="C76" s="43"/>
      <c r="E76" s="33"/>
      <c r="F76" s="1"/>
      <c r="G76" s="1"/>
      <c r="H76" s="1"/>
      <c r="I76" s="10"/>
      <c r="J76" s="10"/>
      <c r="K76" s="10"/>
      <c r="L76" s="10"/>
      <c r="M76" s="10"/>
    </row>
    <row r="77" spans="1:14" x14ac:dyDescent="0.25">
      <c r="A77" s="43"/>
      <c r="B77" s="43"/>
      <c r="C77" s="43"/>
      <c r="E77" s="33"/>
      <c r="F77" s="1"/>
      <c r="G77" s="1"/>
      <c r="H77" s="1"/>
      <c r="I77" s="10"/>
      <c r="J77" s="10"/>
      <c r="K77" s="10"/>
      <c r="L77" s="10"/>
      <c r="M77" s="10"/>
    </row>
    <row r="78" spans="1:14" x14ac:dyDescent="0.25">
      <c r="A78" s="45"/>
      <c r="B78" s="43"/>
      <c r="C78" s="43"/>
      <c r="E78" s="33"/>
      <c r="F78" s="1"/>
      <c r="G78" s="1"/>
      <c r="H78" s="1"/>
      <c r="I78" s="10"/>
      <c r="J78" s="10"/>
      <c r="K78" s="10"/>
      <c r="L78" s="10"/>
      <c r="M78" s="10"/>
    </row>
    <row r="79" spans="1:14" x14ac:dyDescent="0.25">
      <c r="A79" s="43"/>
      <c r="B79" s="43"/>
      <c r="C79" s="43"/>
      <c r="E79" s="33"/>
      <c r="F79" s="1"/>
      <c r="G79" s="1"/>
      <c r="H79" s="1"/>
      <c r="I79" s="10"/>
      <c r="J79" s="10"/>
      <c r="K79" s="10"/>
      <c r="L79" s="10"/>
      <c r="M79" s="10"/>
    </row>
    <row r="80" spans="1:14" x14ac:dyDescent="0.25">
      <c r="A80" s="69"/>
      <c r="B80" s="43"/>
      <c r="C80" s="43"/>
      <c r="D80" s="43"/>
      <c r="E80" s="43"/>
      <c r="F80" s="43"/>
      <c r="G80" s="43"/>
      <c r="H80" s="43"/>
      <c r="I80" s="43"/>
      <c r="J80" s="43"/>
      <c r="K80" s="43"/>
      <c r="L80" s="43"/>
      <c r="M80" s="43"/>
      <c r="N80" s="43"/>
    </row>
    <row r="85" spans="1:13" x14ac:dyDescent="0.25">
      <c r="A85" s="31"/>
      <c r="B85" s="31"/>
      <c r="C85" s="31"/>
      <c r="D85" s="31"/>
      <c r="E85" s="31"/>
      <c r="F85" s="31"/>
      <c r="G85" s="31"/>
      <c r="H85" s="31"/>
      <c r="I85" s="31"/>
      <c r="J85" s="31"/>
      <c r="K85" s="31"/>
      <c r="L85" s="31"/>
      <c r="M85" s="31"/>
    </row>
    <row r="86" spans="1:13" ht="13" x14ac:dyDescent="0.25">
      <c r="A86" s="41"/>
      <c r="B86" s="41"/>
      <c r="C86" s="41"/>
      <c r="D86" s="42"/>
      <c r="E86" s="42"/>
      <c r="F86" s="42"/>
      <c r="G86" s="42"/>
      <c r="I86" s="42"/>
      <c r="J86" s="42"/>
      <c r="K86" s="42"/>
      <c r="L86" s="42"/>
      <c r="M86" s="42"/>
    </row>
    <row r="87" spans="1:13" ht="13" x14ac:dyDescent="0.25">
      <c r="A87" s="41"/>
      <c r="B87" s="41"/>
      <c r="C87" s="41"/>
      <c r="D87" s="31"/>
      <c r="G87" s="31"/>
      <c r="H87" s="31"/>
      <c r="I87" s="31"/>
      <c r="J87" s="42"/>
      <c r="K87" s="42"/>
      <c r="L87" s="31"/>
      <c r="M87" s="31"/>
    </row>
    <row r="88" spans="1:13" x14ac:dyDescent="0.25">
      <c r="A88" s="43"/>
      <c r="B88" s="43"/>
      <c r="C88" s="43"/>
      <c r="D88" s="33"/>
      <c r="E88" s="1"/>
      <c r="F88" s="1"/>
      <c r="G88" s="33"/>
      <c r="H88" s="1"/>
      <c r="I88" s="1"/>
      <c r="J88" s="1"/>
      <c r="K88" s="1"/>
      <c r="L88" s="10"/>
      <c r="M88" s="10"/>
    </row>
    <row r="89" spans="1:13" x14ac:dyDescent="0.25">
      <c r="A89" s="43"/>
      <c r="B89" s="43"/>
      <c r="C89" s="43"/>
      <c r="D89" s="33"/>
      <c r="E89" s="1"/>
      <c r="F89" s="1"/>
      <c r="G89" s="33"/>
      <c r="H89" s="1"/>
      <c r="I89" s="1"/>
      <c r="J89" s="1"/>
      <c r="K89" s="1"/>
      <c r="L89" s="10"/>
      <c r="M89" s="10"/>
    </row>
    <row r="90" spans="1:13" x14ac:dyDescent="0.25">
      <c r="A90" s="43"/>
      <c r="B90" s="43"/>
      <c r="C90" s="43"/>
      <c r="D90" s="33"/>
      <c r="E90" s="1"/>
      <c r="F90" s="1"/>
      <c r="G90" s="33"/>
      <c r="H90" s="1"/>
      <c r="I90" s="1"/>
      <c r="J90" s="1"/>
      <c r="K90" s="1"/>
      <c r="L90" s="10"/>
      <c r="M90" s="10"/>
    </row>
  </sheetData>
  <mergeCells count="77">
    <mergeCell ref="R6:U14"/>
    <mergeCell ref="B27:C27"/>
    <mergeCell ref="B28:C28"/>
    <mergeCell ref="B29:C29"/>
    <mergeCell ref="B22:C22"/>
    <mergeCell ref="B23:C23"/>
    <mergeCell ref="B24:C24"/>
    <mergeCell ref="B25:C25"/>
    <mergeCell ref="B26:C26"/>
    <mergeCell ref="B40:C40"/>
    <mergeCell ref="B32:C32"/>
    <mergeCell ref="B49:D49"/>
    <mergeCell ref="E49:G49"/>
    <mergeCell ref="F8:F9"/>
    <mergeCell ref="B6:C9"/>
    <mergeCell ref="B39:C39"/>
    <mergeCell ref="B37:C37"/>
    <mergeCell ref="B38:C38"/>
    <mergeCell ref="B31:C31"/>
    <mergeCell ref="B35:C35"/>
    <mergeCell ref="B36:C36"/>
    <mergeCell ref="B34:C34"/>
    <mergeCell ref="B11:C11"/>
    <mergeCell ref="B12:C12"/>
    <mergeCell ref="B13:C13"/>
    <mergeCell ref="B3:O4"/>
    <mergeCell ref="O6:O7"/>
    <mergeCell ref="O8:O9"/>
    <mergeCell ref="B15:C15"/>
    <mergeCell ref="B16:C16"/>
    <mergeCell ref="D8:D9"/>
    <mergeCell ref="H6:H9"/>
    <mergeCell ref="I6:I7"/>
    <mergeCell ref="E8:E9"/>
    <mergeCell ref="G6:G9"/>
    <mergeCell ref="D6:F7"/>
    <mergeCell ref="N6:N7"/>
    <mergeCell ref="M8:M9"/>
    <mergeCell ref="N8:N9"/>
    <mergeCell ref="B10:O10"/>
    <mergeCell ref="B5:C5"/>
    <mergeCell ref="B33:C33"/>
    <mergeCell ref="M6:M7"/>
    <mergeCell ref="L8:L9"/>
    <mergeCell ref="I8:I9"/>
    <mergeCell ref="J8:J9"/>
    <mergeCell ref="J6:J7"/>
    <mergeCell ref="K6:K7"/>
    <mergeCell ref="L6:L7"/>
    <mergeCell ref="K8:K9"/>
    <mergeCell ref="B14:C14"/>
    <mergeCell ref="B30:O30"/>
    <mergeCell ref="B17:C17"/>
    <mergeCell ref="B18:C18"/>
    <mergeCell ref="B19:C19"/>
    <mergeCell ref="B20:O20"/>
    <mergeCell ref="B21:C21"/>
    <mergeCell ref="B46:J47"/>
    <mergeCell ref="B48:D48"/>
    <mergeCell ref="E48:G48"/>
    <mergeCell ref="H48:J48"/>
    <mergeCell ref="H49:J49"/>
    <mergeCell ref="E50:G50"/>
    <mergeCell ref="H50:J50"/>
    <mergeCell ref="E51:G51"/>
    <mergeCell ref="H51:J51"/>
    <mergeCell ref="B52:D53"/>
    <mergeCell ref="E52:G52"/>
    <mergeCell ref="H52:J52"/>
    <mergeCell ref="E53:G53"/>
    <mergeCell ref="H53:J53"/>
    <mergeCell ref="B50:D51"/>
    <mergeCell ref="B54:D55"/>
    <mergeCell ref="E54:G54"/>
    <mergeCell ref="H54:J54"/>
    <mergeCell ref="E55:G55"/>
    <mergeCell ref="H55:J55"/>
  </mergeCells>
  <dataValidations count="1">
    <dataValidation type="list" allowBlank="1" showInputMessage="1" showErrorMessage="1" sqref="AO53 S32" xr:uid="{00000000-0002-0000-0900-000000000000}">
      <formula1>Local</formula1>
    </dataValidation>
  </dataValidations>
  <pageMargins left="0.7" right="0.7" top="0.75" bottom="0.75" header="0.3" footer="0.3"/>
  <ignoredErrors>
    <ignoredError sqref="B5 D5:O5 B48 E48 H4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B1:AH84"/>
  <sheetViews>
    <sheetView workbookViewId="0">
      <selection activeCell="F43" sqref="F43:F44"/>
    </sheetView>
  </sheetViews>
  <sheetFormatPr defaultRowHeight="12.5" x14ac:dyDescent="0.25"/>
  <cols>
    <col min="2" max="6" width="13.7265625" customWidth="1"/>
    <col min="7" max="7" width="14.7265625" customWidth="1"/>
    <col min="8" max="10" width="13.7265625" customWidth="1"/>
    <col min="11" max="11" width="14.7265625" customWidth="1"/>
    <col min="12" max="13" width="13.7265625" customWidth="1"/>
    <col min="14" max="32" width="12.7265625" customWidth="1"/>
  </cols>
  <sheetData>
    <row r="1" spans="2:33" ht="13" x14ac:dyDescent="0.3">
      <c r="B1" s="96" t="s">
        <v>284</v>
      </c>
      <c r="O1" s="96" t="s">
        <v>285</v>
      </c>
    </row>
    <row r="2" spans="2:33" ht="13" thickBot="1" x14ac:dyDescent="0.3">
      <c r="B2" s="6"/>
      <c r="E2" s="1"/>
      <c r="K2" s="7"/>
    </row>
    <row r="3" spans="2:33" ht="13" thickTop="1" x14ac:dyDescent="0.25">
      <c r="B3" s="764" t="s">
        <v>854</v>
      </c>
      <c r="C3" s="764"/>
      <c r="D3" s="764"/>
      <c r="E3" s="764"/>
      <c r="F3" s="764"/>
      <c r="G3" s="764"/>
      <c r="H3" s="764"/>
      <c r="I3" s="764"/>
      <c r="J3" s="764"/>
      <c r="K3" s="768"/>
      <c r="L3" s="768"/>
      <c r="AA3" s="16"/>
    </row>
    <row r="4" spans="2:33" ht="13" thickBot="1" x14ac:dyDescent="0.3">
      <c r="B4" s="750"/>
      <c r="C4" s="750"/>
      <c r="D4" s="750"/>
      <c r="E4" s="750"/>
      <c r="F4" s="750"/>
      <c r="G4" s="750"/>
      <c r="H4" s="750"/>
      <c r="I4" s="750"/>
      <c r="J4" s="750"/>
      <c r="K4" s="769"/>
      <c r="L4" s="769"/>
      <c r="AA4" s="16"/>
    </row>
    <row r="5" spans="2:33" ht="13.5" thickBot="1" x14ac:dyDescent="0.35">
      <c r="B5" s="755" t="s">
        <v>64</v>
      </c>
      <c r="C5" s="755"/>
      <c r="D5" s="756"/>
      <c r="E5" s="806" t="s">
        <v>181</v>
      </c>
      <c r="F5" s="806"/>
      <c r="G5" s="806"/>
      <c r="H5" s="806"/>
      <c r="I5" s="806"/>
      <c r="J5" s="806"/>
      <c r="K5" s="691"/>
      <c r="L5" s="555"/>
      <c r="AA5" s="4"/>
    </row>
    <row r="6" spans="2:33" ht="13.5" thickTop="1" x14ac:dyDescent="0.3">
      <c r="B6" s="757"/>
      <c r="C6" s="757"/>
      <c r="D6" s="758"/>
      <c r="E6" s="753" t="s">
        <v>62</v>
      </c>
      <c r="F6" s="753"/>
      <c r="G6" s="753"/>
      <c r="H6" s="502"/>
      <c r="I6" s="724" t="s">
        <v>63</v>
      </c>
      <c r="J6" s="502"/>
      <c r="K6" s="502"/>
      <c r="L6" s="754"/>
      <c r="O6" s="764" t="s">
        <v>314</v>
      </c>
      <c r="P6" s="764"/>
      <c r="Q6" s="764"/>
      <c r="R6" s="764"/>
      <c r="S6" s="764"/>
      <c r="T6" s="764"/>
      <c r="U6" s="764"/>
      <c r="V6" s="764"/>
      <c r="W6" s="764"/>
      <c r="X6" s="764"/>
      <c r="Y6" s="768"/>
      <c r="Z6" s="768"/>
      <c r="AA6" s="4"/>
      <c r="AC6" s="749" t="s">
        <v>319</v>
      </c>
      <c r="AD6" s="749"/>
      <c r="AE6" s="749"/>
      <c r="AF6" s="749"/>
      <c r="AG6" s="749"/>
    </row>
    <row r="7" spans="2:33" ht="13" thickBot="1" x14ac:dyDescent="0.3">
      <c r="B7" s="793" t="s">
        <v>90</v>
      </c>
      <c r="C7" s="512"/>
      <c r="D7" s="106" t="s">
        <v>89</v>
      </c>
      <c r="E7" s="809" t="s">
        <v>39</v>
      </c>
      <c r="F7" s="747" t="s">
        <v>80</v>
      </c>
      <c r="G7" s="747" t="s">
        <v>188</v>
      </c>
      <c r="H7" s="747" t="s">
        <v>189</v>
      </c>
      <c r="I7" s="809" t="s">
        <v>39</v>
      </c>
      <c r="J7" s="747" t="s">
        <v>80</v>
      </c>
      <c r="K7" s="747" t="s">
        <v>188</v>
      </c>
      <c r="L7" s="811" t="s">
        <v>189</v>
      </c>
      <c r="O7" s="750"/>
      <c r="P7" s="750"/>
      <c r="Q7" s="750"/>
      <c r="R7" s="750"/>
      <c r="S7" s="750"/>
      <c r="T7" s="750"/>
      <c r="U7" s="750"/>
      <c r="V7" s="750"/>
      <c r="W7" s="750"/>
      <c r="X7" s="750"/>
      <c r="Y7" s="769"/>
      <c r="Z7" s="769"/>
      <c r="AA7" s="26"/>
      <c r="AC7" s="750"/>
      <c r="AD7" s="750"/>
      <c r="AE7" s="750"/>
      <c r="AF7" s="750"/>
      <c r="AG7" s="750"/>
    </row>
    <row r="8" spans="2:33" ht="13" x14ac:dyDescent="0.3">
      <c r="B8" s="626"/>
      <c r="C8" s="626"/>
      <c r="D8" s="626"/>
      <c r="E8" s="810"/>
      <c r="F8" s="748"/>
      <c r="G8" s="748"/>
      <c r="H8" s="748"/>
      <c r="I8" s="810"/>
      <c r="J8" s="748"/>
      <c r="K8" s="748"/>
      <c r="L8" s="812"/>
      <c r="O8" s="770" t="s">
        <v>55</v>
      </c>
      <c r="P8" s="772" t="s">
        <v>8</v>
      </c>
      <c r="Q8" s="773"/>
      <c r="R8" s="773"/>
      <c r="S8" s="773"/>
      <c r="T8" s="773"/>
      <c r="U8" s="773"/>
      <c r="V8" s="773"/>
      <c r="W8" s="773"/>
      <c r="X8" s="773"/>
      <c r="Y8" s="600"/>
      <c r="Z8" s="600"/>
      <c r="AA8" s="26"/>
      <c r="AC8" s="749" t="s">
        <v>204</v>
      </c>
      <c r="AD8" s="759"/>
      <c r="AE8" s="775" t="s">
        <v>205</v>
      </c>
      <c r="AF8" s="776"/>
      <c r="AG8" s="776"/>
    </row>
    <row r="9" spans="2:33" ht="13" x14ac:dyDescent="0.3">
      <c r="B9" s="723" t="s">
        <v>182</v>
      </c>
      <c r="C9" s="774"/>
      <c r="D9" s="774"/>
      <c r="E9" s="62">
        <v>8.9999999999999993E-3</v>
      </c>
      <c r="F9" s="62">
        <v>2.9000000000000001E-2</v>
      </c>
      <c r="G9" s="62">
        <v>4.2999999999999997E-2</v>
      </c>
      <c r="H9" s="3">
        <v>1E-3</v>
      </c>
      <c r="I9" s="100">
        <v>8.9999999999999993E-3</v>
      </c>
      <c r="J9" s="107">
        <v>2.9000000000000001E-2</v>
      </c>
      <c r="K9" s="107">
        <v>4.2999999999999997E-2</v>
      </c>
      <c r="L9" s="100">
        <v>1E-3</v>
      </c>
      <c r="O9" s="771"/>
      <c r="P9" s="19">
        <v>0</v>
      </c>
      <c r="Q9" s="19">
        <v>1</v>
      </c>
      <c r="R9" s="19">
        <v>2</v>
      </c>
      <c r="S9" s="19">
        <v>3</v>
      </c>
      <c r="T9" s="19">
        <v>4</v>
      </c>
      <c r="U9" s="19">
        <v>5</v>
      </c>
      <c r="V9" s="19">
        <v>6</v>
      </c>
      <c r="W9" s="19">
        <v>7</v>
      </c>
      <c r="X9" s="11">
        <v>8</v>
      </c>
      <c r="Y9" s="19">
        <v>9</v>
      </c>
      <c r="Z9" s="11">
        <v>10</v>
      </c>
      <c r="AA9" s="26"/>
      <c r="AC9" s="760"/>
      <c r="AD9" s="761"/>
      <c r="AE9" s="777"/>
      <c r="AF9" s="778"/>
      <c r="AG9" s="778"/>
    </row>
    <row r="10" spans="2:33" x14ac:dyDescent="0.25">
      <c r="B10" s="723" t="s">
        <v>183</v>
      </c>
      <c r="C10" s="774"/>
      <c r="D10" s="774"/>
      <c r="E10" s="3">
        <v>9.8000000000000004E-2</v>
      </c>
      <c r="F10" s="3">
        <v>4.8000000000000001E-2</v>
      </c>
      <c r="G10" s="3">
        <v>4.3999999999999997E-2</v>
      </c>
      <c r="H10" s="3">
        <v>0.12</v>
      </c>
      <c r="I10" s="100">
        <v>9.8000000000000004E-2</v>
      </c>
      <c r="J10" s="100">
        <v>4.8000000000000001E-2</v>
      </c>
      <c r="K10" s="100">
        <v>4.3999999999999997E-2</v>
      </c>
      <c r="L10" s="100">
        <v>0.12</v>
      </c>
      <c r="O10" s="23" t="s">
        <v>67</v>
      </c>
      <c r="P10" s="12">
        <v>1</v>
      </c>
      <c r="Q10" s="12">
        <v>1</v>
      </c>
      <c r="R10" s="12">
        <v>1</v>
      </c>
      <c r="S10" s="12">
        <v>1</v>
      </c>
      <c r="T10" s="12">
        <v>1</v>
      </c>
      <c r="U10" s="12">
        <f>+(T10+V10)/2</f>
        <v>1</v>
      </c>
      <c r="V10" s="12">
        <v>1</v>
      </c>
      <c r="W10" s="12">
        <f>+(V10+X10)/2</f>
        <v>1</v>
      </c>
      <c r="X10" s="13">
        <v>1</v>
      </c>
      <c r="Y10" s="12">
        <f>+(X10+Z10)/2</f>
        <v>1</v>
      </c>
      <c r="Z10" s="13">
        <v>1</v>
      </c>
      <c r="AA10" s="26"/>
      <c r="AC10" s="763">
        <v>0</v>
      </c>
      <c r="AD10" s="519"/>
      <c r="AE10" s="762">
        <v>1.18</v>
      </c>
      <c r="AF10" s="727"/>
      <c r="AG10" s="727"/>
    </row>
    <row r="11" spans="2:33" x14ac:dyDescent="0.25">
      <c r="B11" s="723" t="s">
        <v>184</v>
      </c>
      <c r="C11" s="774"/>
      <c r="D11" s="774"/>
      <c r="E11" s="3">
        <v>0.246</v>
      </c>
      <c r="F11" s="3">
        <v>0.30499999999999999</v>
      </c>
      <c r="G11" s="3">
        <v>0.217</v>
      </c>
      <c r="H11" s="3">
        <v>0.22</v>
      </c>
      <c r="I11" s="100">
        <v>0.246</v>
      </c>
      <c r="J11" s="100">
        <v>0.30499999999999999</v>
      </c>
      <c r="K11" s="100">
        <v>0.217</v>
      </c>
      <c r="L11" s="100">
        <v>0.22</v>
      </c>
      <c r="O11" s="23" t="s">
        <v>68</v>
      </c>
      <c r="P11" s="12">
        <v>1</v>
      </c>
      <c r="Q11" s="12">
        <v>1</v>
      </c>
      <c r="R11" s="12">
        <v>1.01</v>
      </c>
      <c r="S11" s="12">
        <v>1.01</v>
      </c>
      <c r="T11" s="12">
        <v>1.01</v>
      </c>
      <c r="U11" s="12">
        <f>+(T11+V11)/2</f>
        <v>1.0150000000000001</v>
      </c>
      <c r="V11" s="12">
        <v>1.02</v>
      </c>
      <c r="W11" s="12">
        <f>+(V11+X11)/2</f>
        <v>1.02</v>
      </c>
      <c r="X11" s="13">
        <v>1.02</v>
      </c>
      <c r="Y11" s="12">
        <f>+(X11+Z11)/2</f>
        <v>1.0249999999999999</v>
      </c>
      <c r="Z11" s="13">
        <v>1.03</v>
      </c>
      <c r="AC11" s="519">
        <v>1</v>
      </c>
      <c r="AD11" s="512"/>
      <c r="AE11" s="762">
        <f>+(AE10+AE12)/2</f>
        <v>1.1549999999999998</v>
      </c>
      <c r="AF11" s="727"/>
      <c r="AG11" s="727"/>
    </row>
    <row r="12" spans="2:33" x14ac:dyDescent="0.25">
      <c r="B12" s="723" t="s">
        <v>185</v>
      </c>
      <c r="C12" s="774"/>
      <c r="D12" s="774"/>
      <c r="E12" s="3">
        <v>0.35599999999999998</v>
      </c>
      <c r="F12" s="3">
        <v>0.35199999999999998</v>
      </c>
      <c r="G12" s="3">
        <v>0.34799999999999998</v>
      </c>
      <c r="H12" s="3">
        <v>0.35799999999999998</v>
      </c>
      <c r="I12" s="100">
        <v>0.35599999999999998</v>
      </c>
      <c r="J12" s="100">
        <v>0.35199999999999998</v>
      </c>
      <c r="K12" s="100">
        <v>0.34799999999999998</v>
      </c>
      <c r="L12" s="100">
        <v>0.35799999999999998</v>
      </c>
      <c r="O12" s="23" t="s">
        <v>69</v>
      </c>
      <c r="P12" s="12">
        <v>1</v>
      </c>
      <c r="Q12" s="12">
        <v>1.01</v>
      </c>
      <c r="R12" s="12">
        <v>1.02</v>
      </c>
      <c r="S12" s="12">
        <v>1.02</v>
      </c>
      <c r="T12" s="12">
        <v>1.03</v>
      </c>
      <c r="U12" s="12">
        <f>+(T12+V12)/2</f>
        <v>1.0350000000000001</v>
      </c>
      <c r="V12" s="12">
        <v>1.04</v>
      </c>
      <c r="W12" s="12">
        <f>+(V12+X12)/2</f>
        <v>1.05</v>
      </c>
      <c r="X12" s="13">
        <v>1.06</v>
      </c>
      <c r="Y12" s="63">
        <f>+(X12+Z12)/2</f>
        <v>1.0649999999999999</v>
      </c>
      <c r="Z12" s="64">
        <v>1.07</v>
      </c>
      <c r="AC12" s="767">
        <v>2</v>
      </c>
      <c r="AD12" s="512"/>
      <c r="AE12" s="762">
        <v>1.1299999999999999</v>
      </c>
      <c r="AF12" s="727"/>
      <c r="AG12" s="727"/>
    </row>
    <row r="13" spans="2:33" ht="13" thickBot="1" x14ac:dyDescent="0.3">
      <c r="B13" s="723" t="s">
        <v>186</v>
      </c>
      <c r="C13" s="774"/>
      <c r="D13" s="774"/>
      <c r="E13" s="3">
        <v>0.23799999999999999</v>
      </c>
      <c r="F13" s="3">
        <v>0.23799999999999999</v>
      </c>
      <c r="G13" s="3">
        <v>0.30399999999999999</v>
      </c>
      <c r="H13" s="3">
        <v>0.23699999999999999</v>
      </c>
      <c r="I13" s="100">
        <v>0.23799999999999999</v>
      </c>
      <c r="J13" s="100">
        <v>0.23799999999999999</v>
      </c>
      <c r="K13" s="100">
        <v>0.30399999999999999</v>
      </c>
      <c r="L13" s="100">
        <v>0.23699999999999999</v>
      </c>
      <c r="O13" s="24" t="s">
        <v>70</v>
      </c>
      <c r="P13" s="14">
        <v>1</v>
      </c>
      <c r="Q13" s="14">
        <v>1.01</v>
      </c>
      <c r="R13" s="14">
        <v>1.03</v>
      </c>
      <c r="S13" s="14">
        <v>1.04</v>
      </c>
      <c r="T13" s="14">
        <v>1.05</v>
      </c>
      <c r="U13" s="12">
        <f>+(T13+V13)/2</f>
        <v>1.0649999999999999</v>
      </c>
      <c r="V13" s="14">
        <v>1.08</v>
      </c>
      <c r="W13" s="12">
        <f>+(V13+X13)/2</f>
        <v>1.0950000000000002</v>
      </c>
      <c r="X13" s="15">
        <v>1.1100000000000001</v>
      </c>
      <c r="Y13" s="14">
        <f>+(X13+Z13)/2</f>
        <v>1.125</v>
      </c>
      <c r="Z13" s="15">
        <v>1.1399999999999999</v>
      </c>
      <c r="AC13" s="519">
        <v>3</v>
      </c>
      <c r="AD13" s="512"/>
      <c r="AE13" s="762">
        <f>+(AE12+AE14)/2</f>
        <v>1.1099999999999999</v>
      </c>
      <c r="AF13" s="727"/>
      <c r="AG13" s="727"/>
    </row>
    <row r="14" spans="2:33" ht="13" thickBot="1" x14ac:dyDescent="0.3">
      <c r="B14" s="807" t="s">
        <v>187</v>
      </c>
      <c r="C14" s="808"/>
      <c r="D14" s="808"/>
      <c r="E14" s="47">
        <v>5.2999999999999999E-2</v>
      </c>
      <c r="F14" s="47">
        <v>2.8000000000000001E-2</v>
      </c>
      <c r="G14" s="47">
        <v>4.3999999999999997E-2</v>
      </c>
      <c r="H14" s="47">
        <v>6.4000000000000001E-2</v>
      </c>
      <c r="I14" s="108">
        <v>5.2999999999999999E-2</v>
      </c>
      <c r="J14" s="108">
        <v>2.8000000000000001E-2</v>
      </c>
      <c r="K14" s="108">
        <v>4.3999999999999997E-2</v>
      </c>
      <c r="L14" s="108">
        <v>6.4000000000000001E-2</v>
      </c>
      <c r="O14" s="803" t="s">
        <v>86</v>
      </c>
      <c r="P14" s="804"/>
      <c r="Q14" s="804"/>
      <c r="R14" s="804"/>
      <c r="S14" s="804"/>
      <c r="T14" s="804"/>
      <c r="U14" s="804"/>
      <c r="V14" s="804"/>
      <c r="W14" s="804"/>
      <c r="X14" s="804"/>
      <c r="Y14" s="804"/>
      <c r="Z14" s="804"/>
      <c r="AC14" s="767">
        <v>4</v>
      </c>
      <c r="AD14" s="512"/>
      <c r="AE14" s="762">
        <v>1.0900000000000001</v>
      </c>
      <c r="AF14" s="727"/>
      <c r="AG14" s="727"/>
    </row>
    <row r="15" spans="2:33" ht="13.5" thickTop="1" thickBot="1" x14ac:dyDescent="0.3">
      <c r="B15" s="751" t="s">
        <v>207</v>
      </c>
      <c r="C15" s="752"/>
      <c r="D15" s="752"/>
      <c r="E15" s="79">
        <v>0.27</v>
      </c>
      <c r="F15" s="79"/>
      <c r="G15" s="79"/>
      <c r="H15" s="79"/>
      <c r="I15" s="104">
        <v>0.33</v>
      </c>
      <c r="J15" s="104"/>
      <c r="K15" s="104"/>
      <c r="L15" s="105"/>
      <c r="M15" s="43"/>
      <c r="O15" s="805"/>
      <c r="P15" s="805"/>
      <c r="Q15" s="805"/>
      <c r="R15" s="805"/>
      <c r="S15" s="805"/>
      <c r="T15" s="805"/>
      <c r="U15" s="805"/>
      <c r="V15" s="805"/>
      <c r="W15" s="805"/>
      <c r="X15" s="805"/>
      <c r="Y15" s="805"/>
      <c r="Z15" s="805"/>
      <c r="AC15" s="519">
        <v>5</v>
      </c>
      <c r="AD15" s="512"/>
      <c r="AE15" s="762">
        <f>+(AE14+AE16)/2</f>
        <v>1.0649999999999999</v>
      </c>
      <c r="AF15" s="727"/>
      <c r="AG15" s="727"/>
    </row>
    <row r="16" spans="2:33" x14ac:dyDescent="0.25">
      <c r="B16" s="568" t="s">
        <v>154</v>
      </c>
      <c r="C16" s="569"/>
      <c r="D16" s="569"/>
      <c r="E16" s="569"/>
      <c r="F16" s="569"/>
      <c r="G16" s="569"/>
      <c r="H16" s="569"/>
      <c r="I16" s="569"/>
      <c r="J16" s="569"/>
      <c r="K16" s="569"/>
      <c r="L16" s="569"/>
      <c r="AC16" s="767">
        <v>6</v>
      </c>
      <c r="AD16" s="512"/>
      <c r="AE16" s="762">
        <v>1.04</v>
      </c>
      <c r="AF16" s="727"/>
      <c r="AG16" s="727"/>
    </row>
    <row r="17" spans="2:34" x14ac:dyDescent="0.25">
      <c r="AC17" s="519">
        <v>7</v>
      </c>
      <c r="AD17" s="512"/>
      <c r="AE17" s="762">
        <f>+(AE16+AE18)/2</f>
        <v>1.02</v>
      </c>
      <c r="AF17" s="727"/>
      <c r="AG17" s="727"/>
    </row>
    <row r="18" spans="2:34" x14ac:dyDescent="0.25">
      <c r="AC18" s="767">
        <v>8</v>
      </c>
      <c r="AD18" s="512"/>
      <c r="AE18" s="614">
        <v>1</v>
      </c>
      <c r="AF18" s="512"/>
      <c r="AG18" s="552"/>
    </row>
    <row r="19" spans="2:34" ht="13" thickBot="1" x14ac:dyDescent="0.3">
      <c r="AC19" s="788">
        <v>9</v>
      </c>
      <c r="AD19" s="373"/>
      <c r="AE19" s="614">
        <v>1</v>
      </c>
      <c r="AF19" s="512"/>
      <c r="AG19" s="552"/>
    </row>
    <row r="20" spans="2:34" ht="13.5" thickTop="1" thickBot="1" x14ac:dyDescent="0.3">
      <c r="B20" s="764" t="s">
        <v>855</v>
      </c>
      <c r="C20" s="764"/>
      <c r="D20" s="764"/>
      <c r="E20" s="764"/>
      <c r="F20" s="764"/>
      <c r="G20" s="764"/>
      <c r="H20" s="764"/>
      <c r="I20" s="764"/>
      <c r="J20" s="764"/>
      <c r="K20" s="768"/>
      <c r="L20" s="768"/>
      <c r="O20" s="764" t="s">
        <v>315</v>
      </c>
      <c r="P20" s="765"/>
      <c r="Q20" s="765"/>
      <c r="R20" s="765"/>
      <c r="S20" s="765"/>
      <c r="T20" s="765"/>
      <c r="AC20" s="789">
        <v>10</v>
      </c>
      <c r="AD20" s="790"/>
      <c r="AE20" s="798">
        <v>1</v>
      </c>
      <c r="AF20" s="726"/>
      <c r="AG20" s="801"/>
    </row>
    <row r="21" spans="2:34" ht="13" thickBot="1" x14ac:dyDescent="0.3">
      <c r="B21" s="750"/>
      <c r="C21" s="750"/>
      <c r="D21" s="750"/>
      <c r="E21" s="750"/>
      <c r="F21" s="750"/>
      <c r="G21" s="750"/>
      <c r="H21" s="750"/>
      <c r="I21" s="750"/>
      <c r="J21" s="750"/>
      <c r="K21" s="769"/>
      <c r="L21" s="769"/>
      <c r="O21" s="766"/>
      <c r="P21" s="766"/>
      <c r="Q21" s="766"/>
      <c r="R21" s="766"/>
      <c r="S21" s="766"/>
      <c r="T21" s="766"/>
    </row>
    <row r="22" spans="2:34" ht="13" x14ac:dyDescent="0.3">
      <c r="B22" s="755" t="s">
        <v>64</v>
      </c>
      <c r="C22" s="755"/>
      <c r="D22" s="756"/>
      <c r="E22" s="806" t="s">
        <v>181</v>
      </c>
      <c r="F22" s="806"/>
      <c r="G22" s="806"/>
      <c r="H22" s="806"/>
      <c r="I22" s="806"/>
      <c r="J22" s="806"/>
      <c r="K22" s="691"/>
      <c r="L22" s="555"/>
      <c r="O22" s="117" t="s">
        <v>192</v>
      </c>
      <c r="P22" s="40" t="s">
        <v>295</v>
      </c>
      <c r="Q22" s="40" t="s">
        <v>193</v>
      </c>
      <c r="R22" s="40" t="s">
        <v>194</v>
      </c>
      <c r="S22" s="40" t="s">
        <v>195</v>
      </c>
      <c r="T22" s="118" t="s">
        <v>196</v>
      </c>
    </row>
    <row r="23" spans="2:34" ht="13" x14ac:dyDescent="0.3">
      <c r="B23" s="757"/>
      <c r="C23" s="757"/>
      <c r="D23" s="758"/>
      <c r="E23" s="753" t="s">
        <v>62</v>
      </c>
      <c r="F23" s="753"/>
      <c r="G23" s="753"/>
      <c r="H23" s="502"/>
      <c r="I23" s="724" t="s">
        <v>63</v>
      </c>
      <c r="J23" s="502"/>
      <c r="K23" s="502"/>
      <c r="L23" s="754"/>
      <c r="O23" s="119">
        <v>1.18</v>
      </c>
      <c r="P23" s="12">
        <v>1.1499999999999999</v>
      </c>
      <c r="Q23" s="12">
        <v>1.1200000000000001</v>
      </c>
      <c r="R23" s="12">
        <v>1.0900000000000001</v>
      </c>
      <c r="S23" s="12">
        <v>1.05</v>
      </c>
      <c r="T23" s="13">
        <v>1</v>
      </c>
    </row>
    <row r="24" spans="2:34" ht="13" thickBot="1" x14ac:dyDescent="0.3">
      <c r="B24" s="793" t="s">
        <v>90</v>
      </c>
      <c r="C24" s="512"/>
      <c r="D24" s="98" t="s">
        <v>89</v>
      </c>
      <c r="E24" s="809" t="s">
        <v>39</v>
      </c>
      <c r="F24" s="747" t="s">
        <v>80</v>
      </c>
      <c r="G24" s="747" t="s">
        <v>188</v>
      </c>
      <c r="H24" s="747" t="s">
        <v>189</v>
      </c>
      <c r="I24" s="809" t="s">
        <v>39</v>
      </c>
      <c r="J24" s="747" t="s">
        <v>80</v>
      </c>
      <c r="K24" s="747" t="s">
        <v>188</v>
      </c>
      <c r="L24" s="811" t="s">
        <v>189</v>
      </c>
    </row>
    <row r="25" spans="2:34" ht="13" thickTop="1" x14ac:dyDescent="0.25">
      <c r="B25" s="626"/>
      <c r="C25" s="626"/>
      <c r="D25" s="626"/>
      <c r="E25" s="810"/>
      <c r="F25" s="748"/>
      <c r="G25" s="748"/>
      <c r="H25" s="748"/>
      <c r="I25" s="810"/>
      <c r="J25" s="748"/>
      <c r="K25" s="748"/>
      <c r="L25" s="812"/>
      <c r="AC25" s="795" t="s">
        <v>321</v>
      </c>
      <c r="AD25" s="768"/>
      <c r="AE25" s="768"/>
      <c r="AF25" s="768"/>
    </row>
    <row r="26" spans="2:34" x14ac:dyDescent="0.25">
      <c r="B26" s="723" t="s">
        <v>182</v>
      </c>
      <c r="C26" s="774"/>
      <c r="D26" s="774"/>
      <c r="E26" s="62">
        <v>6.0000000000000001E-3</v>
      </c>
      <c r="F26" s="62">
        <v>1.2999999999999999E-2</v>
      </c>
      <c r="G26" s="62">
        <v>1.7999999999999999E-2</v>
      </c>
      <c r="H26" s="3">
        <v>2E-3</v>
      </c>
      <c r="I26" s="100"/>
      <c r="J26" s="100"/>
      <c r="K26" s="100"/>
      <c r="L26" s="101"/>
      <c r="AC26" s="796"/>
      <c r="AD26" s="796"/>
      <c r="AE26" s="796"/>
      <c r="AF26" s="796"/>
    </row>
    <row r="27" spans="2:34" ht="13" thickBot="1" x14ac:dyDescent="0.3">
      <c r="B27" s="723" t="s">
        <v>183</v>
      </c>
      <c r="C27" s="774"/>
      <c r="D27" s="774"/>
      <c r="E27" s="3">
        <v>4.2999999999999997E-2</v>
      </c>
      <c r="F27" s="3">
        <v>2.7E-2</v>
      </c>
      <c r="G27" s="3">
        <v>2.1999999999999999E-2</v>
      </c>
      <c r="H27" s="3">
        <v>5.2999999999999999E-2</v>
      </c>
      <c r="I27" s="100"/>
      <c r="J27" s="100"/>
      <c r="K27" s="100"/>
      <c r="L27" s="101"/>
      <c r="AC27" s="769"/>
      <c r="AD27" s="769"/>
      <c r="AE27" s="769"/>
      <c r="AF27" s="769"/>
    </row>
    <row r="28" spans="2:34" ht="13.5" thickBot="1" x14ac:dyDescent="0.35">
      <c r="B28" s="723" t="s">
        <v>184</v>
      </c>
      <c r="C28" s="774"/>
      <c r="D28" s="774"/>
      <c r="E28" s="3">
        <v>0.11600000000000001</v>
      </c>
      <c r="F28" s="3">
        <v>0.16300000000000001</v>
      </c>
      <c r="G28" s="3">
        <v>0.114</v>
      </c>
      <c r="H28" s="3">
        <v>8.7999999999999995E-2</v>
      </c>
      <c r="I28" s="100"/>
      <c r="J28" s="100"/>
      <c r="K28" s="100"/>
      <c r="L28" s="101"/>
      <c r="AC28" s="773" t="s">
        <v>279</v>
      </c>
      <c r="AD28" s="773"/>
      <c r="AE28" s="773" t="s">
        <v>205</v>
      </c>
      <c r="AF28" s="773"/>
    </row>
    <row r="29" spans="2:34" x14ac:dyDescent="0.25">
      <c r="B29" s="723" t="s">
        <v>185</v>
      </c>
      <c r="C29" s="774"/>
      <c r="D29" s="774"/>
      <c r="E29" s="3">
        <v>4.2999999999999997E-2</v>
      </c>
      <c r="F29" s="3">
        <v>4.8000000000000001E-2</v>
      </c>
      <c r="G29" s="3">
        <v>4.4999999999999998E-2</v>
      </c>
      <c r="H29" s="3">
        <v>4.1000000000000002E-2</v>
      </c>
      <c r="I29" s="100"/>
      <c r="J29" s="100"/>
      <c r="K29" s="100"/>
      <c r="L29" s="101"/>
      <c r="AC29" s="797">
        <v>10</v>
      </c>
      <c r="AD29" s="732"/>
      <c r="AE29" s="800">
        <v>1.04</v>
      </c>
      <c r="AF29" s="733"/>
      <c r="AH29" s="78"/>
    </row>
    <row r="30" spans="2:34" x14ac:dyDescent="0.25">
      <c r="B30" s="723" t="s">
        <v>186</v>
      </c>
      <c r="C30" s="774"/>
      <c r="D30" s="774"/>
      <c r="E30" s="3">
        <v>0.76800000000000002</v>
      </c>
      <c r="F30" s="3">
        <v>0.72699999999999998</v>
      </c>
      <c r="G30" s="3">
        <v>0.77800000000000002</v>
      </c>
      <c r="H30" s="3">
        <v>0.79200000000000004</v>
      </c>
      <c r="I30" s="100"/>
      <c r="J30" s="100"/>
      <c r="K30" s="100"/>
      <c r="L30" s="101"/>
      <c r="AC30" s="794">
        <v>20</v>
      </c>
      <c r="AD30" s="512"/>
      <c r="AE30" s="614">
        <v>1.02</v>
      </c>
      <c r="AF30" s="762"/>
    </row>
    <row r="31" spans="2:34" ht="13" thickBot="1" x14ac:dyDescent="0.3">
      <c r="B31" s="786" t="s">
        <v>187</v>
      </c>
      <c r="C31" s="802"/>
      <c r="D31" s="802"/>
      <c r="E31" s="48">
        <v>2.4E-2</v>
      </c>
      <c r="F31" s="48">
        <v>2.1999999999999999E-2</v>
      </c>
      <c r="G31" s="48">
        <v>2.3E-2</v>
      </c>
      <c r="H31" s="48">
        <v>2.4E-2</v>
      </c>
      <c r="I31" s="102"/>
      <c r="J31" s="102"/>
      <c r="K31" s="102"/>
      <c r="L31" s="103"/>
      <c r="AC31" s="794">
        <v>30</v>
      </c>
      <c r="AD31" s="512"/>
      <c r="AE31" s="614">
        <v>1</v>
      </c>
      <c r="AF31" s="762"/>
    </row>
    <row r="32" spans="2:34" ht="13.5" thickTop="1" thickBot="1" x14ac:dyDescent="0.3">
      <c r="B32" s="751" t="s">
        <v>207</v>
      </c>
      <c r="C32" s="752"/>
      <c r="D32" s="752"/>
      <c r="E32" s="79">
        <v>0.5</v>
      </c>
      <c r="F32" s="79"/>
      <c r="G32" s="79"/>
      <c r="H32" s="79"/>
      <c r="I32" s="104">
        <v>0.33</v>
      </c>
      <c r="J32" s="104"/>
      <c r="K32" s="104"/>
      <c r="L32" s="105"/>
      <c r="AC32" s="794">
        <v>40</v>
      </c>
      <c r="AD32" s="512"/>
      <c r="AE32" s="614">
        <v>0.99</v>
      </c>
      <c r="AF32" s="762"/>
    </row>
    <row r="33" spans="2:32" x14ac:dyDescent="0.25">
      <c r="B33" s="568" t="s">
        <v>154</v>
      </c>
      <c r="C33" s="569"/>
      <c r="D33" s="569"/>
      <c r="E33" s="569"/>
      <c r="F33" s="569"/>
      <c r="G33" s="569"/>
      <c r="H33" s="569"/>
      <c r="I33" s="569"/>
      <c r="J33" s="569"/>
      <c r="K33" s="569"/>
      <c r="L33" s="569"/>
      <c r="AC33" s="794">
        <v>50</v>
      </c>
      <c r="AD33" s="512"/>
      <c r="AE33" s="614">
        <v>0.97</v>
      </c>
      <c r="AF33" s="762"/>
    </row>
    <row r="34" spans="2:32" x14ac:dyDescent="0.25">
      <c r="B34" s="57"/>
      <c r="E34" s="1"/>
      <c r="F34" s="1"/>
      <c r="G34" s="1"/>
      <c r="H34" s="1"/>
      <c r="I34" s="10"/>
      <c r="J34" s="10"/>
      <c r="K34" s="10"/>
      <c r="L34" s="10"/>
      <c r="AC34" s="794">
        <v>60</v>
      </c>
      <c r="AD34" s="502"/>
      <c r="AE34" s="614">
        <v>0.96</v>
      </c>
      <c r="AF34" s="754"/>
    </row>
    <row r="35" spans="2:32" x14ac:dyDescent="0.25">
      <c r="B35" s="57"/>
      <c r="E35" s="1"/>
      <c r="F35" s="10"/>
      <c r="G35" s="1"/>
      <c r="H35" s="1"/>
      <c r="I35" s="10"/>
      <c r="J35" s="10"/>
      <c r="K35" s="10"/>
      <c r="L35" s="10"/>
      <c r="AC35" s="794">
        <v>70</v>
      </c>
      <c r="AD35" s="502"/>
      <c r="AE35" s="614">
        <v>0.96</v>
      </c>
      <c r="AF35" s="754"/>
    </row>
    <row r="36" spans="2:32" ht="13" thickBot="1" x14ac:dyDescent="0.3">
      <c r="AC36" s="794">
        <v>80</v>
      </c>
      <c r="AD36" s="502"/>
      <c r="AE36" s="614">
        <v>0.95</v>
      </c>
      <c r="AF36" s="754"/>
    </row>
    <row r="37" spans="2:32" ht="13" thickTop="1" x14ac:dyDescent="0.25">
      <c r="B37" s="764" t="s">
        <v>856</v>
      </c>
      <c r="C37" s="764"/>
      <c r="D37" s="764"/>
      <c r="E37" s="764"/>
      <c r="F37" s="764"/>
      <c r="G37" s="764"/>
      <c r="H37" s="764"/>
      <c r="I37" s="764"/>
      <c r="J37" s="764"/>
      <c r="K37" s="768"/>
      <c r="L37" s="768"/>
      <c r="AC37" s="794">
        <v>90</v>
      </c>
      <c r="AD37" s="502"/>
      <c r="AE37" s="614">
        <v>0.94</v>
      </c>
      <c r="AF37" s="754"/>
    </row>
    <row r="38" spans="2:32" ht="13" thickBot="1" x14ac:dyDescent="0.3">
      <c r="B38" s="750"/>
      <c r="C38" s="750"/>
      <c r="D38" s="750"/>
      <c r="E38" s="750"/>
      <c r="F38" s="750"/>
      <c r="G38" s="750"/>
      <c r="H38" s="750"/>
      <c r="I38" s="750"/>
      <c r="J38" s="750"/>
      <c r="K38" s="769"/>
      <c r="L38" s="769"/>
      <c r="AC38" s="791">
        <v>100</v>
      </c>
      <c r="AD38" s="587"/>
      <c r="AE38" s="798">
        <v>0.94</v>
      </c>
      <c r="AF38" s="799"/>
    </row>
    <row r="39" spans="2:32" ht="13" x14ac:dyDescent="0.3">
      <c r="B39" s="783" t="s">
        <v>85</v>
      </c>
      <c r="C39" s="784"/>
      <c r="D39" s="784"/>
      <c r="E39" s="785" t="s">
        <v>62</v>
      </c>
      <c r="F39" s="785"/>
      <c r="G39" s="785"/>
      <c r="H39" s="785"/>
      <c r="I39" s="785" t="s">
        <v>63</v>
      </c>
      <c r="J39" s="691"/>
      <c r="K39" s="691"/>
      <c r="L39" s="555"/>
      <c r="AC39" s="78"/>
      <c r="AF39" s="26"/>
    </row>
    <row r="40" spans="2:32" x14ac:dyDescent="0.25">
      <c r="B40" s="679"/>
      <c r="C40" s="678"/>
      <c r="D40" s="678"/>
      <c r="E40" s="696" t="s">
        <v>197</v>
      </c>
      <c r="F40" s="782"/>
      <c r="G40" s="696" t="s">
        <v>84</v>
      </c>
      <c r="H40" s="698"/>
      <c r="I40" s="696" t="s">
        <v>197</v>
      </c>
      <c r="J40" s="782"/>
      <c r="K40" s="696" t="s">
        <v>84</v>
      </c>
      <c r="L40" s="792"/>
      <c r="AC40" s="22"/>
    </row>
    <row r="41" spans="2:32" x14ac:dyDescent="0.25">
      <c r="B41" s="793" t="s">
        <v>90</v>
      </c>
      <c r="C41" s="512"/>
      <c r="D41" s="99" t="s">
        <v>89</v>
      </c>
      <c r="E41" s="782"/>
      <c r="F41" s="782"/>
      <c r="G41" s="698"/>
      <c r="H41" s="698"/>
      <c r="I41" s="782"/>
      <c r="J41" s="782"/>
      <c r="K41" s="698"/>
      <c r="L41" s="792"/>
    </row>
    <row r="42" spans="2:32" x14ac:dyDescent="0.25">
      <c r="B42" s="679"/>
      <c r="C42" s="502"/>
      <c r="D42" s="502"/>
      <c r="E42" s="698"/>
      <c r="F42" s="698"/>
      <c r="G42" s="698"/>
      <c r="H42" s="698"/>
      <c r="I42" s="698"/>
      <c r="J42" s="698"/>
      <c r="K42" s="698"/>
      <c r="L42" s="792"/>
    </row>
    <row r="43" spans="2:32" x14ac:dyDescent="0.25">
      <c r="B43" s="501"/>
      <c r="C43" s="502"/>
      <c r="D43" s="502"/>
      <c r="E43" s="694" t="s">
        <v>198</v>
      </c>
      <c r="F43" s="694" t="s">
        <v>199</v>
      </c>
      <c r="G43" s="694" t="s">
        <v>200</v>
      </c>
      <c r="H43" s="675"/>
      <c r="I43" s="694" t="s">
        <v>198</v>
      </c>
      <c r="J43" s="694" t="s">
        <v>199</v>
      </c>
      <c r="K43" s="694" t="s">
        <v>200</v>
      </c>
      <c r="L43" s="779"/>
    </row>
    <row r="44" spans="2:32" x14ac:dyDescent="0.25">
      <c r="B44" s="501"/>
      <c r="C44" s="502"/>
      <c r="D44" s="502"/>
      <c r="E44" s="675"/>
      <c r="F44" s="675"/>
      <c r="G44" s="675"/>
      <c r="H44" s="675"/>
      <c r="I44" s="675"/>
      <c r="J44" s="675"/>
      <c r="K44" s="675"/>
      <c r="L44" s="779"/>
    </row>
    <row r="45" spans="2:32" ht="13" thickBot="1" x14ac:dyDescent="0.3">
      <c r="B45" s="786" t="s">
        <v>201</v>
      </c>
      <c r="C45" s="726"/>
      <c r="D45" s="726"/>
      <c r="E45" s="74">
        <v>0.36099999999999999</v>
      </c>
      <c r="F45" s="74">
        <v>0.63900000000000001</v>
      </c>
      <c r="G45" s="787">
        <v>0.255</v>
      </c>
      <c r="H45" s="726"/>
      <c r="I45" s="102"/>
      <c r="J45" s="102"/>
      <c r="K45" s="780"/>
      <c r="L45" s="781"/>
    </row>
    <row r="46" spans="2:32" x14ac:dyDescent="0.25">
      <c r="B46" s="66"/>
      <c r="C46" s="67"/>
      <c r="D46" s="67"/>
      <c r="E46" s="68"/>
      <c r="F46" s="33"/>
      <c r="G46" s="33"/>
      <c r="H46" s="33"/>
      <c r="I46" s="33"/>
      <c r="J46" s="33"/>
      <c r="K46" s="33"/>
      <c r="L46" s="33"/>
    </row>
    <row r="47" spans="2:32" x14ac:dyDescent="0.25">
      <c r="B47" s="66"/>
      <c r="C47" s="67"/>
      <c r="D47" s="67"/>
      <c r="G47" s="33"/>
      <c r="H47" s="33"/>
      <c r="I47" s="33"/>
      <c r="J47" s="33"/>
      <c r="K47" s="33"/>
      <c r="L47" s="33"/>
    </row>
    <row r="48" spans="2:32" ht="13" thickBot="1" x14ac:dyDescent="0.3"/>
    <row r="49" spans="2:26" ht="13" thickTop="1" x14ac:dyDescent="0.25">
      <c r="B49" s="764" t="s">
        <v>857</v>
      </c>
      <c r="C49" s="764"/>
      <c r="D49" s="764"/>
      <c r="E49" s="764"/>
      <c r="F49" s="764"/>
      <c r="G49" s="764"/>
      <c r="H49" s="764"/>
      <c r="I49" s="764"/>
      <c r="J49" s="764"/>
      <c r="K49" s="768"/>
      <c r="L49" s="768"/>
    </row>
    <row r="50" spans="2:26" ht="13" thickBot="1" x14ac:dyDescent="0.3">
      <c r="B50" s="750"/>
      <c r="C50" s="750"/>
      <c r="D50" s="750"/>
      <c r="E50" s="750"/>
      <c r="F50" s="750"/>
      <c r="G50" s="750"/>
      <c r="H50" s="750"/>
      <c r="I50" s="750"/>
      <c r="J50" s="750"/>
      <c r="K50" s="769"/>
      <c r="L50" s="769"/>
    </row>
    <row r="51" spans="2:26" ht="13" x14ac:dyDescent="0.3">
      <c r="B51" s="783" t="s">
        <v>85</v>
      </c>
      <c r="C51" s="784"/>
      <c r="D51" s="784"/>
      <c r="E51" s="785" t="s">
        <v>62</v>
      </c>
      <c r="F51" s="785"/>
      <c r="G51" s="785"/>
      <c r="H51" s="785"/>
      <c r="I51" s="785" t="s">
        <v>63</v>
      </c>
      <c r="J51" s="691"/>
      <c r="K51" s="691"/>
      <c r="L51" s="555"/>
    </row>
    <row r="52" spans="2:26" ht="13" x14ac:dyDescent="0.3">
      <c r="B52" s="679"/>
      <c r="C52" s="678"/>
      <c r="D52" s="678"/>
      <c r="E52" s="696" t="s">
        <v>197</v>
      </c>
      <c r="F52" s="782"/>
      <c r="G52" s="696" t="s">
        <v>84</v>
      </c>
      <c r="H52" s="698"/>
      <c r="I52" s="696" t="s">
        <v>197</v>
      </c>
      <c r="J52" s="782"/>
      <c r="K52" s="696" t="s">
        <v>84</v>
      </c>
      <c r="L52" s="792"/>
      <c r="U52" s="116"/>
      <c r="V52" s="116"/>
      <c r="W52" s="116"/>
      <c r="X52" s="116"/>
      <c r="Y52" s="16"/>
      <c r="Z52" s="16"/>
    </row>
    <row r="53" spans="2:26" ht="13" x14ac:dyDescent="0.3">
      <c r="B53" s="793" t="s">
        <v>90</v>
      </c>
      <c r="C53" s="512"/>
      <c r="D53" s="99" t="s">
        <v>89</v>
      </c>
      <c r="E53" s="782"/>
      <c r="F53" s="782"/>
      <c r="G53" s="698"/>
      <c r="H53" s="698"/>
      <c r="I53" s="782"/>
      <c r="J53" s="782"/>
      <c r="K53" s="698"/>
      <c r="L53" s="792"/>
      <c r="U53" s="116"/>
      <c r="V53" s="116"/>
      <c r="W53" s="116"/>
      <c r="X53" s="116"/>
      <c r="Y53" s="16"/>
      <c r="Z53" s="16"/>
    </row>
    <row r="54" spans="2:26" x14ac:dyDescent="0.25">
      <c r="B54" s="679"/>
      <c r="C54" s="502"/>
      <c r="D54" s="502"/>
      <c r="E54" s="698"/>
      <c r="F54" s="698"/>
      <c r="G54" s="698"/>
      <c r="H54" s="698"/>
      <c r="I54" s="698"/>
      <c r="J54" s="698"/>
      <c r="K54" s="698"/>
      <c r="L54" s="792"/>
    </row>
    <row r="55" spans="2:26" x14ac:dyDescent="0.25">
      <c r="B55" s="501"/>
      <c r="C55" s="502"/>
      <c r="D55" s="502"/>
      <c r="E55" s="694" t="s">
        <v>198</v>
      </c>
      <c r="F55" s="694" t="s">
        <v>199</v>
      </c>
      <c r="G55" s="694" t="s">
        <v>200</v>
      </c>
      <c r="H55" s="675"/>
      <c r="I55" s="694" t="s">
        <v>198</v>
      </c>
      <c r="J55" s="694" t="s">
        <v>199</v>
      </c>
      <c r="K55" s="694" t="s">
        <v>200</v>
      </c>
      <c r="L55" s="779"/>
    </row>
    <row r="56" spans="2:26" x14ac:dyDescent="0.25">
      <c r="B56" s="501"/>
      <c r="C56" s="502"/>
      <c r="D56" s="502"/>
      <c r="E56" s="675"/>
      <c r="F56" s="675"/>
      <c r="G56" s="675"/>
      <c r="H56" s="675"/>
      <c r="I56" s="675"/>
      <c r="J56" s="675"/>
      <c r="K56" s="675"/>
      <c r="L56" s="779"/>
      <c r="M56" s="43"/>
    </row>
    <row r="57" spans="2:26" ht="13" thickBot="1" x14ac:dyDescent="0.3">
      <c r="B57" s="786" t="s">
        <v>206</v>
      </c>
      <c r="C57" s="726"/>
      <c r="D57" s="726"/>
      <c r="E57" s="74">
        <v>0.32300000000000001</v>
      </c>
      <c r="F57" s="74">
        <v>0.67700000000000005</v>
      </c>
      <c r="G57" s="787">
        <v>0.42599999999999999</v>
      </c>
      <c r="H57" s="726"/>
      <c r="I57" s="102"/>
      <c r="J57" s="102"/>
      <c r="K57" s="780"/>
      <c r="L57" s="781"/>
    </row>
    <row r="58" spans="2:26" x14ac:dyDescent="0.25">
      <c r="B58" s="1"/>
      <c r="C58" s="1"/>
      <c r="D58" s="1"/>
      <c r="E58" s="1"/>
      <c r="F58" s="1"/>
      <c r="G58" s="1"/>
      <c r="H58" s="1"/>
      <c r="I58" s="1"/>
      <c r="J58" s="1"/>
      <c r="K58" s="1"/>
      <c r="L58" s="1"/>
    </row>
    <row r="66" spans="2:27" x14ac:dyDescent="0.25">
      <c r="W66" s="17"/>
      <c r="X66" s="17"/>
      <c r="Y66" s="17"/>
      <c r="Z66" s="17"/>
      <c r="AA66" s="17"/>
    </row>
    <row r="70" spans="2:27" x14ac:dyDescent="0.25">
      <c r="B70" s="66"/>
      <c r="C70" s="67"/>
      <c r="D70" s="67"/>
      <c r="G70" s="33"/>
      <c r="H70" s="33"/>
      <c r="I70" s="33"/>
      <c r="J70" s="33"/>
      <c r="K70" s="33"/>
      <c r="L70" s="33"/>
    </row>
    <row r="71" spans="2:27" x14ac:dyDescent="0.25">
      <c r="B71" s="66"/>
      <c r="C71" s="67"/>
      <c r="D71" s="67"/>
      <c r="E71" s="33"/>
      <c r="F71" s="33"/>
      <c r="G71" s="33"/>
      <c r="H71" s="33"/>
      <c r="I71" s="33"/>
      <c r="J71" s="33"/>
      <c r="K71" s="33"/>
      <c r="L71" s="33"/>
    </row>
    <row r="72" spans="2:27" x14ac:dyDescent="0.25">
      <c r="B72" s="66"/>
      <c r="C72" s="67"/>
      <c r="D72" s="67"/>
      <c r="E72" s="33"/>
      <c r="F72" s="33"/>
      <c r="G72" s="33"/>
      <c r="H72" s="33"/>
      <c r="I72" s="33"/>
      <c r="J72" s="33"/>
      <c r="K72" s="33"/>
      <c r="L72" s="33"/>
    </row>
    <row r="73" spans="2:27" x14ac:dyDescent="0.25">
      <c r="B73" s="69"/>
      <c r="C73" s="43"/>
      <c r="D73" s="43"/>
      <c r="E73" s="43"/>
      <c r="F73" s="43"/>
      <c r="G73" s="43"/>
      <c r="H73" s="43"/>
      <c r="I73" s="43"/>
      <c r="J73" s="43"/>
      <c r="K73" s="43"/>
      <c r="L73" s="43"/>
    </row>
    <row r="74" spans="2:27" x14ac:dyDescent="0.25">
      <c r="B74" s="1"/>
      <c r="C74" s="1"/>
      <c r="D74" s="1"/>
      <c r="E74" s="1"/>
      <c r="F74" s="1"/>
      <c r="G74" s="1"/>
      <c r="H74" s="1"/>
      <c r="I74" s="1"/>
      <c r="J74" s="1"/>
      <c r="K74" s="1"/>
      <c r="L74" s="1"/>
    </row>
    <row r="83" spans="2:27" x14ac:dyDescent="0.25">
      <c r="W83" s="76"/>
      <c r="X83" s="76"/>
      <c r="Y83" s="76"/>
      <c r="Z83" s="76"/>
      <c r="AA83" s="76"/>
    </row>
    <row r="84" spans="2:27" x14ac:dyDescent="0.25">
      <c r="B84" s="66"/>
      <c r="C84" s="67"/>
      <c r="D84" s="67"/>
      <c r="E84" s="68"/>
      <c r="F84" s="33"/>
      <c r="G84" s="33"/>
      <c r="H84" s="33"/>
      <c r="I84" s="33"/>
      <c r="J84" s="33"/>
      <c r="K84" s="33"/>
      <c r="L84" s="33"/>
    </row>
  </sheetData>
  <mergeCells count="137">
    <mergeCell ref="B3:L4"/>
    <mergeCell ref="E5:L5"/>
    <mergeCell ref="I6:L6"/>
    <mergeCell ref="E6:H6"/>
    <mergeCell ref="E7:E8"/>
    <mergeCell ref="G45:H45"/>
    <mergeCell ref="E43:E44"/>
    <mergeCell ref="F43:F44"/>
    <mergeCell ref="G43:H44"/>
    <mergeCell ref="B41:C41"/>
    <mergeCell ref="L7:L8"/>
    <mergeCell ref="H7:H8"/>
    <mergeCell ref="B9:D9"/>
    <mergeCell ref="B8:D8"/>
    <mergeCell ref="B7:C7"/>
    <mergeCell ref="B5:D6"/>
    <mergeCell ref="I7:I8"/>
    <mergeCell ref="B32:D32"/>
    <mergeCell ref="E24:E25"/>
    <mergeCell ref="L24:L25"/>
    <mergeCell ref="B25:D25"/>
    <mergeCell ref="B26:D26"/>
    <mergeCell ref="I24:I25"/>
    <mergeCell ref="J24:J25"/>
    <mergeCell ref="B12:D12"/>
    <mergeCell ref="B11:D11"/>
    <mergeCell ref="AE19:AG19"/>
    <mergeCell ref="AE20:AG20"/>
    <mergeCell ref="AC31:AD31"/>
    <mergeCell ref="AE31:AF31"/>
    <mergeCell ref="B29:D29"/>
    <mergeCell ref="B31:D31"/>
    <mergeCell ref="B30:D30"/>
    <mergeCell ref="H24:H25"/>
    <mergeCell ref="AC16:AD16"/>
    <mergeCell ref="AC12:AD12"/>
    <mergeCell ref="O14:Z15"/>
    <mergeCell ref="B28:D28"/>
    <mergeCell ref="E22:L22"/>
    <mergeCell ref="B13:D13"/>
    <mergeCell ref="B14:D14"/>
    <mergeCell ref="B27:D27"/>
    <mergeCell ref="AE14:AG14"/>
    <mergeCell ref="AE15:AG15"/>
    <mergeCell ref="AE16:AG16"/>
    <mergeCell ref="AE12:AG12"/>
    <mergeCell ref="G24:G25"/>
    <mergeCell ref="B24:C24"/>
    <mergeCell ref="AE37:AF37"/>
    <mergeCell ref="AC35:AD35"/>
    <mergeCell ref="AC17:AD17"/>
    <mergeCell ref="AC18:AD18"/>
    <mergeCell ref="AC25:AF27"/>
    <mergeCell ref="AC29:AD29"/>
    <mergeCell ref="AC28:AD28"/>
    <mergeCell ref="AE28:AF28"/>
    <mergeCell ref="AE38:AF38"/>
    <mergeCell ref="AE33:AF33"/>
    <mergeCell ref="AC34:AD34"/>
    <mergeCell ref="AE34:AF34"/>
    <mergeCell ref="AC33:AD33"/>
    <mergeCell ref="AC32:AD32"/>
    <mergeCell ref="AE18:AG18"/>
    <mergeCell ref="AE17:AG17"/>
    <mergeCell ref="AE32:AF32"/>
    <mergeCell ref="AE29:AF29"/>
    <mergeCell ref="AC30:AD30"/>
    <mergeCell ref="AE30:AF30"/>
    <mergeCell ref="AE35:AF35"/>
    <mergeCell ref="AC36:AD36"/>
    <mergeCell ref="AE36:AF36"/>
    <mergeCell ref="AC37:AD37"/>
    <mergeCell ref="AE13:AG13"/>
    <mergeCell ref="K24:K25"/>
    <mergeCell ref="B57:D57"/>
    <mergeCell ref="G57:H57"/>
    <mergeCell ref="K55:L56"/>
    <mergeCell ref="K57:L57"/>
    <mergeCell ref="AC13:AD13"/>
    <mergeCell ref="AC19:AD19"/>
    <mergeCell ref="AC20:AD20"/>
    <mergeCell ref="I43:I44"/>
    <mergeCell ref="AC15:AD15"/>
    <mergeCell ref="AC38:AD38"/>
    <mergeCell ref="I39:L39"/>
    <mergeCell ref="E40:F42"/>
    <mergeCell ref="G40:H42"/>
    <mergeCell ref="K40:L42"/>
    <mergeCell ref="B45:D45"/>
    <mergeCell ref="B42:D44"/>
    <mergeCell ref="I55:I56"/>
    <mergeCell ref="J55:J56"/>
    <mergeCell ref="I52:J54"/>
    <mergeCell ref="K52:L54"/>
    <mergeCell ref="B53:C53"/>
    <mergeCell ref="B54:D56"/>
    <mergeCell ref="E55:E56"/>
    <mergeCell ref="F55:F56"/>
    <mergeCell ref="G55:H56"/>
    <mergeCell ref="B49:L50"/>
    <mergeCell ref="B33:L33"/>
    <mergeCell ref="J43:J44"/>
    <mergeCell ref="K43:L44"/>
    <mergeCell ref="K45:L45"/>
    <mergeCell ref="I40:J42"/>
    <mergeCell ref="B37:L38"/>
    <mergeCell ref="B39:D40"/>
    <mergeCell ref="E39:H39"/>
    <mergeCell ref="B51:D52"/>
    <mergeCell ref="E51:H51"/>
    <mergeCell ref="I51:L51"/>
    <mergeCell ref="E52:F54"/>
    <mergeCell ref="G52:H54"/>
    <mergeCell ref="F24:F25"/>
    <mergeCell ref="AC6:AG7"/>
    <mergeCell ref="B16:L16"/>
    <mergeCell ref="B15:D15"/>
    <mergeCell ref="E23:H23"/>
    <mergeCell ref="I23:L23"/>
    <mergeCell ref="B22:D23"/>
    <mergeCell ref="AC8:AD9"/>
    <mergeCell ref="AE10:AG10"/>
    <mergeCell ref="AE11:AG11"/>
    <mergeCell ref="AC10:AD10"/>
    <mergeCell ref="O20:T21"/>
    <mergeCell ref="AC14:AD14"/>
    <mergeCell ref="O6:Z7"/>
    <mergeCell ref="O8:O9"/>
    <mergeCell ref="P8:Z8"/>
    <mergeCell ref="F7:F8"/>
    <mergeCell ref="B10:D10"/>
    <mergeCell ref="G7:G8"/>
    <mergeCell ref="J7:J8"/>
    <mergeCell ref="K7:K8"/>
    <mergeCell ref="AE8:AG9"/>
    <mergeCell ref="B20:L21"/>
    <mergeCell ref="AC11:AD11"/>
  </mergeCells>
  <dataValidations count="1">
    <dataValidation type="list" allowBlank="1" showInputMessage="1" showErrorMessage="1" sqref="D53 D41 D24 D7" xr:uid="{00000000-0002-0000-0A00-000000000000}">
      <formula1>Local</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1:L45"/>
  <sheetViews>
    <sheetView topLeftCell="A76" workbookViewId="0">
      <selection activeCell="P39" sqref="P39"/>
    </sheetView>
  </sheetViews>
  <sheetFormatPr defaultRowHeight="12.5" x14ac:dyDescent="0.25"/>
  <cols>
    <col min="2" max="28" width="12.7265625" customWidth="1"/>
  </cols>
  <sheetData>
    <row r="1" spans="2:12" ht="13" x14ac:dyDescent="0.3">
      <c r="B1" s="96" t="s">
        <v>284</v>
      </c>
    </row>
    <row r="2" spans="2:12" ht="13" thickBot="1" x14ac:dyDescent="0.3"/>
    <row r="3" spans="2:12" ht="13" thickTop="1" x14ac:dyDescent="0.25">
      <c r="B3" s="764" t="s">
        <v>311</v>
      </c>
      <c r="C3" s="768"/>
      <c r="D3" s="768"/>
      <c r="E3" s="768"/>
      <c r="F3" s="768"/>
      <c r="G3" s="768"/>
      <c r="H3" s="768"/>
      <c r="I3" s="768"/>
      <c r="J3" s="768"/>
      <c r="K3" s="768"/>
      <c r="L3" s="768"/>
    </row>
    <row r="4" spans="2:12" ht="13" thickBot="1" x14ac:dyDescent="0.3">
      <c r="B4" s="769"/>
      <c r="C4" s="769"/>
      <c r="D4" s="769"/>
      <c r="E4" s="769"/>
      <c r="F4" s="769"/>
      <c r="G4" s="769"/>
      <c r="H4" s="769"/>
      <c r="I4" s="769"/>
      <c r="J4" s="769"/>
      <c r="K4" s="769"/>
      <c r="L4" s="769"/>
    </row>
    <row r="5" spans="2:12" ht="13" x14ac:dyDescent="0.3">
      <c r="B5" s="755" t="s">
        <v>64</v>
      </c>
      <c r="C5" s="820"/>
      <c r="D5" s="821"/>
      <c r="E5" s="806" t="s">
        <v>858</v>
      </c>
      <c r="F5" s="806"/>
      <c r="G5" s="806"/>
      <c r="H5" s="806"/>
      <c r="I5" s="806"/>
      <c r="J5" s="806"/>
      <c r="K5" s="691"/>
      <c r="L5" s="555"/>
    </row>
    <row r="6" spans="2:12" ht="13" x14ac:dyDescent="0.3">
      <c r="B6" s="757"/>
      <c r="C6" s="757"/>
      <c r="D6" s="758"/>
      <c r="E6" s="753" t="s">
        <v>62</v>
      </c>
      <c r="F6" s="753"/>
      <c r="G6" s="753"/>
      <c r="H6" s="502"/>
      <c r="I6" s="724" t="s">
        <v>63</v>
      </c>
      <c r="J6" s="502"/>
      <c r="K6" s="502"/>
      <c r="L6" s="754"/>
    </row>
    <row r="7" spans="2:12" x14ac:dyDescent="0.25">
      <c r="B7" s="817" t="s">
        <v>90</v>
      </c>
      <c r="C7" s="793"/>
      <c r="D7" s="98" t="s">
        <v>89</v>
      </c>
      <c r="E7" s="809" t="s">
        <v>39</v>
      </c>
      <c r="F7" s="747" t="s">
        <v>80</v>
      </c>
      <c r="G7" s="747" t="s">
        <v>188</v>
      </c>
      <c r="H7" s="747" t="s">
        <v>189</v>
      </c>
      <c r="I7" s="809" t="s">
        <v>39</v>
      </c>
      <c r="J7" s="747" t="s">
        <v>80</v>
      </c>
      <c r="K7" s="747" t="s">
        <v>188</v>
      </c>
      <c r="L7" s="811" t="s">
        <v>189</v>
      </c>
    </row>
    <row r="8" spans="2:12" ht="13" thickBot="1" x14ac:dyDescent="0.3">
      <c r="B8" s="626"/>
      <c r="C8" s="626"/>
      <c r="D8" s="501"/>
      <c r="E8" s="822"/>
      <c r="F8" s="813"/>
      <c r="G8" s="813"/>
      <c r="H8" s="813"/>
      <c r="I8" s="822"/>
      <c r="J8" s="813"/>
      <c r="K8" s="813"/>
      <c r="L8" s="819"/>
    </row>
    <row r="9" spans="2:12" ht="13" x14ac:dyDescent="0.3">
      <c r="B9" s="818" t="s">
        <v>231</v>
      </c>
      <c r="C9" s="703"/>
      <c r="D9" s="703"/>
      <c r="E9" s="703"/>
      <c r="F9" s="703"/>
      <c r="G9" s="703"/>
      <c r="H9" s="703"/>
      <c r="I9" s="703"/>
      <c r="J9" s="703"/>
      <c r="K9" s="703"/>
      <c r="L9" s="703"/>
    </row>
    <row r="10" spans="2:12" x14ac:dyDescent="0.25">
      <c r="B10" s="723" t="s">
        <v>182</v>
      </c>
      <c r="C10" s="774"/>
      <c r="D10" s="774"/>
      <c r="E10" s="62">
        <v>2.9000000000000001E-2</v>
      </c>
      <c r="F10" s="62">
        <v>4.2999999999999997E-2</v>
      </c>
      <c r="G10" s="62">
        <v>5.1999999999999998E-2</v>
      </c>
      <c r="H10" s="3">
        <v>0.02</v>
      </c>
      <c r="I10" s="100"/>
      <c r="J10" s="100">
        <v>0.1</v>
      </c>
      <c r="K10" s="100">
        <v>0.2</v>
      </c>
      <c r="L10" s="101">
        <v>0.3</v>
      </c>
    </row>
    <row r="11" spans="2:12" x14ac:dyDescent="0.25">
      <c r="B11" s="723" t="s">
        <v>183</v>
      </c>
      <c r="C11" s="774"/>
      <c r="D11" s="774"/>
      <c r="E11" s="3">
        <v>0.13300000000000001</v>
      </c>
      <c r="F11" s="3">
        <v>5.8000000000000003E-2</v>
      </c>
      <c r="G11" s="3">
        <v>5.7000000000000002E-2</v>
      </c>
      <c r="H11" s="3">
        <v>0.17899999999999999</v>
      </c>
      <c r="I11" s="100"/>
      <c r="J11" s="100"/>
      <c r="K11" s="100"/>
      <c r="L11" s="101"/>
    </row>
    <row r="12" spans="2:12" x14ac:dyDescent="0.25">
      <c r="B12" s="723" t="s">
        <v>184</v>
      </c>
      <c r="C12" s="774"/>
      <c r="D12" s="774"/>
      <c r="E12" s="3">
        <v>0.28899999999999998</v>
      </c>
      <c r="F12" s="3">
        <v>0.247</v>
      </c>
      <c r="G12" s="3">
        <v>0.14199999999999999</v>
      </c>
      <c r="H12" s="3">
        <v>0.315</v>
      </c>
      <c r="I12" s="100"/>
      <c r="J12" s="100"/>
      <c r="K12" s="100"/>
      <c r="L12" s="101"/>
    </row>
    <row r="13" spans="2:12" x14ac:dyDescent="0.25">
      <c r="B13" s="723" t="s">
        <v>185</v>
      </c>
      <c r="C13" s="774"/>
      <c r="D13" s="774"/>
      <c r="E13" s="3">
        <v>0.26300000000000001</v>
      </c>
      <c r="F13" s="3">
        <v>0.36899999999999999</v>
      </c>
      <c r="G13" s="3">
        <v>0.38100000000000001</v>
      </c>
      <c r="H13" s="3">
        <v>0.19800000000000001</v>
      </c>
      <c r="I13" s="100"/>
      <c r="J13" s="100"/>
      <c r="K13" s="100"/>
      <c r="L13" s="101"/>
    </row>
    <row r="14" spans="2:12" x14ac:dyDescent="0.25">
      <c r="B14" s="723" t="s">
        <v>186</v>
      </c>
      <c r="C14" s="774"/>
      <c r="D14" s="774"/>
      <c r="E14" s="3">
        <v>0.23400000000000001</v>
      </c>
      <c r="F14" s="3">
        <v>0.219</v>
      </c>
      <c r="G14" s="3">
        <v>0.28399999999999997</v>
      </c>
      <c r="H14" s="3">
        <v>0.24399999999999999</v>
      </c>
      <c r="I14" s="100"/>
      <c r="J14" s="100"/>
      <c r="K14" s="100"/>
      <c r="L14" s="101"/>
    </row>
    <row r="15" spans="2:12" ht="13" thickBot="1" x14ac:dyDescent="0.3">
      <c r="B15" s="786" t="s">
        <v>187</v>
      </c>
      <c r="C15" s="802"/>
      <c r="D15" s="802"/>
      <c r="E15" s="48">
        <v>5.1999999999999998E-2</v>
      </c>
      <c r="F15" s="48">
        <v>6.4000000000000001E-2</v>
      </c>
      <c r="G15" s="48">
        <v>8.4000000000000005E-2</v>
      </c>
      <c r="H15" s="48">
        <v>4.3999999999999997E-2</v>
      </c>
      <c r="I15" s="102"/>
      <c r="J15" s="102"/>
      <c r="K15" s="102"/>
      <c r="L15" s="103"/>
    </row>
    <row r="16" spans="2:12" ht="13.5" thickTop="1" thickBot="1" x14ac:dyDescent="0.3">
      <c r="B16" s="751" t="s">
        <v>207</v>
      </c>
      <c r="C16" s="752"/>
      <c r="D16" s="752"/>
      <c r="E16" s="79">
        <v>0.5</v>
      </c>
      <c r="F16" s="79"/>
      <c r="G16" s="79"/>
      <c r="H16" s="79"/>
      <c r="I16" s="104">
        <v>0.33</v>
      </c>
      <c r="J16" s="104"/>
      <c r="K16" s="104"/>
      <c r="L16" s="105"/>
    </row>
    <row r="17" spans="2:12" ht="13" x14ac:dyDescent="0.3">
      <c r="B17" s="818" t="s">
        <v>230</v>
      </c>
      <c r="C17" s="703"/>
      <c r="D17" s="703"/>
      <c r="E17" s="703"/>
      <c r="F17" s="703"/>
      <c r="G17" s="703"/>
      <c r="H17" s="703"/>
      <c r="I17" s="703"/>
      <c r="J17" s="703"/>
      <c r="K17" s="703"/>
      <c r="L17" s="703"/>
    </row>
    <row r="18" spans="2:12" x14ac:dyDescent="0.25">
      <c r="B18" s="723" t="s">
        <v>182</v>
      </c>
      <c r="C18" s="774"/>
      <c r="D18" s="774"/>
      <c r="E18" s="62">
        <v>1.6E-2</v>
      </c>
      <c r="F18" s="62">
        <v>1.7999999999999999E-2</v>
      </c>
      <c r="G18" s="62">
        <v>2.3E-2</v>
      </c>
      <c r="H18" s="3">
        <v>1.4999999999999999E-2</v>
      </c>
      <c r="I18" s="100"/>
      <c r="J18" s="100">
        <v>0.4</v>
      </c>
      <c r="K18" s="100">
        <v>0.5</v>
      </c>
      <c r="L18" s="101">
        <v>0.6</v>
      </c>
    </row>
    <row r="19" spans="2:12" x14ac:dyDescent="0.25">
      <c r="B19" s="723" t="s">
        <v>183</v>
      </c>
      <c r="C19" s="774"/>
      <c r="D19" s="774"/>
      <c r="E19" s="3">
        <v>0.107</v>
      </c>
      <c r="F19" s="3">
        <v>4.2000000000000003E-2</v>
      </c>
      <c r="G19" s="3">
        <v>0.04</v>
      </c>
      <c r="H19" s="3">
        <v>0.156</v>
      </c>
      <c r="I19" s="100"/>
      <c r="J19" s="100"/>
      <c r="K19" s="100"/>
      <c r="L19" s="101"/>
    </row>
    <row r="20" spans="2:12" x14ac:dyDescent="0.25">
      <c r="B20" s="723" t="s">
        <v>184</v>
      </c>
      <c r="C20" s="774"/>
      <c r="D20" s="774"/>
      <c r="E20" s="3">
        <v>0.22800000000000001</v>
      </c>
      <c r="F20" s="3">
        <v>0.21299999999999999</v>
      </c>
      <c r="G20" s="3">
        <v>0.108</v>
      </c>
      <c r="H20" s="3">
        <v>0.24</v>
      </c>
      <c r="I20" s="100"/>
      <c r="J20" s="100"/>
      <c r="K20" s="100"/>
      <c r="L20" s="101"/>
    </row>
    <row r="21" spans="2:12" x14ac:dyDescent="0.25">
      <c r="B21" s="723" t="s">
        <v>185</v>
      </c>
      <c r="C21" s="774"/>
      <c r="D21" s="774"/>
      <c r="E21" s="3">
        <v>0.39500000000000002</v>
      </c>
      <c r="F21" s="3">
        <v>0.53400000000000003</v>
      </c>
      <c r="G21" s="3">
        <v>0.57099999999999995</v>
      </c>
      <c r="H21" s="3">
        <v>0.29199999999999998</v>
      </c>
      <c r="I21" s="100"/>
      <c r="J21" s="100"/>
      <c r="K21" s="100"/>
      <c r="L21" s="101"/>
    </row>
    <row r="22" spans="2:12" x14ac:dyDescent="0.25">
      <c r="B22" s="723" t="s">
        <v>186</v>
      </c>
      <c r="C22" s="774"/>
      <c r="D22" s="774"/>
      <c r="E22" s="3">
        <v>0.20200000000000001</v>
      </c>
      <c r="F22" s="3">
        <v>0.14799999999999999</v>
      </c>
      <c r="G22" s="3">
        <v>0.19900000000000001</v>
      </c>
      <c r="H22" s="3">
        <v>0.24299999999999999</v>
      </c>
      <c r="I22" s="100"/>
      <c r="J22" s="100"/>
      <c r="K22" s="100"/>
      <c r="L22" s="101"/>
    </row>
    <row r="23" spans="2:12" ht="13" thickBot="1" x14ac:dyDescent="0.3">
      <c r="B23" s="786" t="s">
        <v>187</v>
      </c>
      <c r="C23" s="802"/>
      <c r="D23" s="802"/>
      <c r="E23" s="48">
        <v>5.1999999999999998E-2</v>
      </c>
      <c r="F23" s="48">
        <v>4.4999999999999998E-2</v>
      </c>
      <c r="G23" s="48">
        <v>5.8999999999999997E-2</v>
      </c>
      <c r="H23" s="48">
        <v>5.3999999999999999E-2</v>
      </c>
      <c r="I23" s="102"/>
      <c r="J23" s="102"/>
      <c r="K23" s="102"/>
      <c r="L23" s="103"/>
    </row>
    <row r="24" spans="2:12" ht="13.5" thickTop="1" thickBot="1" x14ac:dyDescent="0.3">
      <c r="B24" s="751" t="s">
        <v>207</v>
      </c>
      <c r="C24" s="752"/>
      <c r="D24" s="752"/>
      <c r="E24" s="79">
        <v>0.5</v>
      </c>
      <c r="F24" s="79"/>
      <c r="G24" s="79"/>
      <c r="H24" s="79"/>
      <c r="I24" s="104">
        <v>0.33</v>
      </c>
      <c r="J24" s="104"/>
      <c r="K24" s="104"/>
      <c r="L24" s="105"/>
    </row>
    <row r="25" spans="2:12" ht="13" x14ac:dyDescent="0.3">
      <c r="B25" s="818" t="s">
        <v>79</v>
      </c>
      <c r="C25" s="703"/>
      <c r="D25" s="703"/>
      <c r="E25" s="703"/>
      <c r="F25" s="703"/>
      <c r="G25" s="703"/>
      <c r="H25" s="703"/>
      <c r="I25" s="703"/>
      <c r="J25" s="703"/>
      <c r="K25" s="703"/>
      <c r="L25" s="703"/>
    </row>
    <row r="26" spans="2:12" x14ac:dyDescent="0.25">
      <c r="B26" s="723" t="s">
        <v>182</v>
      </c>
      <c r="C26" s="774"/>
      <c r="D26" s="774"/>
      <c r="E26" s="62">
        <v>5.3999999999999999E-2</v>
      </c>
      <c r="F26" s="62">
        <v>8.3000000000000004E-2</v>
      </c>
      <c r="G26" s="62">
        <v>9.2999999999999999E-2</v>
      </c>
      <c r="H26" s="3">
        <v>3.4000000000000002E-2</v>
      </c>
      <c r="I26" s="100"/>
      <c r="J26" s="100">
        <v>0.7</v>
      </c>
      <c r="K26" s="100">
        <v>0.8</v>
      </c>
      <c r="L26" s="101">
        <v>0.9</v>
      </c>
    </row>
    <row r="27" spans="2:12" x14ac:dyDescent="0.25">
      <c r="B27" s="723" t="s">
        <v>183</v>
      </c>
      <c r="C27" s="774"/>
      <c r="D27" s="774"/>
      <c r="E27" s="3">
        <v>0.106</v>
      </c>
      <c r="F27" s="3">
        <v>4.7E-2</v>
      </c>
      <c r="G27" s="3">
        <v>3.9E-2</v>
      </c>
      <c r="H27" s="3">
        <v>0.14699999999999999</v>
      </c>
      <c r="I27" s="100"/>
      <c r="J27" s="100"/>
      <c r="K27" s="100"/>
      <c r="L27" s="101"/>
    </row>
    <row r="28" spans="2:12" x14ac:dyDescent="0.25">
      <c r="B28" s="723" t="s">
        <v>184</v>
      </c>
      <c r="C28" s="774"/>
      <c r="D28" s="774"/>
      <c r="E28" s="3">
        <v>0.49199999999999999</v>
      </c>
      <c r="F28" s="3">
        <v>0.47199999999999998</v>
      </c>
      <c r="G28" s="3">
        <v>0.314</v>
      </c>
      <c r="H28" s="3">
        <v>0.505</v>
      </c>
      <c r="I28" s="100"/>
      <c r="J28" s="100"/>
      <c r="K28" s="100"/>
      <c r="L28" s="101"/>
    </row>
    <row r="29" spans="2:12" x14ac:dyDescent="0.25">
      <c r="B29" s="723" t="s">
        <v>185</v>
      </c>
      <c r="C29" s="774"/>
      <c r="D29" s="774"/>
      <c r="E29" s="3">
        <v>0.25600000000000001</v>
      </c>
      <c r="F29" s="3">
        <v>0.315</v>
      </c>
      <c r="G29" s="3">
        <v>0.40699999999999997</v>
      </c>
      <c r="H29" s="3">
        <v>0.215</v>
      </c>
      <c r="I29" s="100"/>
      <c r="J29" s="100"/>
      <c r="K29" s="100"/>
      <c r="L29" s="101"/>
    </row>
    <row r="30" spans="2:12" x14ac:dyDescent="0.25">
      <c r="B30" s="723" t="s">
        <v>186</v>
      </c>
      <c r="C30" s="774"/>
      <c r="D30" s="774"/>
      <c r="E30" s="3">
        <v>6.2E-2</v>
      </c>
      <c r="F30" s="3">
        <v>4.1000000000000002E-2</v>
      </c>
      <c r="G30" s="3">
        <v>7.8E-2</v>
      </c>
      <c r="H30" s="3">
        <v>7.6999999999999999E-2</v>
      </c>
      <c r="I30" s="100"/>
      <c r="J30" s="100"/>
      <c r="K30" s="100"/>
      <c r="L30" s="101"/>
    </row>
    <row r="31" spans="2:12" ht="13" thickBot="1" x14ac:dyDescent="0.3">
      <c r="B31" s="786" t="s">
        <v>187</v>
      </c>
      <c r="C31" s="802"/>
      <c r="D31" s="802"/>
      <c r="E31" s="48">
        <v>0.03</v>
      </c>
      <c r="F31" s="48">
        <v>4.2000000000000003E-2</v>
      </c>
      <c r="G31" s="48">
        <v>6.9000000000000006E-2</v>
      </c>
      <c r="H31" s="48">
        <v>2.1999999999999999E-2</v>
      </c>
      <c r="I31" s="102"/>
      <c r="J31" s="102"/>
      <c r="K31" s="102"/>
      <c r="L31" s="103"/>
    </row>
    <row r="32" spans="2:12" ht="13.5" thickTop="1" thickBot="1" x14ac:dyDescent="0.3">
      <c r="B32" s="751" t="s">
        <v>207</v>
      </c>
      <c r="C32" s="752"/>
      <c r="D32" s="752"/>
      <c r="E32" s="79">
        <v>0.5</v>
      </c>
      <c r="F32" s="79"/>
      <c r="G32" s="79"/>
      <c r="H32" s="79"/>
      <c r="I32" s="104">
        <v>0.33</v>
      </c>
      <c r="J32" s="104"/>
      <c r="K32" s="104"/>
      <c r="L32" s="105"/>
    </row>
    <row r="33" spans="2:12" x14ac:dyDescent="0.25">
      <c r="B33" s="568" t="s">
        <v>154</v>
      </c>
      <c r="C33" s="569"/>
      <c r="D33" s="569"/>
      <c r="E33" s="569"/>
      <c r="F33" s="569"/>
      <c r="G33" s="569"/>
      <c r="H33" s="569"/>
      <c r="I33" s="569"/>
      <c r="J33" s="569"/>
      <c r="K33" s="569"/>
      <c r="L33" s="569"/>
    </row>
    <row r="34" spans="2:12" x14ac:dyDescent="0.25">
      <c r="B34" s="1"/>
      <c r="C34" s="1"/>
      <c r="D34" s="1"/>
      <c r="E34" s="33"/>
      <c r="F34" s="1"/>
      <c r="G34" s="1"/>
      <c r="H34" s="1"/>
      <c r="I34" s="1"/>
      <c r="J34" s="1"/>
      <c r="K34" s="1"/>
      <c r="L34" s="1"/>
    </row>
    <row r="35" spans="2:12" ht="13" thickBot="1" x14ac:dyDescent="0.3">
      <c r="D35" s="10"/>
      <c r="E35" s="10"/>
      <c r="F35" s="10"/>
      <c r="G35" s="10"/>
      <c r="H35" s="10"/>
      <c r="I35" s="10"/>
      <c r="J35" s="10"/>
      <c r="K35" s="10"/>
      <c r="L35" s="10"/>
    </row>
    <row r="36" spans="2:12" ht="13" thickTop="1" x14ac:dyDescent="0.25">
      <c r="B36" s="764" t="s">
        <v>328</v>
      </c>
      <c r="C36" s="764"/>
      <c r="D36" s="764"/>
      <c r="E36" s="764"/>
      <c r="F36" s="764"/>
      <c r="G36" s="764"/>
      <c r="H36" s="764"/>
      <c r="I36" s="764"/>
      <c r="J36" s="764"/>
      <c r="K36" s="768"/>
      <c r="L36" s="768"/>
    </row>
    <row r="37" spans="2:12" ht="13" thickBot="1" x14ac:dyDescent="0.3">
      <c r="B37" s="750"/>
      <c r="C37" s="750"/>
      <c r="D37" s="750"/>
      <c r="E37" s="750"/>
      <c r="F37" s="750"/>
      <c r="G37" s="750"/>
      <c r="H37" s="750"/>
      <c r="I37" s="750"/>
      <c r="J37" s="750"/>
      <c r="K37" s="769"/>
      <c r="L37" s="769"/>
    </row>
    <row r="38" spans="2:12" ht="13" x14ac:dyDescent="0.3">
      <c r="B38" s="783" t="s">
        <v>85</v>
      </c>
      <c r="C38" s="784"/>
      <c r="D38" s="784"/>
      <c r="E38" s="785" t="s">
        <v>859</v>
      </c>
      <c r="F38" s="785"/>
      <c r="G38" s="785"/>
      <c r="H38" s="785"/>
      <c r="I38" s="785" t="s">
        <v>860</v>
      </c>
      <c r="J38" s="691"/>
      <c r="K38" s="691"/>
      <c r="L38" s="555"/>
    </row>
    <row r="39" spans="2:12" x14ac:dyDescent="0.25">
      <c r="B39" s="679"/>
      <c r="C39" s="678"/>
      <c r="D39" s="678"/>
      <c r="E39" s="696" t="s">
        <v>197</v>
      </c>
      <c r="F39" s="782"/>
      <c r="G39" s="696" t="s">
        <v>84</v>
      </c>
      <c r="H39" s="698"/>
      <c r="I39" s="696" t="s">
        <v>197</v>
      </c>
      <c r="J39" s="782"/>
      <c r="K39" s="696" t="s">
        <v>84</v>
      </c>
      <c r="L39" s="792"/>
    </row>
    <row r="40" spans="2:12" x14ac:dyDescent="0.25">
      <c r="B40" s="793" t="s">
        <v>90</v>
      </c>
      <c r="C40" s="512"/>
      <c r="D40" s="99" t="s">
        <v>89</v>
      </c>
      <c r="E40" s="782"/>
      <c r="F40" s="782"/>
      <c r="G40" s="698"/>
      <c r="H40" s="698"/>
      <c r="I40" s="782"/>
      <c r="J40" s="782"/>
      <c r="K40" s="698"/>
      <c r="L40" s="792"/>
    </row>
    <row r="41" spans="2:12" x14ac:dyDescent="0.25">
      <c r="B41" s="679"/>
      <c r="C41" s="502"/>
      <c r="D41" s="502"/>
      <c r="E41" s="698"/>
      <c r="F41" s="698"/>
      <c r="G41" s="698"/>
      <c r="H41" s="698"/>
      <c r="I41" s="698"/>
      <c r="J41" s="698"/>
      <c r="K41" s="698"/>
      <c r="L41" s="792"/>
    </row>
    <row r="42" spans="2:12" x14ac:dyDescent="0.25">
      <c r="B42" s="501"/>
      <c r="C42" s="502"/>
      <c r="D42" s="502"/>
      <c r="E42" s="694" t="s">
        <v>228</v>
      </c>
      <c r="F42" s="694" t="s">
        <v>199</v>
      </c>
      <c r="G42" s="694" t="s">
        <v>227</v>
      </c>
      <c r="H42" s="675"/>
      <c r="I42" s="694" t="s">
        <v>198</v>
      </c>
      <c r="J42" s="694" t="s">
        <v>199</v>
      </c>
      <c r="K42" s="694" t="s">
        <v>200</v>
      </c>
      <c r="L42" s="779"/>
    </row>
    <row r="43" spans="2:12" x14ac:dyDescent="0.25">
      <c r="B43" s="501"/>
      <c r="C43" s="502"/>
      <c r="D43" s="502"/>
      <c r="E43" s="675"/>
      <c r="F43" s="675"/>
      <c r="G43" s="675"/>
      <c r="H43" s="675"/>
      <c r="I43" s="675"/>
      <c r="J43" s="675"/>
      <c r="K43" s="675"/>
      <c r="L43" s="779"/>
    </row>
    <row r="44" spans="2:12" x14ac:dyDescent="0.25">
      <c r="B44" s="723" t="s">
        <v>99</v>
      </c>
      <c r="C44" s="512"/>
      <c r="D44" s="512"/>
      <c r="E44" s="62"/>
      <c r="F44" s="62"/>
      <c r="G44" s="814">
        <v>0.27600000000000002</v>
      </c>
      <c r="H44" s="512"/>
      <c r="I44" s="100"/>
      <c r="J44" s="100"/>
      <c r="K44" s="815"/>
      <c r="L44" s="816"/>
    </row>
    <row r="45" spans="2:12" ht="13" thickBot="1" x14ac:dyDescent="0.3">
      <c r="B45" s="786" t="s">
        <v>100</v>
      </c>
      <c r="C45" s="726"/>
      <c r="D45" s="726"/>
      <c r="E45" s="74"/>
      <c r="F45" s="74"/>
      <c r="G45" s="787">
        <v>0.27300000000000002</v>
      </c>
      <c r="H45" s="726"/>
      <c r="I45" s="102"/>
      <c r="J45" s="102"/>
      <c r="K45" s="780"/>
      <c r="L45" s="781"/>
    </row>
  </sheetData>
  <mergeCells count="62">
    <mergeCell ref="B3:L4"/>
    <mergeCell ref="B23:D23"/>
    <mergeCell ref="B24:D24"/>
    <mergeCell ref="B9:L9"/>
    <mergeCell ref="B5:D6"/>
    <mergeCell ref="E7:E8"/>
    <mergeCell ref="F7:F8"/>
    <mergeCell ref="E5:L5"/>
    <mergeCell ref="E6:H6"/>
    <mergeCell ref="I6:L6"/>
    <mergeCell ref="B19:D19"/>
    <mergeCell ref="I7:I8"/>
    <mergeCell ref="B14:D14"/>
    <mergeCell ref="B15:D15"/>
    <mergeCell ref="B16:D16"/>
    <mergeCell ref="B13:D13"/>
    <mergeCell ref="B30:D30"/>
    <mergeCell ref="B33:L33"/>
    <mergeCell ref="B31:D31"/>
    <mergeCell ref="B7:C7"/>
    <mergeCell ref="B17:L17"/>
    <mergeCell ref="B18:D18"/>
    <mergeCell ref="B27:D27"/>
    <mergeCell ref="B29:D29"/>
    <mergeCell ref="B20:D20"/>
    <mergeCell ref="B21:D21"/>
    <mergeCell ref="B22:D22"/>
    <mergeCell ref="B25:L25"/>
    <mergeCell ref="B26:D26"/>
    <mergeCell ref="B28:D28"/>
    <mergeCell ref="K7:K8"/>
    <mergeCell ref="L7:L8"/>
    <mergeCell ref="K45:L45"/>
    <mergeCell ref="K42:L43"/>
    <mergeCell ref="B44:D44"/>
    <mergeCell ref="G44:H44"/>
    <mergeCell ref="G42:H43"/>
    <mergeCell ref="I42:I43"/>
    <mergeCell ref="K44:L44"/>
    <mergeCell ref="J42:J43"/>
    <mergeCell ref="E42:E43"/>
    <mergeCell ref="F42:F43"/>
    <mergeCell ref="B45:D45"/>
    <mergeCell ref="G45:H45"/>
    <mergeCell ref="B12:D12"/>
    <mergeCell ref="G7:G8"/>
    <mergeCell ref="H7:H8"/>
    <mergeCell ref="J7:J8"/>
    <mergeCell ref="B8:D8"/>
    <mergeCell ref="B10:D10"/>
    <mergeCell ref="B11:D11"/>
    <mergeCell ref="B32:D32"/>
    <mergeCell ref="B40:C40"/>
    <mergeCell ref="B41:D43"/>
    <mergeCell ref="B36:L37"/>
    <mergeCell ref="G39:H41"/>
    <mergeCell ref="K39:L41"/>
    <mergeCell ref="I39:J41"/>
    <mergeCell ref="B38:D39"/>
    <mergeCell ref="E38:H38"/>
    <mergeCell ref="I38:L38"/>
    <mergeCell ref="E39:F41"/>
  </mergeCells>
  <dataValidations count="1">
    <dataValidation type="list" allowBlank="1" showInputMessage="1" showErrorMessage="1" sqref="D7 D40" xr:uid="{00000000-0002-0000-0B00-000000000000}">
      <formula1>Local</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00000"/>
  </sheetPr>
  <dimension ref="B1:F161"/>
  <sheetViews>
    <sheetView zoomScale="90" zoomScaleNormal="90" workbookViewId="0">
      <selection activeCell="B58" sqref="B58"/>
    </sheetView>
  </sheetViews>
  <sheetFormatPr defaultColWidth="8.7265625" defaultRowHeight="14.5" x14ac:dyDescent="0.35"/>
  <cols>
    <col min="1" max="1" width="8.7265625" style="185"/>
    <col min="2" max="2" width="83.7265625" style="185" customWidth="1"/>
    <col min="3" max="3" width="20.26953125" style="185" customWidth="1"/>
    <col min="4" max="4" width="28.81640625" style="185" customWidth="1"/>
    <col min="5" max="5" width="14.26953125" style="185" customWidth="1"/>
    <col min="6" max="6" width="12.7265625" style="185" customWidth="1"/>
    <col min="7" max="16384" width="8.7265625" style="185"/>
  </cols>
  <sheetData>
    <row r="1" spans="2:5" ht="18.5" x14ac:dyDescent="0.45">
      <c r="B1" s="210" t="s">
        <v>760</v>
      </c>
    </row>
    <row r="2" spans="2:5" ht="18.5" x14ac:dyDescent="0.45">
      <c r="B2" s="214" t="s">
        <v>444</v>
      </c>
      <c r="C2" s="213" t="s">
        <v>759</v>
      </c>
      <c r="D2" s="200" t="s">
        <v>758</v>
      </c>
      <c r="E2" s="193"/>
    </row>
    <row r="3" spans="2:5" x14ac:dyDescent="0.35">
      <c r="B3" s="185" t="s">
        <v>757</v>
      </c>
      <c r="C3" s="185">
        <v>0</v>
      </c>
      <c r="D3" s="185">
        <v>90</v>
      </c>
    </row>
    <row r="4" spans="2:5" x14ac:dyDescent="0.35">
      <c r="B4" s="185" t="s">
        <v>756</v>
      </c>
      <c r="C4" s="185">
        <v>1</v>
      </c>
      <c r="D4" s="185">
        <v>90</v>
      </c>
    </row>
    <row r="5" spans="2:5" x14ac:dyDescent="0.35">
      <c r="B5" s="185" t="s">
        <v>755</v>
      </c>
      <c r="C5" s="185">
        <v>1.2</v>
      </c>
      <c r="D5" s="185">
        <v>90</v>
      </c>
    </row>
    <row r="6" spans="2:5" x14ac:dyDescent="0.35">
      <c r="B6" s="185" t="s">
        <v>754</v>
      </c>
      <c r="C6" s="185">
        <v>1.33</v>
      </c>
      <c r="D6" s="185">
        <v>90</v>
      </c>
    </row>
    <row r="7" spans="2:5" x14ac:dyDescent="0.35">
      <c r="B7" s="185" t="s">
        <v>753</v>
      </c>
      <c r="C7" s="185">
        <v>186.67</v>
      </c>
      <c r="D7" s="185">
        <v>90</v>
      </c>
    </row>
    <row r="8" spans="2:5" x14ac:dyDescent="0.35">
      <c r="B8" s="185" t="s">
        <v>440</v>
      </c>
      <c r="C8" s="185">
        <v>200</v>
      </c>
      <c r="D8" s="185">
        <v>90</v>
      </c>
    </row>
    <row r="9" spans="2:5" x14ac:dyDescent="0.35">
      <c r="B9" s="185" t="s">
        <v>752</v>
      </c>
      <c r="C9" s="185">
        <v>240</v>
      </c>
      <c r="D9" s="185">
        <v>90</v>
      </c>
    </row>
    <row r="10" spans="2:5" x14ac:dyDescent="0.35">
      <c r="B10" s="185" t="s">
        <v>417</v>
      </c>
      <c r="C10" s="185">
        <v>266.67</v>
      </c>
      <c r="D10" s="185">
        <v>90</v>
      </c>
    </row>
    <row r="11" spans="2:5" x14ac:dyDescent="0.35">
      <c r="B11" s="185" t="s">
        <v>751</v>
      </c>
      <c r="C11" s="185">
        <v>66.67</v>
      </c>
      <c r="D11" s="185">
        <v>90</v>
      </c>
    </row>
    <row r="12" spans="2:5" x14ac:dyDescent="0.35">
      <c r="B12" s="185" t="s">
        <v>750</v>
      </c>
      <c r="C12" s="185">
        <v>80</v>
      </c>
      <c r="D12" s="185">
        <v>90</v>
      </c>
    </row>
    <row r="14" spans="2:5" ht="18.5" x14ac:dyDescent="0.45">
      <c r="B14" s="210" t="s">
        <v>749</v>
      </c>
    </row>
    <row r="15" spans="2:5" ht="18.5" x14ac:dyDescent="0.45">
      <c r="B15" s="209" t="s">
        <v>425</v>
      </c>
      <c r="C15" s="198" t="s">
        <v>748</v>
      </c>
      <c r="D15" s="198" t="s">
        <v>747</v>
      </c>
    </row>
    <row r="16" spans="2:5" x14ac:dyDescent="0.35">
      <c r="B16" s="185" t="s">
        <v>423</v>
      </c>
      <c r="C16" s="185">
        <v>0.9</v>
      </c>
      <c r="D16" s="185">
        <v>0.9</v>
      </c>
    </row>
    <row r="17" spans="2:6" x14ac:dyDescent="0.35">
      <c r="B17" s="185" t="s">
        <v>746</v>
      </c>
      <c r="C17" s="185">
        <v>0.95</v>
      </c>
      <c r="D17" s="185">
        <v>0.95</v>
      </c>
    </row>
    <row r="18" spans="2:6" x14ac:dyDescent="0.35">
      <c r="B18" s="185" t="s">
        <v>745</v>
      </c>
      <c r="C18" s="185">
        <v>1</v>
      </c>
      <c r="D18" s="185">
        <v>1</v>
      </c>
    </row>
    <row r="19" spans="2:6" x14ac:dyDescent="0.35">
      <c r="B19" s="185" t="s">
        <v>424</v>
      </c>
      <c r="C19" s="185">
        <v>1</v>
      </c>
      <c r="D19" s="185">
        <v>1</v>
      </c>
    </row>
    <row r="20" spans="2:6" ht="18.5" x14ac:dyDescent="0.45">
      <c r="B20" s="210" t="s">
        <v>744</v>
      </c>
    </row>
    <row r="21" spans="2:6" x14ac:dyDescent="0.35">
      <c r="C21" s="823" t="s">
        <v>743</v>
      </c>
      <c r="D21" s="823"/>
      <c r="E21" s="823"/>
      <c r="F21" s="198" t="s">
        <v>742</v>
      </c>
    </row>
    <row r="22" spans="2:6" ht="85.5" customHeight="1" x14ac:dyDescent="0.45">
      <c r="B22" s="209" t="s">
        <v>741</v>
      </c>
      <c r="C22" s="212" t="s">
        <v>429</v>
      </c>
      <c r="D22" s="212" t="s">
        <v>740</v>
      </c>
      <c r="E22" s="212" t="s">
        <v>739</v>
      </c>
      <c r="F22" s="211"/>
    </row>
    <row r="23" spans="2:6" x14ac:dyDescent="0.35">
      <c r="B23" s="185" t="s">
        <v>738</v>
      </c>
      <c r="C23" s="185">
        <v>0</v>
      </c>
      <c r="D23" s="185">
        <v>0</v>
      </c>
      <c r="E23" s="185">
        <v>0</v>
      </c>
      <c r="F23" s="185">
        <v>90</v>
      </c>
    </row>
    <row r="24" spans="2:6" x14ac:dyDescent="0.35">
      <c r="B24" s="185" t="s">
        <v>737</v>
      </c>
      <c r="C24" s="185">
        <v>0.4</v>
      </c>
      <c r="D24" s="185">
        <v>0.3</v>
      </c>
      <c r="E24" s="185">
        <v>0.4</v>
      </c>
      <c r="F24" s="185">
        <v>90</v>
      </c>
    </row>
    <row r="25" spans="2:6" x14ac:dyDescent="0.35">
      <c r="B25" s="185" t="s">
        <v>736</v>
      </c>
      <c r="C25" s="185">
        <v>1</v>
      </c>
      <c r="D25" s="185">
        <v>0.95</v>
      </c>
      <c r="E25" s="185">
        <v>1</v>
      </c>
      <c r="F25" s="185">
        <v>90</v>
      </c>
    </row>
    <row r="26" spans="2:6" x14ac:dyDescent="0.35">
      <c r="B26" s="185" t="s">
        <v>735</v>
      </c>
      <c r="C26" s="185">
        <v>1.25</v>
      </c>
      <c r="D26" s="185">
        <v>1.2</v>
      </c>
      <c r="E26" s="185">
        <v>1.25</v>
      </c>
      <c r="F26" s="185">
        <v>90</v>
      </c>
    </row>
    <row r="27" spans="2:6" x14ac:dyDescent="0.35">
      <c r="B27" s="185" t="s">
        <v>734</v>
      </c>
      <c r="C27" s="185">
        <v>3.8</v>
      </c>
      <c r="D27" s="185">
        <v>1</v>
      </c>
      <c r="E27" s="185">
        <v>3.8</v>
      </c>
      <c r="F27" s="185">
        <v>90</v>
      </c>
    </row>
    <row r="28" spans="2:6" x14ac:dyDescent="0.35">
      <c r="B28" s="185" t="s">
        <v>562</v>
      </c>
      <c r="C28" s="185">
        <v>4.8</v>
      </c>
      <c r="D28" s="185">
        <v>1.25</v>
      </c>
      <c r="E28" s="185">
        <v>4.8</v>
      </c>
      <c r="F28" s="185">
        <v>90</v>
      </c>
    </row>
    <row r="29" spans="2:6" x14ac:dyDescent="0.35">
      <c r="B29" s="185" t="s">
        <v>733</v>
      </c>
      <c r="C29" s="185">
        <v>5.0999999999999996</v>
      </c>
      <c r="D29" s="185">
        <v>3.8</v>
      </c>
      <c r="E29" s="185">
        <v>5.0999999999999996</v>
      </c>
      <c r="F29" s="185">
        <v>90</v>
      </c>
    </row>
    <row r="30" spans="2:6" x14ac:dyDescent="0.35">
      <c r="B30" s="185" t="s">
        <v>427</v>
      </c>
      <c r="C30" s="185">
        <v>6.7</v>
      </c>
      <c r="D30" s="185">
        <v>4.8</v>
      </c>
      <c r="E30" s="185">
        <v>6.7</v>
      </c>
      <c r="F30" s="185">
        <v>90</v>
      </c>
    </row>
    <row r="31" spans="2:6" x14ac:dyDescent="0.35">
      <c r="B31" s="185" t="s">
        <v>732</v>
      </c>
      <c r="C31" s="185">
        <v>1.75</v>
      </c>
      <c r="F31" s="185">
        <v>90</v>
      </c>
    </row>
    <row r="32" spans="2:6" x14ac:dyDescent="0.35">
      <c r="B32" s="185" t="s">
        <v>426</v>
      </c>
      <c r="C32" s="185">
        <v>2.15</v>
      </c>
      <c r="F32" s="185">
        <v>90</v>
      </c>
    </row>
    <row r="33" spans="2:5" x14ac:dyDescent="0.35">
      <c r="C33" s="185">
        <v>2</v>
      </c>
      <c r="D33" s="185">
        <v>3</v>
      </c>
      <c r="E33" s="185">
        <v>4</v>
      </c>
    </row>
    <row r="36" spans="2:5" ht="18.5" x14ac:dyDescent="0.45">
      <c r="B36" s="210" t="s">
        <v>731</v>
      </c>
    </row>
    <row r="37" spans="2:5" ht="18.5" x14ac:dyDescent="0.45">
      <c r="B37" s="209" t="s">
        <v>422</v>
      </c>
      <c r="C37" s="198" t="s">
        <v>730</v>
      </c>
    </row>
    <row r="38" spans="2:5" x14ac:dyDescent="0.35">
      <c r="B38" s="185" t="s">
        <v>549</v>
      </c>
      <c r="C38" s="185">
        <v>1</v>
      </c>
    </row>
    <row r="39" spans="2:5" x14ac:dyDescent="0.35">
      <c r="B39" s="185" t="s">
        <v>420</v>
      </c>
      <c r="C39" s="185">
        <v>1.5</v>
      </c>
    </row>
    <row r="40" spans="2:5" x14ac:dyDescent="0.35">
      <c r="B40" s="185" t="s">
        <v>421</v>
      </c>
      <c r="C40" s="185">
        <v>1</v>
      </c>
    </row>
    <row r="42" spans="2:5" ht="18.5" x14ac:dyDescent="0.45">
      <c r="B42" s="210" t="s">
        <v>729</v>
      </c>
    </row>
    <row r="43" spans="2:5" ht="18.5" x14ac:dyDescent="0.45">
      <c r="B43" s="209" t="s">
        <v>419</v>
      </c>
      <c r="C43" s="198" t="s">
        <v>728</v>
      </c>
    </row>
    <row r="44" spans="2:5" x14ac:dyDescent="0.35">
      <c r="B44" s="185" t="s">
        <v>727</v>
      </c>
      <c r="C44" s="185">
        <v>0</v>
      </c>
    </row>
    <row r="45" spans="2:5" x14ac:dyDescent="0.35">
      <c r="B45" s="185" t="s">
        <v>726</v>
      </c>
      <c r="C45" s="185">
        <v>1</v>
      </c>
    </row>
    <row r="46" spans="2:5" x14ac:dyDescent="0.35">
      <c r="B46" s="185" t="s">
        <v>417</v>
      </c>
      <c r="C46" s="185">
        <v>1.25</v>
      </c>
    </row>
    <row r="48" spans="2:5" ht="18.5" x14ac:dyDescent="0.45">
      <c r="B48" s="210" t="s">
        <v>725</v>
      </c>
    </row>
    <row r="49" spans="2:3" ht="18.5" x14ac:dyDescent="0.45">
      <c r="B49" s="209" t="s">
        <v>455</v>
      </c>
      <c r="C49" s="198" t="s">
        <v>724</v>
      </c>
    </row>
    <row r="50" spans="2:3" x14ac:dyDescent="0.35">
      <c r="B50" s="185" t="s">
        <v>454</v>
      </c>
      <c r="C50" s="185">
        <v>1</v>
      </c>
    </row>
    <row r="51" spans="2:3" x14ac:dyDescent="0.35">
      <c r="B51" s="185" t="s">
        <v>723</v>
      </c>
      <c r="C51" s="185">
        <v>1.2</v>
      </c>
    </row>
    <row r="52" spans="2:3" x14ac:dyDescent="0.35">
      <c r="B52" s="185" t="s">
        <v>722</v>
      </c>
      <c r="C52" s="185">
        <v>1.5</v>
      </c>
    </row>
    <row r="54" spans="2:3" ht="18.5" x14ac:dyDescent="0.45">
      <c r="B54" s="210" t="s">
        <v>721</v>
      </c>
    </row>
    <row r="55" spans="2:3" ht="18.5" x14ac:dyDescent="0.45">
      <c r="B55" s="209" t="s">
        <v>453</v>
      </c>
      <c r="C55" s="198" t="s">
        <v>720</v>
      </c>
    </row>
    <row r="56" spans="2:3" x14ac:dyDescent="0.35">
      <c r="B56" s="185" t="s">
        <v>452</v>
      </c>
      <c r="C56" s="185">
        <v>1</v>
      </c>
    </row>
    <row r="57" spans="2:3" x14ac:dyDescent="0.35">
      <c r="B57" s="185" t="s">
        <v>903</v>
      </c>
      <c r="C57" s="185">
        <v>1.8</v>
      </c>
    </row>
    <row r="58" spans="2:3" x14ac:dyDescent="0.35">
      <c r="B58" s="185" t="s">
        <v>904</v>
      </c>
      <c r="C58" s="185">
        <v>3.5</v>
      </c>
    </row>
    <row r="59" spans="2:3" x14ac:dyDescent="0.35">
      <c r="B59" s="185" t="s">
        <v>719</v>
      </c>
      <c r="C59" s="185">
        <v>6</v>
      </c>
    </row>
    <row r="61" spans="2:3" ht="18.5" x14ac:dyDescent="0.45">
      <c r="B61" s="210" t="s">
        <v>718</v>
      </c>
    </row>
    <row r="62" spans="2:3" ht="18.5" x14ac:dyDescent="0.45">
      <c r="B62" s="209" t="s">
        <v>717</v>
      </c>
      <c r="C62" s="198" t="s">
        <v>716</v>
      </c>
    </row>
    <row r="63" spans="2:3" x14ac:dyDescent="0.35">
      <c r="B63" s="185" t="s">
        <v>549</v>
      </c>
      <c r="C63" s="185">
        <v>1</v>
      </c>
    </row>
    <row r="64" spans="2:3" x14ac:dyDescent="0.35">
      <c r="B64" s="185" t="s">
        <v>420</v>
      </c>
      <c r="C64" s="185">
        <v>1.25</v>
      </c>
    </row>
    <row r="65" spans="2:3" x14ac:dyDescent="0.35">
      <c r="B65" s="185" t="s">
        <v>450</v>
      </c>
      <c r="C65" s="185">
        <v>1</v>
      </c>
    </row>
    <row r="67" spans="2:3" ht="18.5" x14ac:dyDescent="0.45">
      <c r="B67" s="210" t="s">
        <v>715</v>
      </c>
    </row>
    <row r="68" spans="2:3" ht="18.5" x14ac:dyDescent="0.45">
      <c r="B68" s="209" t="s">
        <v>449</v>
      </c>
      <c r="C68" s="198" t="s">
        <v>714</v>
      </c>
    </row>
    <row r="69" spans="2:3" x14ac:dyDescent="0.35">
      <c r="B69" s="185" t="s">
        <v>448</v>
      </c>
      <c r="C69" s="185">
        <v>1</v>
      </c>
    </row>
    <row r="70" spans="2:3" x14ac:dyDescent="0.35">
      <c r="B70" s="185" t="s">
        <v>713</v>
      </c>
      <c r="C70" s="185">
        <v>1.2</v>
      </c>
    </row>
    <row r="71" spans="2:3" x14ac:dyDescent="0.35">
      <c r="B71" s="185" t="s">
        <v>712</v>
      </c>
      <c r="C71" s="185">
        <v>1.7</v>
      </c>
    </row>
    <row r="73" spans="2:3" ht="18.5" x14ac:dyDescent="0.45">
      <c r="B73" s="210" t="s">
        <v>711</v>
      </c>
    </row>
    <row r="74" spans="2:3" ht="18.5" x14ac:dyDescent="0.45">
      <c r="B74" s="209" t="s">
        <v>447</v>
      </c>
      <c r="C74" s="198" t="s">
        <v>710</v>
      </c>
    </row>
    <row r="75" spans="2:3" x14ac:dyDescent="0.35">
      <c r="B75" s="185" t="s">
        <v>446</v>
      </c>
      <c r="C75" s="185">
        <v>1</v>
      </c>
    </row>
    <row r="76" spans="2:3" x14ac:dyDescent="0.35">
      <c r="B76" s="185" t="s">
        <v>709</v>
      </c>
      <c r="C76" s="185">
        <v>1.2</v>
      </c>
    </row>
    <row r="78" spans="2:3" ht="18.5" x14ac:dyDescent="0.45">
      <c r="B78" s="210" t="s">
        <v>708</v>
      </c>
    </row>
    <row r="79" spans="2:3" ht="18.5" x14ac:dyDescent="0.45">
      <c r="B79" s="209" t="s">
        <v>445</v>
      </c>
      <c r="C79" s="198" t="s">
        <v>707</v>
      </c>
    </row>
    <row r="80" spans="2:3" x14ac:dyDescent="0.35">
      <c r="B80" s="185" t="s">
        <v>415</v>
      </c>
      <c r="C80" s="185">
        <v>1.25</v>
      </c>
    </row>
    <row r="81" spans="2:4" x14ac:dyDescent="0.35">
      <c r="B81" s="185" t="s">
        <v>73</v>
      </c>
      <c r="C81" s="185">
        <v>1</v>
      </c>
    </row>
    <row r="83" spans="2:4" ht="18.5" x14ac:dyDescent="0.45">
      <c r="B83" s="210" t="s">
        <v>706</v>
      </c>
    </row>
    <row r="84" spans="2:4" ht="18.5" x14ac:dyDescent="0.45">
      <c r="B84" s="209" t="s">
        <v>418</v>
      </c>
      <c r="C84" s="198" t="s">
        <v>705</v>
      </c>
    </row>
    <row r="85" spans="2:4" x14ac:dyDescent="0.35">
      <c r="B85" s="185" t="s">
        <v>417</v>
      </c>
      <c r="C85" s="185">
        <v>1</v>
      </c>
      <c r="D85" s="185">
        <v>1</v>
      </c>
    </row>
    <row r="86" spans="2:4" x14ac:dyDescent="0.35">
      <c r="B86" s="185" t="s">
        <v>699</v>
      </c>
      <c r="C86" s="185">
        <v>1.2</v>
      </c>
      <c r="D86" s="185">
        <v>2</v>
      </c>
    </row>
    <row r="87" spans="2:4" x14ac:dyDescent="0.35">
      <c r="B87" s="185" t="s">
        <v>698</v>
      </c>
      <c r="C87" s="185">
        <v>1.33</v>
      </c>
      <c r="D87" s="185">
        <v>3</v>
      </c>
    </row>
    <row r="88" spans="2:4" x14ac:dyDescent="0.35">
      <c r="B88" s="185" t="s">
        <v>704</v>
      </c>
      <c r="C88" s="185">
        <v>1</v>
      </c>
      <c r="D88" s="185">
        <v>4</v>
      </c>
    </row>
    <row r="89" spans="2:4" x14ac:dyDescent="0.35">
      <c r="B89" s="185" t="s">
        <v>703</v>
      </c>
      <c r="C89" s="185">
        <v>1</v>
      </c>
      <c r="D89" s="185">
        <v>5</v>
      </c>
    </row>
    <row r="90" spans="2:4" ht="18.5" x14ac:dyDescent="0.45">
      <c r="B90" s="210" t="s">
        <v>702</v>
      </c>
    </row>
    <row r="91" spans="2:4" ht="18.5" x14ac:dyDescent="0.45">
      <c r="B91" s="209" t="s">
        <v>701</v>
      </c>
      <c r="C91" s="198" t="s">
        <v>700</v>
      </c>
    </row>
    <row r="92" spans="2:4" x14ac:dyDescent="0.35">
      <c r="B92" s="185" t="s">
        <v>417</v>
      </c>
      <c r="C92" s="185">
        <v>1</v>
      </c>
      <c r="D92" s="185">
        <v>1</v>
      </c>
    </row>
    <row r="93" spans="2:4" x14ac:dyDescent="0.35">
      <c r="B93" s="185" t="s">
        <v>699</v>
      </c>
      <c r="C93" s="185">
        <v>1.2</v>
      </c>
      <c r="D93" s="185">
        <v>2</v>
      </c>
    </row>
    <row r="94" spans="2:4" x14ac:dyDescent="0.35">
      <c r="B94" s="185" t="s">
        <v>698</v>
      </c>
      <c r="C94" s="185">
        <v>1.33</v>
      </c>
      <c r="D94" s="185">
        <v>3</v>
      </c>
    </row>
    <row r="95" spans="2:4" ht="18.5" x14ac:dyDescent="0.45">
      <c r="B95" s="210" t="s">
        <v>697</v>
      </c>
    </row>
    <row r="96" spans="2:4" ht="18.5" x14ac:dyDescent="0.45">
      <c r="B96" s="209" t="s">
        <v>416</v>
      </c>
      <c r="C96" s="198" t="s">
        <v>696</v>
      </c>
    </row>
    <row r="97" spans="2:4" x14ac:dyDescent="0.35">
      <c r="B97" s="185" t="s">
        <v>73</v>
      </c>
      <c r="C97" s="185">
        <v>1</v>
      </c>
    </row>
    <row r="98" spans="2:4" x14ac:dyDescent="0.35">
      <c r="B98" s="185" t="s">
        <v>415</v>
      </c>
      <c r="C98" s="185">
        <v>1.25</v>
      </c>
    </row>
    <row r="100" spans="2:4" ht="18.5" x14ac:dyDescent="0.45">
      <c r="B100" s="210" t="s">
        <v>695</v>
      </c>
    </row>
    <row r="101" spans="2:4" ht="18.5" x14ac:dyDescent="0.45">
      <c r="B101" s="209" t="s">
        <v>694</v>
      </c>
      <c r="D101" s="198" t="s">
        <v>693</v>
      </c>
    </row>
    <row r="102" spans="2:4" x14ac:dyDescent="0.35">
      <c r="B102" s="185" t="s">
        <v>692</v>
      </c>
      <c r="C102" s="185">
        <v>1</v>
      </c>
    </row>
    <row r="103" spans="2:4" x14ac:dyDescent="0.35">
      <c r="B103" s="185" t="s">
        <v>456</v>
      </c>
      <c r="C103" s="185">
        <v>2</v>
      </c>
      <c r="D103" s="185">
        <v>1</v>
      </c>
    </row>
    <row r="104" spans="2:4" x14ac:dyDescent="0.35">
      <c r="B104" s="185" t="s">
        <v>691</v>
      </c>
      <c r="C104" s="185">
        <v>3</v>
      </c>
      <c r="D104" s="185">
        <v>1.8</v>
      </c>
    </row>
    <row r="105" spans="2:4" x14ac:dyDescent="0.35">
      <c r="B105" s="185" t="s">
        <v>566</v>
      </c>
      <c r="C105" s="185">
        <v>4</v>
      </c>
      <c r="D105" s="185">
        <v>2.8</v>
      </c>
    </row>
    <row r="106" spans="2:4" x14ac:dyDescent="0.35">
      <c r="B106" s="185" t="s">
        <v>690</v>
      </c>
      <c r="C106" s="185">
        <v>5</v>
      </c>
      <c r="D106" s="185">
        <v>4</v>
      </c>
    </row>
    <row r="107" spans="2:4" x14ac:dyDescent="0.35">
      <c r="B107" s="185" t="s">
        <v>689</v>
      </c>
      <c r="C107" s="185">
        <v>6</v>
      </c>
      <c r="D107" s="185">
        <v>5.2</v>
      </c>
    </row>
    <row r="108" spans="2:4" x14ac:dyDescent="0.35">
      <c r="B108" s="185" t="s">
        <v>688</v>
      </c>
      <c r="C108" s="185">
        <v>7</v>
      </c>
      <c r="D108" s="185">
        <v>6.6</v>
      </c>
    </row>
    <row r="109" spans="2:4" x14ac:dyDescent="0.35">
      <c r="B109" s="185" t="s">
        <v>687</v>
      </c>
      <c r="C109" s="185">
        <v>8</v>
      </c>
      <c r="D109" s="185">
        <v>8</v>
      </c>
    </row>
    <row r="110" spans="2:4" ht="18.5" x14ac:dyDescent="0.45">
      <c r="B110" s="210" t="s">
        <v>686</v>
      </c>
    </row>
    <row r="111" spans="2:4" ht="18.5" x14ac:dyDescent="0.45">
      <c r="B111" s="209" t="s">
        <v>414</v>
      </c>
      <c r="C111" s="198" t="s">
        <v>685</v>
      </c>
    </row>
    <row r="112" spans="2:4" x14ac:dyDescent="0.35">
      <c r="B112" s="185" t="s">
        <v>684</v>
      </c>
      <c r="C112" s="185">
        <v>1</v>
      </c>
    </row>
    <row r="113" spans="2:3" x14ac:dyDescent="0.35">
      <c r="B113" s="185" t="s">
        <v>683</v>
      </c>
      <c r="C113" s="185">
        <v>1</v>
      </c>
    </row>
    <row r="114" spans="2:3" x14ac:dyDescent="0.35">
      <c r="B114" s="185" t="s">
        <v>682</v>
      </c>
      <c r="C114" s="185">
        <v>3</v>
      </c>
    </row>
    <row r="115" spans="2:3" x14ac:dyDescent="0.35">
      <c r="B115" s="185" t="s">
        <v>681</v>
      </c>
      <c r="C115" s="185">
        <v>2.7</v>
      </c>
    </row>
    <row r="116" spans="2:3" x14ac:dyDescent="0.35">
      <c r="B116" s="185" t="s">
        <v>680</v>
      </c>
      <c r="C116" s="185">
        <v>2.4</v>
      </c>
    </row>
    <row r="117" spans="2:3" x14ac:dyDescent="0.35">
      <c r="B117" s="185" t="s">
        <v>413</v>
      </c>
      <c r="C117" s="185">
        <v>3</v>
      </c>
    </row>
    <row r="118" spans="2:3" x14ac:dyDescent="0.35">
      <c r="B118" s="185" t="s">
        <v>412</v>
      </c>
      <c r="C118" s="185">
        <v>2.7</v>
      </c>
    </row>
    <row r="120" spans="2:3" ht="18.5" x14ac:dyDescent="0.45">
      <c r="B120" s="210" t="s">
        <v>679</v>
      </c>
    </row>
    <row r="121" spans="2:3" ht="18.5" x14ac:dyDescent="0.45">
      <c r="B121" s="209" t="s">
        <v>678</v>
      </c>
    </row>
    <row r="122" spans="2:3" x14ac:dyDescent="0.35">
      <c r="B122" s="185" t="s">
        <v>677</v>
      </c>
      <c r="C122" s="185">
        <v>0.111</v>
      </c>
    </row>
    <row r="123" spans="2:3" x14ac:dyDescent="0.35">
      <c r="B123" s="185" t="s">
        <v>676</v>
      </c>
      <c r="C123" s="185">
        <v>0.111</v>
      </c>
    </row>
    <row r="124" spans="2:3" x14ac:dyDescent="0.35">
      <c r="B124" s="185" t="s">
        <v>675</v>
      </c>
      <c r="C124" s="185">
        <v>0.55600000000000005</v>
      </c>
    </row>
    <row r="125" spans="2:3" x14ac:dyDescent="0.35">
      <c r="B125" s="185" t="s">
        <v>674</v>
      </c>
      <c r="C125" s="185">
        <v>0.222</v>
      </c>
    </row>
    <row r="127" spans="2:3" ht="18.5" x14ac:dyDescent="0.45">
      <c r="B127" s="210" t="s">
        <v>673</v>
      </c>
    </row>
    <row r="128" spans="2:3" ht="18.5" x14ac:dyDescent="0.45">
      <c r="B128" s="209" t="s">
        <v>672</v>
      </c>
      <c r="C128" s="198" t="s">
        <v>671</v>
      </c>
    </row>
    <row r="129" spans="2:3" x14ac:dyDescent="0.35">
      <c r="B129" s="208" t="s">
        <v>568</v>
      </c>
      <c r="C129" s="185">
        <v>1.7000000000000001E-2</v>
      </c>
    </row>
    <row r="130" spans="2:3" x14ac:dyDescent="0.35">
      <c r="B130" s="208">
        <v>25</v>
      </c>
      <c r="C130" s="185">
        <v>5.0999999999999997E-2</v>
      </c>
    </row>
    <row r="131" spans="2:3" x14ac:dyDescent="0.35">
      <c r="B131" s="208">
        <v>30</v>
      </c>
      <c r="C131" s="185">
        <v>0.105</v>
      </c>
    </row>
    <row r="132" spans="2:3" x14ac:dyDescent="0.35">
      <c r="B132" s="208">
        <v>35</v>
      </c>
      <c r="C132" s="185">
        <v>0.183</v>
      </c>
    </row>
    <row r="133" spans="2:3" x14ac:dyDescent="0.35">
      <c r="B133" s="208">
        <v>40</v>
      </c>
      <c r="C133" s="185">
        <v>0.28999999999999998</v>
      </c>
    </row>
    <row r="134" spans="2:3" x14ac:dyDescent="0.35">
      <c r="B134" s="208">
        <v>45</v>
      </c>
      <c r="C134" s="185">
        <v>0.42899999999999999</v>
      </c>
    </row>
    <row r="135" spans="2:3" x14ac:dyDescent="0.35">
      <c r="B135" s="208">
        <v>50</v>
      </c>
      <c r="C135" s="185">
        <v>0.53600000000000003</v>
      </c>
    </row>
    <row r="136" spans="2:3" x14ac:dyDescent="0.35">
      <c r="B136" s="208">
        <v>55</v>
      </c>
      <c r="C136" s="185">
        <v>0.59</v>
      </c>
    </row>
    <row r="137" spans="2:3" x14ac:dyDescent="0.35">
      <c r="B137" s="208">
        <v>60</v>
      </c>
      <c r="C137" s="185">
        <v>0.64300000000000002</v>
      </c>
    </row>
    <row r="138" spans="2:3" x14ac:dyDescent="0.35">
      <c r="B138" s="208">
        <v>65</v>
      </c>
      <c r="C138" s="185">
        <v>0.69699999999999995</v>
      </c>
    </row>
    <row r="139" spans="2:3" x14ac:dyDescent="0.35">
      <c r="B139" s="208">
        <v>70</v>
      </c>
      <c r="C139" s="185">
        <v>0.751</v>
      </c>
    </row>
    <row r="140" spans="2:3" x14ac:dyDescent="0.35">
      <c r="B140" s="208">
        <v>75</v>
      </c>
      <c r="C140" s="185">
        <v>0.80400000000000005</v>
      </c>
    </row>
    <row r="141" spans="2:3" x14ac:dyDescent="0.35">
      <c r="B141" s="208">
        <v>80</v>
      </c>
      <c r="C141" s="185">
        <v>0.85799999999999998</v>
      </c>
    </row>
    <row r="142" spans="2:3" x14ac:dyDescent="0.35">
      <c r="B142" s="208">
        <v>85</v>
      </c>
      <c r="C142" s="185">
        <v>0.91200000000000003</v>
      </c>
    </row>
    <row r="143" spans="2:3" x14ac:dyDescent="0.35">
      <c r="B143" s="208" t="s">
        <v>670</v>
      </c>
      <c r="C143" s="185">
        <v>0.96599999999999997</v>
      </c>
    </row>
    <row r="145" spans="2:3" ht="18.5" x14ac:dyDescent="0.45">
      <c r="B145" s="210" t="s">
        <v>669</v>
      </c>
    </row>
    <row r="146" spans="2:3" ht="18.5" x14ac:dyDescent="0.45">
      <c r="B146" s="209" t="s">
        <v>668</v>
      </c>
      <c r="C146" s="198" t="s">
        <v>667</v>
      </c>
    </row>
    <row r="147" spans="2:3" x14ac:dyDescent="0.35">
      <c r="B147" s="208" t="s">
        <v>417</v>
      </c>
      <c r="C147" s="185">
        <v>0</v>
      </c>
    </row>
    <row r="148" spans="2:3" x14ac:dyDescent="0.35">
      <c r="B148" s="208" t="s">
        <v>666</v>
      </c>
      <c r="C148" s="185">
        <v>1E-3</v>
      </c>
    </row>
    <row r="149" spans="2:3" x14ac:dyDescent="0.35">
      <c r="B149" s="208" t="s">
        <v>431</v>
      </c>
      <c r="C149" s="185">
        <v>2E-3</v>
      </c>
    </row>
    <row r="150" spans="2:3" x14ac:dyDescent="0.35">
      <c r="B150" s="208" t="s">
        <v>563</v>
      </c>
      <c r="C150" s="185">
        <v>2E-3</v>
      </c>
    </row>
    <row r="151" spans="2:3" x14ac:dyDescent="0.35">
      <c r="B151" s="208" t="s">
        <v>665</v>
      </c>
      <c r="C151" s="185">
        <v>3.0000000000000001E-3</v>
      </c>
    </row>
    <row r="152" spans="2:3" x14ac:dyDescent="0.35">
      <c r="B152" s="208" t="s">
        <v>461</v>
      </c>
      <c r="C152" s="185">
        <v>4.0000000000000001E-3</v>
      </c>
    </row>
    <row r="153" spans="2:3" x14ac:dyDescent="0.35">
      <c r="B153" s="208" t="s">
        <v>459</v>
      </c>
      <c r="C153" s="185">
        <v>5.0000000000000001E-3</v>
      </c>
    </row>
    <row r="154" spans="2:3" x14ac:dyDescent="0.35">
      <c r="B154" s="208" t="s">
        <v>664</v>
      </c>
      <c r="C154" s="185">
        <v>6.0000000000000001E-3</v>
      </c>
    </row>
    <row r="155" spans="2:3" x14ac:dyDescent="0.35">
      <c r="B155" s="208" t="s">
        <v>663</v>
      </c>
      <c r="C155" s="185">
        <v>6.0000000000000001E-3</v>
      </c>
    </row>
    <row r="156" spans="2:3" x14ac:dyDescent="0.35">
      <c r="B156" s="208" t="s">
        <v>556</v>
      </c>
      <c r="C156" s="185">
        <v>7.0000000000000001E-3</v>
      </c>
    </row>
    <row r="157" spans="2:3" x14ac:dyDescent="0.35">
      <c r="B157" s="208" t="s">
        <v>662</v>
      </c>
      <c r="C157" s="185">
        <v>8.9999999999999993E-3</v>
      </c>
    </row>
    <row r="159" spans="2:3" x14ac:dyDescent="0.35">
      <c r="B159" s="207" t="s">
        <v>661</v>
      </c>
      <c r="C159" s="207" t="s">
        <v>660</v>
      </c>
    </row>
    <row r="160" spans="2:3" x14ac:dyDescent="0.35">
      <c r="B160" s="185" t="s">
        <v>179</v>
      </c>
      <c r="C160" s="185">
        <v>6.8999999999999997E-4</v>
      </c>
    </row>
    <row r="161" spans="2:3" x14ac:dyDescent="0.35">
      <c r="B161" s="185" t="s">
        <v>178</v>
      </c>
      <c r="C161" s="185">
        <v>6.2E-4</v>
      </c>
    </row>
  </sheetData>
  <mergeCells count="1">
    <mergeCell ref="C21:E21"/>
  </mergeCells>
  <pageMargins left="0.7" right="0.7" top="0.75" bottom="0.75" header="0.51180555555555496" footer="0.51180555555555496"/>
  <pageSetup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sheetPr>
  <dimension ref="B2:D103"/>
  <sheetViews>
    <sheetView topLeftCell="A23" zoomScale="80" zoomScaleNormal="80" workbookViewId="0">
      <selection activeCell="B63" sqref="B63"/>
    </sheetView>
  </sheetViews>
  <sheetFormatPr defaultColWidth="8.7265625" defaultRowHeight="14.5" x14ac:dyDescent="0.35"/>
  <cols>
    <col min="1" max="1" width="8.7265625" style="185"/>
    <col min="2" max="2" width="87.1796875" style="185" bestFit="1" customWidth="1"/>
    <col min="3" max="3" width="19.453125" style="185" customWidth="1"/>
    <col min="4" max="4" width="15.7265625" style="185" customWidth="1"/>
    <col min="5" max="16384" width="8.7265625" style="185"/>
  </cols>
  <sheetData>
    <row r="2" spans="2:4" ht="18.5" x14ac:dyDescent="0.45">
      <c r="B2" s="210" t="s">
        <v>794</v>
      </c>
    </row>
    <row r="3" spans="2:4" ht="18.5" x14ac:dyDescent="0.45">
      <c r="B3" s="209" t="s">
        <v>441</v>
      </c>
      <c r="C3" s="198" t="s">
        <v>793</v>
      </c>
      <c r="D3" s="198" t="s">
        <v>792</v>
      </c>
    </row>
    <row r="4" spans="2:4" x14ac:dyDescent="0.35">
      <c r="B4" s="185" t="s">
        <v>791</v>
      </c>
      <c r="C4" s="185">
        <v>0</v>
      </c>
      <c r="D4" s="185">
        <v>0</v>
      </c>
    </row>
    <row r="5" spans="2:4" x14ac:dyDescent="0.35">
      <c r="B5" s="185" t="s">
        <v>790</v>
      </c>
      <c r="C5" s="185">
        <v>1</v>
      </c>
      <c r="D5" s="185">
        <v>90</v>
      </c>
    </row>
    <row r="6" spans="2:4" x14ac:dyDescent="0.35">
      <c r="B6" s="185" t="s">
        <v>553</v>
      </c>
      <c r="C6" s="185">
        <v>120</v>
      </c>
      <c r="D6" s="185">
        <v>90</v>
      </c>
    </row>
    <row r="7" spans="2:4" x14ac:dyDescent="0.35">
      <c r="B7" s="185" t="s">
        <v>417</v>
      </c>
      <c r="C7" s="185">
        <v>200</v>
      </c>
      <c r="D7" s="185">
        <v>90</v>
      </c>
    </row>
    <row r="8" spans="2:4" x14ac:dyDescent="0.35">
      <c r="B8" s="185" t="s">
        <v>789</v>
      </c>
      <c r="C8" s="185">
        <v>170</v>
      </c>
      <c r="D8" s="185">
        <v>90</v>
      </c>
    </row>
    <row r="9" spans="2:4" x14ac:dyDescent="0.35">
      <c r="B9" s="185" t="s">
        <v>788</v>
      </c>
      <c r="C9" s="185">
        <v>190</v>
      </c>
      <c r="D9" s="185">
        <v>90</v>
      </c>
    </row>
    <row r="10" spans="2:4" x14ac:dyDescent="0.35">
      <c r="B10" s="185" t="s">
        <v>753</v>
      </c>
      <c r="C10" s="185">
        <v>160</v>
      </c>
      <c r="D10" s="185">
        <v>90</v>
      </c>
    </row>
    <row r="11" spans="2:4" x14ac:dyDescent="0.35">
      <c r="B11" s="185" t="s">
        <v>440</v>
      </c>
      <c r="C11" s="185">
        <v>170</v>
      </c>
      <c r="D11" s="185">
        <v>90</v>
      </c>
    </row>
    <row r="12" spans="2:4" x14ac:dyDescent="0.35">
      <c r="B12" s="185" t="s">
        <v>752</v>
      </c>
      <c r="C12" s="185">
        <v>180</v>
      </c>
      <c r="D12" s="185">
        <v>90</v>
      </c>
    </row>
    <row r="14" spans="2:4" ht="18.5" x14ac:dyDescent="0.45">
      <c r="B14" s="210" t="s">
        <v>787</v>
      </c>
    </row>
    <row r="15" spans="2:4" ht="18.5" x14ac:dyDescent="0.45">
      <c r="B15" s="209" t="s">
        <v>455</v>
      </c>
      <c r="C15" s="198" t="s">
        <v>786</v>
      </c>
    </row>
    <row r="16" spans="2:4" x14ac:dyDescent="0.35">
      <c r="B16" s="185" t="s">
        <v>454</v>
      </c>
      <c r="C16" s="185">
        <v>1</v>
      </c>
    </row>
    <row r="17" spans="2:3" x14ac:dyDescent="0.35">
      <c r="B17" s="185" t="s">
        <v>723</v>
      </c>
      <c r="C17" s="185">
        <v>1.2</v>
      </c>
    </row>
    <row r="18" spans="2:3" x14ac:dyDescent="0.35">
      <c r="B18" s="185" t="s">
        <v>722</v>
      </c>
      <c r="C18" s="185">
        <v>1.5</v>
      </c>
    </row>
    <row r="20" spans="2:3" ht="18.5" x14ac:dyDescent="0.45">
      <c r="B20" s="210" t="s">
        <v>785</v>
      </c>
    </row>
    <row r="21" spans="2:3" ht="18.5" x14ac:dyDescent="0.45">
      <c r="B21" s="209" t="s">
        <v>453</v>
      </c>
      <c r="C21" s="198" t="s">
        <v>784</v>
      </c>
    </row>
    <row r="22" spans="2:3" x14ac:dyDescent="0.35">
      <c r="B22" s="185" t="s">
        <v>452</v>
      </c>
      <c r="C22" s="185">
        <v>1</v>
      </c>
    </row>
    <row r="23" spans="2:3" x14ac:dyDescent="0.35">
      <c r="B23" s="185" t="s">
        <v>903</v>
      </c>
      <c r="C23" s="185">
        <v>1.8</v>
      </c>
    </row>
    <row r="24" spans="2:3" x14ac:dyDescent="0.35">
      <c r="B24" s="185" t="s">
        <v>904</v>
      </c>
      <c r="C24" s="185">
        <v>3.5</v>
      </c>
    </row>
    <row r="25" spans="2:3" x14ac:dyDescent="0.35">
      <c r="B25" s="185" t="s">
        <v>719</v>
      </c>
      <c r="C25" s="185">
        <v>6</v>
      </c>
    </row>
    <row r="27" spans="2:3" ht="18.5" x14ac:dyDescent="0.45">
      <c r="B27" s="210" t="s">
        <v>783</v>
      </c>
    </row>
    <row r="28" spans="2:3" ht="18.5" x14ac:dyDescent="0.45">
      <c r="B28" s="209" t="s">
        <v>782</v>
      </c>
      <c r="C28" s="198" t="s">
        <v>781</v>
      </c>
    </row>
    <row r="29" spans="2:3" x14ac:dyDescent="0.35">
      <c r="B29" s="185" t="s">
        <v>549</v>
      </c>
      <c r="C29" s="185">
        <v>1</v>
      </c>
    </row>
    <row r="30" spans="2:3" x14ac:dyDescent="0.35">
      <c r="B30" s="185" t="s">
        <v>420</v>
      </c>
      <c r="C30" s="185">
        <v>1.4</v>
      </c>
    </row>
    <row r="31" spans="2:3" x14ac:dyDescent="0.35">
      <c r="B31" s="185" t="s">
        <v>450</v>
      </c>
      <c r="C31" s="185">
        <v>1</v>
      </c>
    </row>
    <row r="33" spans="2:3" ht="18.5" x14ac:dyDescent="0.45">
      <c r="B33" s="210" t="s">
        <v>780</v>
      </c>
    </row>
    <row r="34" spans="2:3" ht="18.5" x14ac:dyDescent="0.45">
      <c r="B34" s="209" t="s">
        <v>449</v>
      </c>
      <c r="C34" s="198" t="s">
        <v>779</v>
      </c>
    </row>
    <row r="35" spans="2:3" x14ac:dyDescent="0.35">
      <c r="B35" s="185" t="s">
        <v>448</v>
      </c>
      <c r="C35" s="185">
        <v>1</v>
      </c>
    </row>
    <row r="36" spans="2:3" x14ac:dyDescent="0.35">
      <c r="B36" s="185" t="s">
        <v>713</v>
      </c>
      <c r="C36" s="185">
        <v>1.2</v>
      </c>
    </row>
    <row r="37" spans="2:3" x14ac:dyDescent="0.35">
      <c r="B37" s="185" t="s">
        <v>712</v>
      </c>
      <c r="C37" s="185">
        <v>1.7</v>
      </c>
    </row>
    <row r="39" spans="2:3" ht="18.5" x14ac:dyDescent="0.45">
      <c r="B39" s="210" t="s">
        <v>778</v>
      </c>
    </row>
    <row r="40" spans="2:3" ht="18.5" x14ac:dyDescent="0.45">
      <c r="B40" s="209" t="s">
        <v>777</v>
      </c>
      <c r="C40" s="198" t="s">
        <v>776</v>
      </c>
    </row>
    <row r="41" spans="2:3" x14ac:dyDescent="0.35">
      <c r="B41" s="185" t="s">
        <v>446</v>
      </c>
      <c r="C41" s="185">
        <v>1</v>
      </c>
    </row>
    <row r="42" spans="2:3" x14ac:dyDescent="0.35">
      <c r="B42" s="185" t="s">
        <v>709</v>
      </c>
      <c r="C42" s="185">
        <v>1.2</v>
      </c>
    </row>
    <row r="44" spans="2:3" ht="18.5" x14ac:dyDescent="0.45">
      <c r="B44" s="210" t="s">
        <v>775</v>
      </c>
    </row>
    <row r="45" spans="2:3" ht="18.5" x14ac:dyDescent="0.45">
      <c r="B45" s="209" t="s">
        <v>445</v>
      </c>
      <c r="C45" s="207" t="s">
        <v>774</v>
      </c>
    </row>
    <row r="46" spans="2:3" x14ac:dyDescent="0.35">
      <c r="B46" s="185" t="s">
        <v>415</v>
      </c>
      <c r="C46" s="185">
        <v>1.25</v>
      </c>
    </row>
    <row r="47" spans="2:3" x14ac:dyDescent="0.35">
      <c r="B47" s="185" t="s">
        <v>73</v>
      </c>
      <c r="C47" s="185">
        <v>1</v>
      </c>
    </row>
    <row r="49" spans="2:4" ht="18.5" x14ac:dyDescent="0.45">
      <c r="B49" s="210" t="s">
        <v>773</v>
      </c>
    </row>
    <row r="50" spans="2:4" ht="18.5" x14ac:dyDescent="0.45">
      <c r="B50" s="209" t="s">
        <v>418</v>
      </c>
      <c r="C50" s="198" t="s">
        <v>772</v>
      </c>
    </row>
    <row r="51" spans="2:4" x14ac:dyDescent="0.35">
      <c r="B51" s="185" t="s">
        <v>417</v>
      </c>
      <c r="C51" s="185">
        <v>1</v>
      </c>
    </row>
    <row r="52" spans="2:4" x14ac:dyDescent="0.35">
      <c r="B52" s="185" t="s">
        <v>699</v>
      </c>
      <c r="C52" s="185">
        <v>1.2</v>
      </c>
    </row>
    <row r="53" spans="2:4" x14ac:dyDescent="0.35">
      <c r="B53" s="185" t="s">
        <v>698</v>
      </c>
      <c r="C53" s="185">
        <v>1.33</v>
      </c>
    </row>
    <row r="54" spans="2:4" x14ac:dyDescent="0.35">
      <c r="B54" s="185" t="s">
        <v>771</v>
      </c>
      <c r="C54" s="185">
        <v>1</v>
      </c>
    </row>
    <row r="55" spans="2:4" x14ac:dyDescent="0.35">
      <c r="B55" s="185" t="s">
        <v>770</v>
      </c>
      <c r="C55" s="185">
        <v>1</v>
      </c>
    </row>
    <row r="57" spans="2:4" ht="18.5" x14ac:dyDescent="0.45">
      <c r="B57" s="210" t="s">
        <v>769</v>
      </c>
    </row>
    <row r="58" spans="2:4" ht="18.5" x14ac:dyDescent="0.45">
      <c r="B58" s="209" t="s">
        <v>416</v>
      </c>
      <c r="C58" s="198" t="s">
        <v>768</v>
      </c>
    </row>
    <row r="59" spans="2:4" x14ac:dyDescent="0.35">
      <c r="B59" s="185" t="s">
        <v>73</v>
      </c>
      <c r="C59" s="185">
        <v>1</v>
      </c>
    </row>
    <row r="60" spans="2:4" x14ac:dyDescent="0.35">
      <c r="B60" s="185" t="s">
        <v>415</v>
      </c>
      <c r="C60" s="185">
        <v>1.25</v>
      </c>
    </row>
    <row r="62" spans="2:4" ht="18.5" x14ac:dyDescent="0.45">
      <c r="B62" s="210" t="s">
        <v>905</v>
      </c>
    </row>
    <row r="63" spans="2:4" x14ac:dyDescent="0.35">
      <c r="B63" s="207" t="s">
        <v>767</v>
      </c>
      <c r="C63" s="198" t="s">
        <v>179</v>
      </c>
      <c r="D63" s="198" t="s">
        <v>178</v>
      </c>
    </row>
    <row r="64" spans="2:4" x14ac:dyDescent="0.35">
      <c r="B64" s="185" t="s">
        <v>677</v>
      </c>
      <c r="C64" s="185">
        <v>4.4999999999999998E-2</v>
      </c>
      <c r="D64" s="185">
        <v>5.6000000000000001E-2</v>
      </c>
    </row>
    <row r="65" spans="2:4" x14ac:dyDescent="0.35">
      <c r="B65" s="185" t="s">
        <v>676</v>
      </c>
      <c r="C65" s="185">
        <v>0.182</v>
      </c>
      <c r="D65" s="185">
        <v>0.111</v>
      </c>
    </row>
    <row r="66" spans="2:4" x14ac:dyDescent="0.35">
      <c r="B66" s="185" t="s">
        <v>675</v>
      </c>
      <c r="C66" s="185">
        <v>0.59099999999999997</v>
      </c>
      <c r="D66" s="185">
        <v>0.61099999999999999</v>
      </c>
    </row>
    <row r="67" spans="2:4" x14ac:dyDescent="0.35">
      <c r="B67" s="185" t="s">
        <v>674</v>
      </c>
      <c r="C67" s="185">
        <v>0.182</v>
      </c>
      <c r="D67" s="185">
        <v>0.222</v>
      </c>
    </row>
    <row r="69" spans="2:4" ht="18.5" x14ac:dyDescent="0.45">
      <c r="B69" s="210" t="s">
        <v>766</v>
      </c>
    </row>
    <row r="70" spans="2:4" ht="18.5" x14ac:dyDescent="0.45">
      <c r="B70" s="209" t="s">
        <v>672</v>
      </c>
      <c r="C70" s="198" t="s">
        <v>765</v>
      </c>
    </row>
    <row r="71" spans="2:4" x14ac:dyDescent="0.35">
      <c r="B71" s="208" t="s">
        <v>568</v>
      </c>
      <c r="C71" s="185">
        <v>1.0999999999999999E-2</v>
      </c>
    </row>
    <row r="72" spans="2:4" x14ac:dyDescent="0.35">
      <c r="B72" s="185">
        <v>25</v>
      </c>
      <c r="C72" s="185">
        <v>3.1E-2</v>
      </c>
    </row>
    <row r="73" spans="2:4" x14ac:dyDescent="0.35">
      <c r="B73" s="185">
        <v>30</v>
      </c>
      <c r="C73" s="185">
        <v>6.4000000000000001E-2</v>
      </c>
    </row>
    <row r="74" spans="2:4" x14ac:dyDescent="0.35">
      <c r="B74" s="185">
        <v>35</v>
      </c>
      <c r="C74" s="185">
        <v>0.112</v>
      </c>
    </row>
    <row r="75" spans="2:4" x14ac:dyDescent="0.35">
      <c r="B75" s="185">
        <v>40</v>
      </c>
      <c r="C75" s="185">
        <v>0.17799999999999999</v>
      </c>
    </row>
    <row r="76" spans="2:4" x14ac:dyDescent="0.35">
      <c r="B76" s="185">
        <v>45</v>
      </c>
      <c r="C76" s="185">
        <v>0.26400000000000001</v>
      </c>
    </row>
    <row r="77" spans="2:4" x14ac:dyDescent="0.35">
      <c r="B77" s="185">
        <v>50</v>
      </c>
      <c r="C77" s="185">
        <v>0.372</v>
      </c>
    </row>
    <row r="78" spans="2:4" x14ac:dyDescent="0.35">
      <c r="B78" s="185">
        <v>55</v>
      </c>
      <c r="C78" s="185">
        <v>0.505</v>
      </c>
    </row>
    <row r="79" spans="2:4" x14ac:dyDescent="0.35">
      <c r="B79" s="185">
        <v>60</v>
      </c>
      <c r="C79" s="185">
        <v>0.64300000000000002</v>
      </c>
    </row>
    <row r="80" spans="2:4" x14ac:dyDescent="0.35">
      <c r="B80" s="185">
        <v>65</v>
      </c>
      <c r="C80" s="185">
        <v>0.69699999999999995</v>
      </c>
    </row>
    <row r="81" spans="2:3" x14ac:dyDescent="0.35">
      <c r="B81" s="185">
        <v>70</v>
      </c>
      <c r="C81" s="185">
        <v>0.751</v>
      </c>
    </row>
    <row r="82" spans="2:3" x14ac:dyDescent="0.35">
      <c r="B82" s="185">
        <v>75</v>
      </c>
      <c r="C82" s="185">
        <v>0.80400000000000005</v>
      </c>
    </row>
    <row r="83" spans="2:3" x14ac:dyDescent="0.35">
      <c r="B83" s="185">
        <v>80</v>
      </c>
      <c r="C83" s="185">
        <v>0.85799999999999998</v>
      </c>
    </row>
    <row r="84" spans="2:3" x14ac:dyDescent="0.35">
      <c r="B84" s="185">
        <v>85</v>
      </c>
      <c r="C84" s="185">
        <v>0.91200000000000003</v>
      </c>
    </row>
    <row r="85" spans="2:3" x14ac:dyDescent="0.35">
      <c r="B85" s="208" t="s">
        <v>670</v>
      </c>
      <c r="C85" s="185">
        <v>0.96599999999999997</v>
      </c>
    </row>
    <row r="87" spans="2:3" ht="18.5" x14ac:dyDescent="0.45">
      <c r="B87" s="210" t="s">
        <v>764</v>
      </c>
    </row>
    <row r="88" spans="2:3" ht="18.5" x14ac:dyDescent="0.45">
      <c r="B88" s="209" t="s">
        <v>763</v>
      </c>
      <c r="C88" s="198" t="s">
        <v>762</v>
      </c>
    </row>
    <row r="89" spans="2:3" x14ac:dyDescent="0.35">
      <c r="B89" s="208" t="s">
        <v>417</v>
      </c>
      <c r="C89" s="185">
        <v>0</v>
      </c>
    </row>
    <row r="90" spans="2:3" x14ac:dyDescent="0.35">
      <c r="B90" s="208" t="s">
        <v>666</v>
      </c>
      <c r="C90" s="185">
        <v>1E-3</v>
      </c>
    </row>
    <row r="91" spans="2:3" x14ac:dyDescent="0.35">
      <c r="B91" s="208" t="s">
        <v>431</v>
      </c>
      <c r="C91" s="185">
        <v>2E-3</v>
      </c>
    </row>
    <row r="92" spans="2:3" x14ac:dyDescent="0.35">
      <c r="B92" s="208" t="s">
        <v>563</v>
      </c>
      <c r="C92" s="185">
        <v>2E-3</v>
      </c>
    </row>
    <row r="93" spans="2:3" x14ac:dyDescent="0.35">
      <c r="B93" s="208" t="s">
        <v>665</v>
      </c>
      <c r="C93" s="185">
        <v>3.0000000000000001E-3</v>
      </c>
    </row>
    <row r="94" spans="2:3" x14ac:dyDescent="0.35">
      <c r="B94" s="208" t="s">
        <v>461</v>
      </c>
      <c r="C94" s="185">
        <v>4.0000000000000001E-3</v>
      </c>
    </row>
    <row r="95" spans="2:3" x14ac:dyDescent="0.35">
      <c r="B95" s="208" t="s">
        <v>459</v>
      </c>
      <c r="C95" s="185">
        <v>5.0000000000000001E-3</v>
      </c>
    </row>
    <row r="96" spans="2:3" x14ac:dyDescent="0.35">
      <c r="B96" s="208" t="s">
        <v>664</v>
      </c>
      <c r="C96" s="185">
        <v>6.0000000000000001E-3</v>
      </c>
    </row>
    <row r="97" spans="2:3" x14ac:dyDescent="0.35">
      <c r="B97" s="208" t="s">
        <v>663</v>
      </c>
      <c r="C97" s="185">
        <v>6.0000000000000001E-3</v>
      </c>
    </row>
    <row r="98" spans="2:3" x14ac:dyDescent="0.35">
      <c r="B98" s="208" t="s">
        <v>556</v>
      </c>
      <c r="C98" s="185">
        <v>7.0000000000000001E-3</v>
      </c>
    </row>
    <row r="99" spans="2:3" x14ac:dyDescent="0.35">
      <c r="B99" s="208" t="s">
        <v>662</v>
      </c>
      <c r="C99" s="185">
        <v>8.9999999999999993E-3</v>
      </c>
    </row>
    <row r="101" spans="2:3" x14ac:dyDescent="0.35">
      <c r="B101" s="207" t="s">
        <v>661</v>
      </c>
      <c r="C101" s="207" t="s">
        <v>761</v>
      </c>
    </row>
    <row r="102" spans="2:3" x14ac:dyDescent="0.35">
      <c r="B102" s="185" t="s">
        <v>179</v>
      </c>
      <c r="C102" s="185">
        <v>2.69E-2</v>
      </c>
    </row>
    <row r="103" spans="2:3" x14ac:dyDescent="0.35">
      <c r="B103" s="185" t="s">
        <v>178</v>
      </c>
      <c r="C103" s="185">
        <v>6.0600000000000003E-3</v>
      </c>
    </row>
  </sheetData>
  <pageMargins left="0.7" right="0.7" top="0.75" bottom="0.75" header="0.51180555555555496" footer="0.51180555555555496"/>
  <pageSetup firstPageNumber="0"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B1:N120"/>
  <sheetViews>
    <sheetView topLeftCell="A90" zoomScaleNormal="100" workbookViewId="0">
      <selection activeCell="D101" sqref="D101"/>
    </sheetView>
  </sheetViews>
  <sheetFormatPr defaultColWidth="8.7265625" defaultRowHeight="14.5" x14ac:dyDescent="0.35"/>
  <cols>
    <col min="1" max="1" width="8.7265625" style="185"/>
    <col min="2" max="2" width="87.453125" style="185" customWidth="1"/>
    <col min="3" max="3" width="24.81640625" style="185" customWidth="1"/>
    <col min="4" max="4" width="25.453125" style="185" customWidth="1"/>
    <col min="5" max="5" width="24.1796875" style="185" customWidth="1"/>
    <col min="6" max="6" width="25.1796875" style="185" customWidth="1"/>
    <col min="7" max="7" width="24.1796875" style="185" customWidth="1"/>
    <col min="8" max="8" width="24.453125" style="185" customWidth="1"/>
    <col min="9" max="9" width="25.453125" style="185" customWidth="1"/>
    <col min="10" max="10" width="25.26953125" style="185" customWidth="1"/>
    <col min="11" max="11" width="26.1796875" style="185" customWidth="1"/>
    <col min="12" max="12" width="27.54296875" style="185" customWidth="1"/>
    <col min="13" max="13" width="24" style="185" customWidth="1"/>
    <col min="14" max="14" width="26" style="185" customWidth="1"/>
    <col min="15" max="16384" width="8.7265625" style="185"/>
  </cols>
  <sheetData>
    <row r="1" spans="2:3" ht="18.5" x14ac:dyDescent="0.45">
      <c r="B1" s="210" t="s">
        <v>673</v>
      </c>
    </row>
    <row r="2" spans="2:3" ht="18.5" x14ac:dyDescent="0.45">
      <c r="B2" s="209" t="s">
        <v>672</v>
      </c>
      <c r="C2" s="198" t="s">
        <v>671</v>
      </c>
    </row>
    <row r="3" spans="2:3" x14ac:dyDescent="0.35">
      <c r="B3" s="208" t="s">
        <v>568</v>
      </c>
      <c r="C3" s="185">
        <v>1.7000000000000001E-2</v>
      </c>
    </row>
    <row r="4" spans="2:3" x14ac:dyDescent="0.35">
      <c r="B4" s="185">
        <v>25</v>
      </c>
      <c r="C4" s="185">
        <v>5.0999999999999997E-2</v>
      </c>
    </row>
    <row r="5" spans="2:3" x14ac:dyDescent="0.35">
      <c r="B5" s="185">
        <v>30</v>
      </c>
      <c r="C5" s="185">
        <v>0.105</v>
      </c>
    </row>
    <row r="6" spans="2:3" x14ac:dyDescent="0.35">
      <c r="B6" s="185">
        <v>35</v>
      </c>
      <c r="C6" s="185">
        <v>0.183</v>
      </c>
    </row>
    <row r="7" spans="2:3" x14ac:dyDescent="0.35">
      <c r="B7" s="185">
        <v>40</v>
      </c>
      <c r="C7" s="185">
        <v>0.28999999999999998</v>
      </c>
    </row>
    <row r="8" spans="2:3" x14ac:dyDescent="0.35">
      <c r="B8" s="185">
        <v>45</v>
      </c>
      <c r="C8" s="185">
        <v>0.42899999999999999</v>
      </c>
    </row>
    <row r="9" spans="2:3" x14ac:dyDescent="0.35">
      <c r="B9" s="185">
        <v>50</v>
      </c>
      <c r="C9" s="185">
        <v>0.53600000000000003</v>
      </c>
    </row>
    <row r="10" spans="2:3" x14ac:dyDescent="0.35">
      <c r="B10" s="185">
        <v>55</v>
      </c>
      <c r="C10" s="185">
        <v>0.59</v>
      </c>
    </row>
    <row r="11" spans="2:3" x14ac:dyDescent="0.35">
      <c r="B11" s="185">
        <v>60</v>
      </c>
      <c r="C11" s="185">
        <v>0.64300000000000002</v>
      </c>
    </row>
    <row r="12" spans="2:3" x14ac:dyDescent="0.35">
      <c r="B12" s="185">
        <v>65</v>
      </c>
      <c r="C12" s="185">
        <v>0.69699999999999995</v>
      </c>
    </row>
    <row r="13" spans="2:3" x14ac:dyDescent="0.35">
      <c r="B13" s="185">
        <v>70</v>
      </c>
      <c r="C13" s="185">
        <v>0.751</v>
      </c>
    </row>
    <row r="14" spans="2:3" x14ac:dyDescent="0.35">
      <c r="B14" s="185">
        <v>75</v>
      </c>
      <c r="C14" s="185">
        <v>0.80400000000000005</v>
      </c>
    </row>
    <row r="15" spans="2:3" x14ac:dyDescent="0.35">
      <c r="B15" s="185">
        <v>80</v>
      </c>
      <c r="C15" s="185">
        <v>0.85799999999999998</v>
      </c>
    </row>
    <row r="16" spans="2:3" x14ac:dyDescent="0.35">
      <c r="B16" s="185">
        <v>85</v>
      </c>
      <c r="C16" s="185">
        <v>0.91200000000000003</v>
      </c>
    </row>
    <row r="17" spans="2:6" x14ac:dyDescent="0.35">
      <c r="B17" s="208" t="s">
        <v>670</v>
      </c>
      <c r="C17" s="185">
        <v>0.96599999999999997</v>
      </c>
    </row>
    <row r="18" spans="2:6" ht="18.5" x14ac:dyDescent="0.45">
      <c r="B18" s="210" t="s">
        <v>749</v>
      </c>
    </row>
    <row r="19" spans="2:6" ht="18.5" x14ac:dyDescent="0.45">
      <c r="B19" s="209" t="s">
        <v>425</v>
      </c>
      <c r="C19" s="185" t="s">
        <v>810</v>
      </c>
    </row>
    <row r="20" spans="2:6" x14ac:dyDescent="0.35">
      <c r="B20" s="185" t="s">
        <v>423</v>
      </c>
      <c r="C20" s="185">
        <v>0.9</v>
      </c>
    </row>
    <row r="21" spans="2:6" x14ac:dyDescent="0.35">
      <c r="B21" s="185" t="s">
        <v>746</v>
      </c>
      <c r="C21" s="185">
        <v>0.95</v>
      </c>
    </row>
    <row r="22" spans="2:6" x14ac:dyDescent="0.35">
      <c r="B22" s="185" t="s">
        <v>745</v>
      </c>
      <c r="C22" s="185">
        <v>1</v>
      </c>
    </row>
    <row r="23" spans="2:6" x14ac:dyDescent="0.35">
      <c r="B23" s="185" t="s">
        <v>424</v>
      </c>
      <c r="C23" s="185">
        <v>1</v>
      </c>
    </row>
    <row r="25" spans="2:6" ht="18.5" x14ac:dyDescent="0.45">
      <c r="B25" s="210" t="s">
        <v>744</v>
      </c>
    </row>
    <row r="26" spans="2:6" x14ac:dyDescent="0.35">
      <c r="C26" s="823" t="s">
        <v>809</v>
      </c>
      <c r="D26" s="823"/>
      <c r="E26" s="823"/>
      <c r="F26" s="198" t="s">
        <v>808</v>
      </c>
    </row>
    <row r="27" spans="2:6" ht="30" x14ac:dyDescent="0.45">
      <c r="B27" s="209" t="s">
        <v>741</v>
      </c>
      <c r="C27" s="212" t="s">
        <v>429</v>
      </c>
      <c r="D27" s="212" t="s">
        <v>740</v>
      </c>
      <c r="E27" s="212" t="s">
        <v>739</v>
      </c>
      <c r="F27" s="211"/>
    </row>
    <row r="28" spans="2:6" x14ac:dyDescent="0.35">
      <c r="B28" s="185" t="s">
        <v>738</v>
      </c>
      <c r="C28" s="185">
        <v>0</v>
      </c>
      <c r="D28" s="185">
        <v>0</v>
      </c>
      <c r="E28" s="185">
        <v>0</v>
      </c>
      <c r="F28" s="185">
        <v>90</v>
      </c>
    </row>
    <row r="29" spans="2:6" x14ac:dyDescent="0.35">
      <c r="B29" s="185" t="s">
        <v>737</v>
      </c>
      <c r="C29" s="185">
        <v>0.4</v>
      </c>
      <c r="D29" s="185">
        <v>0.3</v>
      </c>
      <c r="E29" s="185">
        <v>0.4</v>
      </c>
      <c r="F29" s="185">
        <v>90</v>
      </c>
    </row>
    <row r="30" spans="2:6" x14ac:dyDescent="0.35">
      <c r="B30" s="185" t="s">
        <v>736</v>
      </c>
      <c r="C30" s="185">
        <v>1</v>
      </c>
      <c r="D30" s="185">
        <v>0.95</v>
      </c>
      <c r="E30" s="185">
        <v>1</v>
      </c>
      <c r="F30" s="185">
        <v>90</v>
      </c>
    </row>
    <row r="31" spans="2:6" x14ac:dyDescent="0.35">
      <c r="B31" s="185" t="s">
        <v>735</v>
      </c>
      <c r="C31" s="185">
        <v>1.25</v>
      </c>
      <c r="D31" s="185">
        <v>1.2</v>
      </c>
      <c r="E31" s="185">
        <v>1.25</v>
      </c>
      <c r="F31" s="185">
        <v>90</v>
      </c>
    </row>
    <row r="32" spans="2:6" x14ac:dyDescent="0.35">
      <c r="B32" s="185" t="s">
        <v>732</v>
      </c>
      <c r="C32" s="185">
        <v>1.75</v>
      </c>
      <c r="D32" s="185">
        <v>0</v>
      </c>
      <c r="E32" s="185">
        <v>0</v>
      </c>
      <c r="F32" s="185">
        <v>90</v>
      </c>
    </row>
    <row r="33" spans="2:6" x14ac:dyDescent="0.35">
      <c r="B33" s="185" t="s">
        <v>426</v>
      </c>
      <c r="C33" s="185">
        <v>2.15</v>
      </c>
      <c r="D33" s="185">
        <v>0</v>
      </c>
      <c r="E33" s="185">
        <v>0</v>
      </c>
      <c r="F33" s="185">
        <v>90</v>
      </c>
    </row>
    <row r="34" spans="2:6" x14ac:dyDescent="0.35">
      <c r="B34" s="185" t="s">
        <v>734</v>
      </c>
      <c r="C34" s="185">
        <v>3.8</v>
      </c>
      <c r="D34" s="185">
        <v>1</v>
      </c>
      <c r="E34" s="185">
        <v>3.8</v>
      </c>
      <c r="F34" s="185">
        <v>90</v>
      </c>
    </row>
    <row r="35" spans="2:6" x14ac:dyDescent="0.35">
      <c r="B35" s="185" t="s">
        <v>562</v>
      </c>
      <c r="C35" s="185">
        <v>4.8</v>
      </c>
      <c r="D35" s="185">
        <v>1.25</v>
      </c>
      <c r="E35" s="185">
        <v>4.8</v>
      </c>
      <c r="F35" s="185">
        <v>90</v>
      </c>
    </row>
    <row r="36" spans="2:6" x14ac:dyDescent="0.35">
      <c r="B36" s="185" t="s">
        <v>733</v>
      </c>
      <c r="C36" s="185">
        <v>5.0999999999999996</v>
      </c>
      <c r="D36" s="185">
        <v>3.8</v>
      </c>
      <c r="E36" s="185">
        <v>5.0999999999999996</v>
      </c>
      <c r="F36" s="185">
        <v>90</v>
      </c>
    </row>
    <row r="37" spans="2:6" x14ac:dyDescent="0.35">
      <c r="B37" s="185" t="s">
        <v>427</v>
      </c>
      <c r="C37" s="185">
        <v>6.7</v>
      </c>
      <c r="D37" s="185">
        <v>4.8</v>
      </c>
      <c r="E37" s="185">
        <v>6.7</v>
      </c>
      <c r="F37" s="185">
        <v>90</v>
      </c>
    </row>
    <row r="38" spans="2:6" x14ac:dyDescent="0.35">
      <c r="C38" s="215">
        <v>2</v>
      </c>
      <c r="D38" s="215">
        <v>3</v>
      </c>
      <c r="E38" s="215">
        <v>4</v>
      </c>
    </row>
    <row r="39" spans="2:6" ht="18.5" x14ac:dyDescent="0.45">
      <c r="B39" s="210" t="s">
        <v>731</v>
      </c>
    </row>
    <row r="40" spans="2:6" ht="18.5" x14ac:dyDescent="0.45">
      <c r="B40" s="209" t="s">
        <v>422</v>
      </c>
      <c r="C40" s="198" t="s">
        <v>807</v>
      </c>
    </row>
    <row r="41" spans="2:6" x14ac:dyDescent="0.35">
      <c r="B41" s="185" t="s">
        <v>549</v>
      </c>
      <c r="C41" s="185">
        <v>1</v>
      </c>
    </row>
    <row r="42" spans="2:6" x14ac:dyDescent="0.35">
      <c r="B42" s="185" t="s">
        <v>420</v>
      </c>
      <c r="C42" s="185">
        <v>1.5</v>
      </c>
    </row>
    <row r="43" spans="2:6" x14ac:dyDescent="0.35">
      <c r="B43" s="185" t="s">
        <v>421</v>
      </c>
      <c r="C43" s="185">
        <v>1</v>
      </c>
    </row>
    <row r="45" spans="2:6" ht="18.5" x14ac:dyDescent="0.45">
      <c r="B45" s="210" t="s">
        <v>729</v>
      </c>
    </row>
    <row r="46" spans="2:6" ht="18.5" x14ac:dyDescent="0.45">
      <c r="B46" s="209" t="s">
        <v>419</v>
      </c>
      <c r="C46" s="198" t="s">
        <v>806</v>
      </c>
    </row>
    <row r="47" spans="2:6" x14ac:dyDescent="0.35">
      <c r="B47" s="185" t="s">
        <v>727</v>
      </c>
      <c r="C47" s="185">
        <v>0</v>
      </c>
    </row>
    <row r="48" spans="2:6" x14ac:dyDescent="0.35">
      <c r="B48" s="185" t="s">
        <v>726</v>
      </c>
      <c r="C48" s="185">
        <v>1</v>
      </c>
    </row>
    <row r="49" spans="2:4" x14ac:dyDescent="0.35">
      <c r="B49" s="185" t="s">
        <v>417</v>
      </c>
      <c r="C49" s="185">
        <v>1.25</v>
      </c>
    </row>
    <row r="51" spans="2:4" ht="18.5" x14ac:dyDescent="0.45">
      <c r="B51" s="210" t="s">
        <v>702</v>
      </c>
    </row>
    <row r="52" spans="2:4" ht="18.5" x14ac:dyDescent="0.45">
      <c r="B52" s="209" t="s">
        <v>418</v>
      </c>
      <c r="C52" s="198" t="s">
        <v>805</v>
      </c>
    </row>
    <row r="53" spans="2:4" x14ac:dyDescent="0.35">
      <c r="B53" s="185" t="s">
        <v>417</v>
      </c>
      <c r="C53" s="185">
        <v>1</v>
      </c>
    </row>
    <row r="54" spans="2:4" x14ac:dyDescent="0.35">
      <c r="B54" s="185" t="s">
        <v>699</v>
      </c>
      <c r="C54" s="185">
        <v>1.2</v>
      </c>
    </row>
    <row r="55" spans="2:4" x14ac:dyDescent="0.35">
      <c r="B55" s="185" t="s">
        <v>698</v>
      </c>
      <c r="C55" s="185">
        <v>1.33</v>
      </c>
    </row>
    <row r="57" spans="2:4" ht="18.5" x14ac:dyDescent="0.45">
      <c r="B57" s="210" t="s">
        <v>697</v>
      </c>
    </row>
    <row r="58" spans="2:4" ht="18.5" x14ac:dyDescent="0.45">
      <c r="B58" s="209" t="s">
        <v>416</v>
      </c>
      <c r="C58" s="198" t="s">
        <v>804</v>
      </c>
    </row>
    <row r="59" spans="2:4" x14ac:dyDescent="0.35">
      <c r="B59" s="185" t="s">
        <v>73</v>
      </c>
      <c r="C59" s="185">
        <v>1</v>
      </c>
    </row>
    <row r="60" spans="2:4" x14ac:dyDescent="0.35">
      <c r="B60" s="185" t="s">
        <v>415</v>
      </c>
      <c r="C60" s="185">
        <v>1.25</v>
      </c>
    </row>
    <row r="62" spans="2:4" ht="18.5" x14ac:dyDescent="0.45">
      <c r="B62" s="210" t="s">
        <v>695</v>
      </c>
    </row>
    <row r="63" spans="2:4" ht="18.5" x14ac:dyDescent="0.45">
      <c r="B63" s="209" t="s">
        <v>694</v>
      </c>
      <c r="D63" s="198" t="s">
        <v>803</v>
      </c>
    </row>
    <row r="64" spans="2:4" x14ac:dyDescent="0.35">
      <c r="B64" s="185" t="s">
        <v>456</v>
      </c>
      <c r="C64" s="185">
        <v>2</v>
      </c>
      <c r="D64" s="185">
        <v>1</v>
      </c>
    </row>
    <row r="65" spans="2:11" x14ac:dyDescent="0.35">
      <c r="B65" s="185" t="s">
        <v>691</v>
      </c>
      <c r="C65" s="185">
        <v>3</v>
      </c>
      <c r="D65" s="185">
        <v>1.8</v>
      </c>
    </row>
    <row r="66" spans="2:11" x14ac:dyDescent="0.35">
      <c r="B66" s="185" t="s">
        <v>566</v>
      </c>
      <c r="C66" s="185">
        <v>4</v>
      </c>
      <c r="D66" s="185">
        <v>2.8</v>
      </c>
    </row>
    <row r="67" spans="2:11" x14ac:dyDescent="0.35">
      <c r="B67" s="185" t="s">
        <v>690</v>
      </c>
      <c r="C67" s="185">
        <v>5</v>
      </c>
      <c r="D67" s="185">
        <v>4</v>
      </c>
    </row>
    <row r="68" spans="2:11" x14ac:dyDescent="0.35">
      <c r="B68" s="185" t="s">
        <v>689</v>
      </c>
      <c r="C68" s="185">
        <v>6</v>
      </c>
      <c r="D68" s="185">
        <v>5.2</v>
      </c>
      <c r="F68" s="250"/>
      <c r="G68" s="207"/>
      <c r="H68" s="207"/>
      <c r="I68" s="207"/>
      <c r="J68" s="207"/>
      <c r="K68" s="207"/>
    </row>
    <row r="69" spans="2:11" x14ac:dyDescent="0.35">
      <c r="B69" s="185" t="s">
        <v>688</v>
      </c>
      <c r="C69" s="185">
        <v>7</v>
      </c>
      <c r="D69" s="185">
        <v>6.6</v>
      </c>
      <c r="F69" s="250"/>
      <c r="G69" s="207"/>
      <c r="H69" s="207"/>
      <c r="I69" s="207"/>
      <c r="J69" s="207"/>
      <c r="K69" s="207"/>
    </row>
    <row r="70" spans="2:11" x14ac:dyDescent="0.35">
      <c r="B70" s="185" t="s">
        <v>687</v>
      </c>
      <c r="C70" s="185">
        <v>8</v>
      </c>
      <c r="D70" s="185">
        <v>8</v>
      </c>
      <c r="F70" s="250"/>
      <c r="G70" s="207"/>
      <c r="H70" s="207"/>
      <c r="I70" s="207"/>
      <c r="J70" s="207"/>
      <c r="K70" s="207"/>
    </row>
    <row r="72" spans="2:11" ht="18.5" x14ac:dyDescent="0.45">
      <c r="B72" s="210" t="s">
        <v>686</v>
      </c>
    </row>
    <row r="73" spans="2:11" ht="18.5" x14ac:dyDescent="0.45">
      <c r="B73" s="209" t="s">
        <v>414</v>
      </c>
      <c r="C73" s="198" t="s">
        <v>802</v>
      </c>
    </row>
    <row r="74" spans="2:11" x14ac:dyDescent="0.35">
      <c r="B74" s="185" t="s">
        <v>684</v>
      </c>
      <c r="C74" s="185">
        <v>1</v>
      </c>
    </row>
    <row r="75" spans="2:11" x14ac:dyDescent="0.35">
      <c r="B75" s="185" t="s">
        <v>683</v>
      </c>
      <c r="C75" s="185">
        <v>1</v>
      </c>
    </row>
    <row r="76" spans="2:11" x14ac:dyDescent="0.35">
      <c r="B76" s="185" t="s">
        <v>682</v>
      </c>
      <c r="C76" s="185">
        <v>3</v>
      </c>
    </row>
    <row r="77" spans="2:11" ht="18.5" x14ac:dyDescent="0.45">
      <c r="B77" s="185" t="s">
        <v>681</v>
      </c>
      <c r="C77" s="185">
        <v>2.7</v>
      </c>
      <c r="H77" s="209"/>
    </row>
    <row r="78" spans="2:11" x14ac:dyDescent="0.35">
      <c r="B78" s="185" t="s">
        <v>680</v>
      </c>
      <c r="C78" s="185">
        <v>2.4</v>
      </c>
    </row>
    <row r="79" spans="2:11" x14ac:dyDescent="0.35">
      <c r="B79" s="185" t="s">
        <v>413</v>
      </c>
      <c r="C79" s="185">
        <v>3</v>
      </c>
    </row>
    <row r="80" spans="2:11" x14ac:dyDescent="0.35">
      <c r="B80" s="185" t="s">
        <v>412</v>
      </c>
      <c r="C80" s="185">
        <v>2.7</v>
      </c>
    </row>
    <row r="82" spans="2:14" ht="18.5" x14ac:dyDescent="0.45">
      <c r="B82" s="210" t="s">
        <v>801</v>
      </c>
    </row>
    <row r="83" spans="2:14" ht="18.5" x14ac:dyDescent="0.45">
      <c r="B83" s="209" t="s">
        <v>576</v>
      </c>
      <c r="C83" s="198" t="s">
        <v>800</v>
      </c>
      <c r="D83" s="198" t="s">
        <v>799</v>
      </c>
    </row>
    <row r="84" spans="2:14" x14ac:dyDescent="0.35">
      <c r="B84" s="185" t="s">
        <v>657</v>
      </c>
      <c r="C84" s="185">
        <v>1.1000000000000001</v>
      </c>
      <c r="D84" s="185">
        <v>4.7800000000000004E-3</v>
      </c>
    </row>
    <row r="85" spans="2:14" x14ac:dyDescent="0.35">
      <c r="B85" s="185" t="s">
        <v>656</v>
      </c>
      <c r="C85" s="185">
        <v>1.1000000000000001</v>
      </c>
      <c r="D85" s="185">
        <v>4.7800000000000004E-3</v>
      </c>
    </row>
    <row r="86" spans="2:14" x14ac:dyDescent="0.35">
      <c r="B86" s="185" t="s">
        <v>655</v>
      </c>
      <c r="C86" s="185">
        <v>1.1000000000000001</v>
      </c>
      <c r="D86" s="185">
        <v>4.7800000000000004E-3</v>
      </c>
    </row>
    <row r="87" spans="2:14" x14ac:dyDescent="0.35">
      <c r="B87" s="185" t="s">
        <v>653</v>
      </c>
      <c r="C87" s="185">
        <v>1.1000000000000001</v>
      </c>
      <c r="D87" s="185">
        <v>4.7800000000000004E-3</v>
      </c>
    </row>
    <row r="88" spans="2:14" x14ac:dyDescent="0.35">
      <c r="B88" s="185" t="s">
        <v>652</v>
      </c>
      <c r="C88" s="185">
        <v>1.2</v>
      </c>
      <c r="D88" s="185">
        <v>3.16E-3</v>
      </c>
    </row>
    <row r="89" spans="2:14" x14ac:dyDescent="0.35">
      <c r="B89" s="185" t="s">
        <v>651</v>
      </c>
      <c r="C89" s="185">
        <v>1.2</v>
      </c>
      <c r="D89" s="185">
        <v>3.16E-3</v>
      </c>
    </row>
    <row r="90" spans="2:14" x14ac:dyDescent="0.35">
      <c r="B90" s="185" t="s">
        <v>650</v>
      </c>
      <c r="C90" s="185">
        <v>1.2</v>
      </c>
      <c r="D90" s="185">
        <v>3.16E-3</v>
      </c>
    </row>
    <row r="91" spans="2:14" x14ac:dyDescent="0.35">
      <c r="B91" s="185" t="s">
        <v>575</v>
      </c>
      <c r="C91" s="185">
        <v>1.2</v>
      </c>
      <c r="D91" s="185">
        <v>3.16E-3</v>
      </c>
    </row>
    <row r="95" spans="2:14" ht="18.5" x14ac:dyDescent="0.45">
      <c r="B95" s="210" t="s">
        <v>798</v>
      </c>
    </row>
    <row r="96" spans="2:14" ht="21" x14ac:dyDescent="0.5">
      <c r="B96" s="209" t="s">
        <v>678</v>
      </c>
      <c r="C96" s="198" t="s">
        <v>797</v>
      </c>
      <c r="D96" s="198" t="s">
        <v>796</v>
      </c>
      <c r="E96" s="198"/>
      <c r="F96" s="251"/>
      <c r="G96" s="251"/>
      <c r="H96" s="251"/>
      <c r="I96" s="251"/>
      <c r="J96" s="251"/>
      <c r="K96" s="251"/>
      <c r="N96" s="198"/>
    </row>
    <row r="97" spans="2:4" x14ac:dyDescent="0.35">
      <c r="B97" s="185" t="s">
        <v>677</v>
      </c>
      <c r="C97" s="185">
        <v>3.1E-2</v>
      </c>
      <c r="D97" s="252">
        <v>4.4999999999999998E-2</v>
      </c>
    </row>
    <row r="98" spans="2:4" x14ac:dyDescent="0.35">
      <c r="B98" s="185" t="s">
        <v>676</v>
      </c>
      <c r="C98" s="185">
        <v>3.1E-2</v>
      </c>
      <c r="D98" s="252">
        <v>0.45500000000000002</v>
      </c>
    </row>
    <row r="99" spans="2:4" x14ac:dyDescent="0.35">
      <c r="B99" s="185" t="s">
        <v>675</v>
      </c>
      <c r="C99" s="185">
        <v>0.313</v>
      </c>
      <c r="D99" s="252">
        <v>0.45500000000000002</v>
      </c>
    </row>
    <row r="100" spans="2:4" x14ac:dyDescent="0.35">
      <c r="B100" s="185" t="s">
        <v>674</v>
      </c>
      <c r="C100" s="185">
        <v>0.625</v>
      </c>
      <c r="D100" s="252">
        <v>4.4999999999999998E-2</v>
      </c>
    </row>
    <row r="102" spans="2:4" ht="18.5" x14ac:dyDescent="0.45">
      <c r="B102" s="210" t="s">
        <v>669</v>
      </c>
    </row>
    <row r="103" spans="2:4" ht="18.5" x14ac:dyDescent="0.45">
      <c r="B103" s="209" t="s">
        <v>795</v>
      </c>
      <c r="C103" s="198" t="s">
        <v>667</v>
      </c>
    </row>
    <row r="104" spans="2:4" x14ac:dyDescent="0.35">
      <c r="B104" s="208" t="s">
        <v>417</v>
      </c>
      <c r="C104" s="185">
        <v>0</v>
      </c>
    </row>
    <row r="105" spans="2:4" x14ac:dyDescent="0.35">
      <c r="B105" s="208" t="s">
        <v>666</v>
      </c>
      <c r="C105" s="185">
        <v>1E-3</v>
      </c>
    </row>
    <row r="106" spans="2:4" x14ac:dyDescent="0.35">
      <c r="B106" s="208" t="s">
        <v>431</v>
      </c>
      <c r="C106" s="185">
        <v>2E-3</v>
      </c>
    </row>
    <row r="107" spans="2:4" x14ac:dyDescent="0.35">
      <c r="B107" s="208" t="s">
        <v>563</v>
      </c>
      <c r="C107" s="185">
        <v>2E-3</v>
      </c>
    </row>
    <row r="108" spans="2:4" x14ac:dyDescent="0.35">
      <c r="B108" s="208" t="s">
        <v>665</v>
      </c>
      <c r="C108" s="185">
        <v>3.0000000000000001E-3</v>
      </c>
    </row>
    <row r="109" spans="2:4" x14ac:dyDescent="0.35">
      <c r="B109" s="208" t="s">
        <v>461</v>
      </c>
      <c r="C109" s="185">
        <v>4.0000000000000001E-3</v>
      </c>
    </row>
    <row r="110" spans="2:4" x14ac:dyDescent="0.35">
      <c r="B110" s="208" t="s">
        <v>459</v>
      </c>
      <c r="C110" s="185">
        <v>5.0000000000000001E-3</v>
      </c>
    </row>
    <row r="111" spans="2:4" x14ac:dyDescent="0.35">
      <c r="B111" s="208" t="s">
        <v>664</v>
      </c>
      <c r="C111" s="185">
        <v>6.0000000000000001E-3</v>
      </c>
    </row>
    <row r="112" spans="2:4" x14ac:dyDescent="0.35">
      <c r="B112" s="208" t="s">
        <v>663</v>
      </c>
      <c r="C112" s="185">
        <v>6.0000000000000001E-3</v>
      </c>
    </row>
    <row r="113" spans="2:3" x14ac:dyDescent="0.35">
      <c r="B113" s="208" t="s">
        <v>556</v>
      </c>
      <c r="C113" s="185">
        <v>7.0000000000000001E-3</v>
      </c>
    </row>
    <row r="114" spans="2:3" x14ac:dyDescent="0.35">
      <c r="B114" s="208" t="s">
        <v>662</v>
      </c>
      <c r="C114" s="185">
        <v>8.9999999999999993E-3</v>
      </c>
    </row>
    <row r="117" spans="2:3" x14ac:dyDescent="0.35">
      <c r="B117" s="207" t="s">
        <v>85</v>
      </c>
    </row>
    <row r="118" spans="2:3" x14ac:dyDescent="0.35">
      <c r="B118" s="185" t="s">
        <v>897</v>
      </c>
    </row>
    <row r="119" spans="2:3" x14ac:dyDescent="0.35">
      <c r="B119" s="185" t="s">
        <v>898</v>
      </c>
    </row>
    <row r="120" spans="2:3" x14ac:dyDescent="0.35">
      <c r="B120" s="185" t="s">
        <v>899</v>
      </c>
    </row>
  </sheetData>
  <mergeCells count="1">
    <mergeCell ref="C26:E26"/>
  </mergeCells>
  <pageMargins left="0.7" right="0.7" top="0.75" bottom="0.75" header="0.51180555555555496" footer="0.51180555555555496"/>
  <pageSetup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B2:O103"/>
  <sheetViews>
    <sheetView zoomScale="110" zoomScaleNormal="110" workbookViewId="0">
      <selection activeCell="A110" sqref="A110"/>
    </sheetView>
  </sheetViews>
  <sheetFormatPr defaultColWidth="8.7265625" defaultRowHeight="14.5" x14ac:dyDescent="0.35"/>
  <cols>
    <col min="1" max="1" width="8.7265625" style="185"/>
    <col min="2" max="2" width="68" style="185" customWidth="1"/>
    <col min="3" max="3" width="25.26953125" style="185" customWidth="1"/>
    <col min="4" max="4" width="11.81640625" style="185" customWidth="1"/>
    <col min="5" max="16384" width="8.7265625" style="185"/>
  </cols>
  <sheetData>
    <row r="2" spans="2:3" ht="18.5" x14ac:dyDescent="0.45">
      <c r="B2" s="210" t="s">
        <v>837</v>
      </c>
    </row>
    <row r="3" spans="2:3" ht="18.5" x14ac:dyDescent="0.45">
      <c r="B3" s="209" t="s">
        <v>441</v>
      </c>
      <c r="C3" s="198" t="s">
        <v>836</v>
      </c>
    </row>
    <row r="4" spans="2:3" x14ac:dyDescent="0.35">
      <c r="B4" s="185" t="s">
        <v>791</v>
      </c>
      <c r="C4" s="185">
        <v>1</v>
      </c>
    </row>
    <row r="5" spans="2:3" x14ac:dyDescent="0.35">
      <c r="B5" s="185" t="s">
        <v>790</v>
      </c>
      <c r="C5" s="185">
        <v>1</v>
      </c>
    </row>
    <row r="6" spans="2:3" x14ac:dyDescent="0.35">
      <c r="B6" s="185" t="s">
        <v>553</v>
      </c>
      <c r="C6" s="185">
        <v>1</v>
      </c>
    </row>
    <row r="7" spans="2:3" x14ac:dyDescent="0.35">
      <c r="B7" s="185" t="s">
        <v>417</v>
      </c>
      <c r="C7" s="185">
        <v>1.2</v>
      </c>
    </row>
    <row r="8" spans="2:3" x14ac:dyDescent="0.35">
      <c r="B8" s="185" t="s">
        <v>789</v>
      </c>
      <c r="C8" s="185">
        <v>1.2</v>
      </c>
    </row>
    <row r="9" spans="2:3" x14ac:dyDescent="0.35">
      <c r="B9" s="185" t="s">
        <v>788</v>
      </c>
      <c r="C9" s="185">
        <v>1</v>
      </c>
    </row>
    <row r="10" spans="2:3" x14ac:dyDescent="0.35">
      <c r="B10" s="185" t="s">
        <v>753</v>
      </c>
      <c r="C10" s="185">
        <v>1.2</v>
      </c>
    </row>
    <row r="11" spans="2:3" x14ac:dyDescent="0.35">
      <c r="B11" s="185" t="s">
        <v>440</v>
      </c>
      <c r="C11" s="185">
        <v>1.2</v>
      </c>
    </row>
    <row r="12" spans="2:3" x14ac:dyDescent="0.35">
      <c r="B12" s="185" t="s">
        <v>752</v>
      </c>
      <c r="C12" s="185">
        <v>1.2</v>
      </c>
    </row>
    <row r="14" spans="2:3" ht="18.5" x14ac:dyDescent="0.45">
      <c r="B14" s="210" t="s">
        <v>835</v>
      </c>
    </row>
    <row r="15" spans="2:3" ht="18.5" x14ac:dyDescent="0.45">
      <c r="B15" s="209" t="s">
        <v>834</v>
      </c>
      <c r="C15" s="198" t="s">
        <v>833</v>
      </c>
    </row>
    <row r="16" spans="2:3" x14ac:dyDescent="0.35">
      <c r="B16" s="185" t="s">
        <v>832</v>
      </c>
      <c r="C16" s="185">
        <v>0</v>
      </c>
    </row>
    <row r="17" spans="2:5" x14ac:dyDescent="0.35">
      <c r="B17" s="185" t="s">
        <v>831</v>
      </c>
      <c r="C17" s="185">
        <v>0.15</v>
      </c>
    </row>
    <row r="18" spans="2:5" x14ac:dyDescent="0.35">
      <c r="B18" s="185" t="s">
        <v>830</v>
      </c>
      <c r="C18" s="185">
        <v>0.19</v>
      </c>
    </row>
    <row r="19" spans="2:5" x14ac:dyDescent="0.35">
      <c r="B19" s="185" t="s">
        <v>829</v>
      </c>
      <c r="C19" s="185">
        <v>0.56999999999999995</v>
      </c>
    </row>
    <row r="20" spans="2:5" x14ac:dyDescent="0.35">
      <c r="B20" s="185" t="s">
        <v>828</v>
      </c>
      <c r="C20" s="185">
        <v>0.72</v>
      </c>
    </row>
    <row r="21" spans="2:5" x14ac:dyDescent="0.35">
      <c r="B21" s="185" t="s">
        <v>827</v>
      </c>
      <c r="C21" s="185">
        <v>0.76</v>
      </c>
    </row>
    <row r="22" spans="2:5" x14ac:dyDescent="0.35">
      <c r="B22" s="185" t="s">
        <v>551</v>
      </c>
      <c r="C22" s="185">
        <v>1</v>
      </c>
    </row>
    <row r="24" spans="2:5" ht="18.5" x14ac:dyDescent="0.45">
      <c r="B24" s="210" t="s">
        <v>826</v>
      </c>
    </row>
    <row r="25" spans="2:5" ht="18.5" x14ac:dyDescent="0.45">
      <c r="B25" s="209" t="s">
        <v>576</v>
      </c>
      <c r="C25" s="207" t="s">
        <v>825</v>
      </c>
      <c r="D25" s="198" t="s">
        <v>824</v>
      </c>
      <c r="E25" s="185" t="s">
        <v>823</v>
      </c>
    </row>
    <row r="26" spans="2:5" x14ac:dyDescent="0.35">
      <c r="B26" s="185" t="s">
        <v>657</v>
      </c>
      <c r="C26" s="185">
        <v>45</v>
      </c>
      <c r="D26" s="185">
        <v>45</v>
      </c>
      <c r="E26" s="185">
        <v>2.41E-2</v>
      </c>
    </row>
    <row r="27" spans="2:5" x14ac:dyDescent="0.35">
      <c r="B27" s="185" t="s">
        <v>656</v>
      </c>
      <c r="C27" s="185">
        <v>55</v>
      </c>
      <c r="D27" s="185">
        <v>45</v>
      </c>
      <c r="E27" s="185">
        <v>2.41E-2</v>
      </c>
    </row>
    <row r="28" spans="2:5" x14ac:dyDescent="0.35">
      <c r="B28" s="185" t="s">
        <v>655</v>
      </c>
      <c r="C28" s="185">
        <v>30</v>
      </c>
      <c r="D28" s="185">
        <v>45</v>
      </c>
      <c r="E28" s="185">
        <v>2.41E-2</v>
      </c>
    </row>
    <row r="29" spans="2:5" x14ac:dyDescent="0.35">
      <c r="B29" s="185" t="s">
        <v>653</v>
      </c>
      <c r="C29" s="185">
        <v>40</v>
      </c>
      <c r="D29" s="185">
        <v>45</v>
      </c>
      <c r="E29" s="185">
        <v>2.41E-2</v>
      </c>
    </row>
    <row r="30" spans="2:5" x14ac:dyDescent="0.35">
      <c r="B30" s="185" t="s">
        <v>652</v>
      </c>
      <c r="C30" s="185">
        <v>55</v>
      </c>
      <c r="D30" s="185">
        <v>50</v>
      </c>
      <c r="E30" s="185">
        <v>2.41E-2</v>
      </c>
    </row>
    <row r="31" spans="2:5" x14ac:dyDescent="0.35">
      <c r="B31" s="185" t="s">
        <v>651</v>
      </c>
      <c r="C31" s="185">
        <v>80</v>
      </c>
      <c r="D31" s="185">
        <v>50</v>
      </c>
      <c r="E31" s="185">
        <v>2.41E-2</v>
      </c>
    </row>
    <row r="32" spans="2:5" x14ac:dyDescent="0.35">
      <c r="B32" s="185" t="s">
        <v>650</v>
      </c>
      <c r="C32" s="185">
        <v>35</v>
      </c>
      <c r="D32" s="185">
        <v>50</v>
      </c>
      <c r="E32" s="185">
        <v>2.41E-2</v>
      </c>
    </row>
    <row r="33" spans="2:5" x14ac:dyDescent="0.35">
      <c r="B33" s="185" t="s">
        <v>575</v>
      </c>
      <c r="C33" s="185">
        <v>50</v>
      </c>
      <c r="D33" s="185">
        <v>50</v>
      </c>
      <c r="E33" s="185">
        <v>2.41E-2</v>
      </c>
    </row>
    <row r="37" spans="2:5" ht="18.5" x14ac:dyDescent="0.45">
      <c r="B37" s="210" t="s">
        <v>822</v>
      </c>
    </row>
    <row r="38" spans="2:5" ht="18.5" x14ac:dyDescent="0.45">
      <c r="B38" s="209" t="s">
        <v>821</v>
      </c>
      <c r="C38" s="198" t="s">
        <v>820</v>
      </c>
    </row>
    <row r="39" spans="2:5" x14ac:dyDescent="0.35">
      <c r="B39" s="185" t="s">
        <v>549</v>
      </c>
      <c r="C39" s="185">
        <v>1</v>
      </c>
    </row>
    <row r="40" spans="2:5" x14ac:dyDescent="0.35">
      <c r="B40" s="185" t="s">
        <v>420</v>
      </c>
      <c r="C40" s="185">
        <v>1.2</v>
      </c>
    </row>
    <row r="41" spans="2:5" x14ac:dyDescent="0.35">
      <c r="B41" s="185" t="s">
        <v>819</v>
      </c>
      <c r="C41" s="185">
        <v>1</v>
      </c>
    </row>
    <row r="43" spans="2:5" ht="18.5" x14ac:dyDescent="0.45">
      <c r="B43" s="210" t="s">
        <v>818</v>
      </c>
    </row>
    <row r="44" spans="2:5" ht="18.5" x14ac:dyDescent="0.45">
      <c r="B44" s="209" t="s">
        <v>548</v>
      </c>
      <c r="C44" s="198" t="s">
        <v>817</v>
      </c>
    </row>
    <row r="45" spans="2:5" x14ac:dyDescent="0.35">
      <c r="B45" s="185" t="s">
        <v>415</v>
      </c>
      <c r="C45" s="185">
        <v>1.2</v>
      </c>
    </row>
    <row r="46" spans="2:5" x14ac:dyDescent="0.35">
      <c r="B46" s="185" t="s">
        <v>73</v>
      </c>
      <c r="C46" s="185">
        <v>1</v>
      </c>
    </row>
    <row r="48" spans="2:5" ht="18.5" x14ac:dyDescent="0.45">
      <c r="B48" s="210" t="s">
        <v>769</v>
      </c>
    </row>
    <row r="49" spans="2:15" ht="18.5" x14ac:dyDescent="0.45">
      <c r="B49" s="209" t="s">
        <v>416</v>
      </c>
      <c r="C49" s="198" t="s">
        <v>816</v>
      </c>
    </row>
    <row r="50" spans="2:15" x14ac:dyDescent="0.35">
      <c r="B50" s="185" t="s">
        <v>73</v>
      </c>
      <c r="C50" s="185">
        <v>1</v>
      </c>
    </row>
    <row r="51" spans="2:15" x14ac:dyDescent="0.35">
      <c r="B51" s="185" t="s">
        <v>415</v>
      </c>
      <c r="C51" s="185">
        <v>1.25</v>
      </c>
    </row>
    <row r="53" spans="2:15" ht="21" x14ac:dyDescent="0.5">
      <c r="B53" s="210" t="s">
        <v>815</v>
      </c>
      <c r="J53" s="251"/>
      <c r="K53" s="251"/>
      <c r="L53" s="251"/>
      <c r="M53" s="251"/>
      <c r="N53" s="251"/>
      <c r="O53" s="251"/>
    </row>
    <row r="54" spans="2:15" ht="18.5" x14ac:dyDescent="0.45">
      <c r="B54" s="209" t="s">
        <v>767</v>
      </c>
      <c r="C54" s="198" t="s">
        <v>814</v>
      </c>
      <c r="D54" s="198" t="s">
        <v>813</v>
      </c>
    </row>
    <row r="55" spans="2:15" x14ac:dyDescent="0.35">
      <c r="B55" s="185" t="s">
        <v>677</v>
      </c>
      <c r="C55" s="185">
        <v>7.6999999999999999E-2</v>
      </c>
      <c r="D55" s="185">
        <v>8.3000000000000004E-2</v>
      </c>
    </row>
    <row r="56" spans="2:15" x14ac:dyDescent="0.35">
      <c r="B56" s="185" t="s">
        <v>676</v>
      </c>
      <c r="C56" s="185">
        <v>7.6999999999999999E-2</v>
      </c>
      <c r="D56" s="185">
        <v>0.16700000000000001</v>
      </c>
    </row>
    <row r="57" spans="2:15" x14ac:dyDescent="0.35">
      <c r="B57" s="185" t="s">
        <v>675</v>
      </c>
      <c r="C57" s="185">
        <v>0.76900000000000002</v>
      </c>
      <c r="D57" s="185">
        <v>0.58299999999999996</v>
      </c>
    </row>
    <row r="58" spans="2:15" x14ac:dyDescent="0.35">
      <c r="B58" s="185" t="s">
        <v>674</v>
      </c>
      <c r="C58" s="185">
        <v>7.6999999999999999E-2</v>
      </c>
      <c r="D58" s="185">
        <v>0.16700000000000001</v>
      </c>
    </row>
    <row r="60" spans="2:15" ht="18.5" x14ac:dyDescent="0.45">
      <c r="B60" s="210" t="s">
        <v>766</v>
      </c>
    </row>
    <row r="61" spans="2:15" ht="18.5" x14ac:dyDescent="0.45">
      <c r="B61" s="209" t="s">
        <v>672</v>
      </c>
      <c r="C61" s="198" t="s">
        <v>812</v>
      </c>
    </row>
    <row r="62" spans="2:15" x14ac:dyDescent="0.35">
      <c r="B62" s="208" t="s">
        <v>568</v>
      </c>
      <c r="C62" s="185">
        <v>1.0999999999999999E-2</v>
      </c>
    </row>
    <row r="63" spans="2:15" x14ac:dyDescent="0.35">
      <c r="B63" s="185">
        <v>25</v>
      </c>
      <c r="C63" s="185">
        <v>3.1E-2</v>
      </c>
    </row>
    <row r="64" spans="2:15" x14ac:dyDescent="0.35">
      <c r="B64" s="185">
        <v>30</v>
      </c>
      <c r="C64" s="185">
        <v>6.4000000000000001E-2</v>
      </c>
    </row>
    <row r="65" spans="2:3" x14ac:dyDescent="0.35">
      <c r="B65" s="185">
        <v>35</v>
      </c>
      <c r="C65" s="185">
        <v>0.112</v>
      </c>
    </row>
    <row r="66" spans="2:3" x14ac:dyDescent="0.35">
      <c r="B66" s="185">
        <v>40</v>
      </c>
      <c r="C66" s="185">
        <v>0.17799999999999999</v>
      </c>
    </row>
    <row r="67" spans="2:3" x14ac:dyDescent="0.35">
      <c r="B67" s="185">
        <v>45</v>
      </c>
      <c r="C67" s="185">
        <v>0.26400000000000001</v>
      </c>
    </row>
    <row r="68" spans="2:3" x14ac:dyDescent="0.35">
      <c r="B68" s="185">
        <v>50</v>
      </c>
      <c r="C68" s="185">
        <v>0.372</v>
      </c>
    </row>
    <row r="69" spans="2:3" x14ac:dyDescent="0.35">
      <c r="B69" s="185">
        <v>55</v>
      </c>
      <c r="C69" s="185">
        <v>0.505</v>
      </c>
    </row>
    <row r="70" spans="2:3" x14ac:dyDescent="0.35">
      <c r="B70" s="185">
        <v>60</v>
      </c>
      <c r="C70" s="185">
        <v>0.64300000000000002</v>
      </c>
    </row>
    <row r="71" spans="2:3" x14ac:dyDescent="0.35">
      <c r="B71" s="185">
        <v>65</v>
      </c>
      <c r="C71" s="185">
        <v>0.69699999999999995</v>
      </c>
    </row>
    <row r="72" spans="2:3" x14ac:dyDescent="0.35">
      <c r="B72" s="185">
        <v>70</v>
      </c>
      <c r="C72" s="185">
        <v>0.751</v>
      </c>
    </row>
    <row r="73" spans="2:3" x14ac:dyDescent="0.35">
      <c r="B73" s="185">
        <v>75</v>
      </c>
      <c r="C73" s="185">
        <v>0.80400000000000005</v>
      </c>
    </row>
    <row r="74" spans="2:3" x14ac:dyDescent="0.35">
      <c r="B74" s="185">
        <v>80</v>
      </c>
      <c r="C74" s="185">
        <v>0.85799999999999998</v>
      </c>
    </row>
    <row r="75" spans="2:3" x14ac:dyDescent="0.35">
      <c r="B75" s="185">
        <v>85</v>
      </c>
      <c r="C75" s="185">
        <v>0.91200000000000003</v>
      </c>
    </row>
    <row r="76" spans="2:3" x14ac:dyDescent="0.35">
      <c r="B76" s="208" t="s">
        <v>670</v>
      </c>
      <c r="C76" s="185">
        <v>0.96599999999999997</v>
      </c>
    </row>
    <row r="79" spans="2:3" ht="18.5" x14ac:dyDescent="0.45">
      <c r="B79" s="209"/>
    </row>
    <row r="91" spans="2:3" ht="18.5" x14ac:dyDescent="0.45">
      <c r="B91" s="210" t="s">
        <v>764</v>
      </c>
    </row>
    <row r="92" spans="2:3" ht="18.5" x14ac:dyDescent="0.45">
      <c r="B92" s="209" t="s">
        <v>763</v>
      </c>
      <c r="C92" s="198" t="s">
        <v>811</v>
      </c>
    </row>
    <row r="93" spans="2:3" x14ac:dyDescent="0.35">
      <c r="B93" s="208" t="s">
        <v>417</v>
      </c>
      <c r="C93" s="185">
        <v>0</v>
      </c>
    </row>
    <row r="94" spans="2:3" x14ac:dyDescent="0.35">
      <c r="B94" s="208" t="s">
        <v>666</v>
      </c>
      <c r="C94" s="185">
        <v>1E-3</v>
      </c>
    </row>
    <row r="95" spans="2:3" x14ac:dyDescent="0.35">
      <c r="B95" s="208" t="s">
        <v>431</v>
      </c>
      <c r="C95" s="185">
        <v>2E-3</v>
      </c>
    </row>
    <row r="96" spans="2:3" x14ac:dyDescent="0.35">
      <c r="B96" s="208" t="s">
        <v>563</v>
      </c>
      <c r="C96" s="185">
        <v>2E-3</v>
      </c>
    </row>
    <row r="97" spans="2:3" x14ac:dyDescent="0.35">
      <c r="B97" s="208" t="s">
        <v>665</v>
      </c>
      <c r="C97" s="185">
        <v>3.0000000000000001E-3</v>
      </c>
    </row>
    <row r="98" spans="2:3" x14ac:dyDescent="0.35">
      <c r="B98" s="208" t="s">
        <v>461</v>
      </c>
      <c r="C98" s="185">
        <v>4.0000000000000001E-3</v>
      </c>
    </row>
    <row r="99" spans="2:3" x14ac:dyDescent="0.35">
      <c r="B99" s="208" t="s">
        <v>459</v>
      </c>
      <c r="C99" s="185">
        <v>5.0000000000000001E-3</v>
      </c>
    </row>
    <row r="100" spans="2:3" x14ac:dyDescent="0.35">
      <c r="B100" s="208" t="s">
        <v>664</v>
      </c>
      <c r="C100" s="185">
        <v>6.0000000000000001E-3</v>
      </c>
    </row>
    <row r="101" spans="2:3" x14ac:dyDescent="0.35">
      <c r="B101" s="208" t="s">
        <v>663</v>
      </c>
      <c r="C101" s="185">
        <v>6.0000000000000001E-3</v>
      </c>
    </row>
    <row r="102" spans="2:3" x14ac:dyDescent="0.35">
      <c r="B102" s="208" t="s">
        <v>556</v>
      </c>
      <c r="C102" s="185">
        <v>7.0000000000000001E-3</v>
      </c>
    </row>
    <row r="103" spans="2:3" x14ac:dyDescent="0.35">
      <c r="B103" s="208" t="s">
        <v>662</v>
      </c>
      <c r="C103" s="185">
        <v>8.9999999999999993E-3</v>
      </c>
    </row>
  </sheetData>
  <pageMargins left="0.7" right="0.7" top="0.75" bottom="0.75" header="0.51180555555555496" footer="0.51180555555555496"/>
  <pageSetup firstPageNumber="0"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P47"/>
  <sheetViews>
    <sheetView workbookViewId="0">
      <selection activeCell="K46" sqref="K46"/>
    </sheetView>
  </sheetViews>
  <sheetFormatPr defaultRowHeight="12.5" x14ac:dyDescent="0.25"/>
  <cols>
    <col min="2" max="2" width="11.453125" bestFit="1" customWidth="1"/>
    <col min="4" max="4" width="15.26953125" bestFit="1" customWidth="1"/>
    <col min="6" max="6" width="10.81640625" customWidth="1"/>
    <col min="8" max="8" width="12.7265625" bestFit="1" customWidth="1"/>
    <col min="10" max="10" width="15" customWidth="1"/>
    <col min="12" max="12" width="10.7265625" customWidth="1"/>
    <col min="14" max="14" width="11.54296875" bestFit="1" customWidth="1"/>
  </cols>
  <sheetData>
    <row r="3" spans="2:12" ht="13" x14ac:dyDescent="0.3">
      <c r="B3" s="8" t="s">
        <v>56</v>
      </c>
      <c r="D3" s="8" t="s">
        <v>65</v>
      </c>
      <c r="F3" s="4" t="s">
        <v>66</v>
      </c>
    </row>
    <row r="4" spans="2:12" x14ac:dyDescent="0.25">
      <c r="B4" s="9">
        <v>9</v>
      </c>
      <c r="D4" s="9">
        <v>0</v>
      </c>
      <c r="F4" s="1">
        <v>1</v>
      </c>
    </row>
    <row r="5" spans="2:12" x14ac:dyDescent="0.25">
      <c r="B5" s="9">
        <v>9.5</v>
      </c>
      <c r="D5" s="9">
        <v>1</v>
      </c>
      <c r="F5" s="1">
        <v>2</v>
      </c>
    </row>
    <row r="6" spans="2:12" x14ac:dyDescent="0.25">
      <c r="B6" s="9">
        <v>10</v>
      </c>
      <c r="D6" s="9">
        <v>2</v>
      </c>
      <c r="F6" s="1">
        <v>3</v>
      </c>
    </row>
    <row r="7" spans="2:12" x14ac:dyDescent="0.25">
      <c r="B7" s="9">
        <v>10.5</v>
      </c>
      <c r="D7" s="9">
        <v>3</v>
      </c>
      <c r="F7" s="1">
        <v>4</v>
      </c>
    </row>
    <row r="8" spans="2:12" x14ac:dyDescent="0.25">
      <c r="B8" s="9">
        <v>11</v>
      </c>
      <c r="D8" s="9">
        <v>4</v>
      </c>
      <c r="F8" s="1">
        <v>5</v>
      </c>
    </row>
    <row r="9" spans="2:12" x14ac:dyDescent="0.25">
      <c r="B9" s="9">
        <v>11.5</v>
      </c>
      <c r="D9" s="9">
        <v>5</v>
      </c>
      <c r="F9" s="1">
        <v>6</v>
      </c>
    </row>
    <row r="10" spans="2:12" x14ac:dyDescent="0.25">
      <c r="B10" s="9">
        <v>12</v>
      </c>
      <c r="D10" s="9">
        <v>6</v>
      </c>
      <c r="F10" s="1">
        <v>7</v>
      </c>
    </row>
    <row r="11" spans="2:12" x14ac:dyDescent="0.25">
      <c r="D11" s="9">
        <v>7</v>
      </c>
    </row>
    <row r="12" spans="2:12" x14ac:dyDescent="0.25">
      <c r="D12" s="9">
        <v>8</v>
      </c>
    </row>
    <row r="15" spans="2:12" ht="13" x14ac:dyDescent="0.3">
      <c r="H15" s="4" t="s">
        <v>74</v>
      </c>
      <c r="J15" s="4" t="s">
        <v>76</v>
      </c>
      <c r="L15" s="4" t="s">
        <v>87</v>
      </c>
    </row>
    <row r="16" spans="2:12" ht="13" x14ac:dyDescent="0.3">
      <c r="D16" s="4" t="s">
        <v>55</v>
      </c>
      <c r="F16" s="4" t="s">
        <v>71</v>
      </c>
      <c r="H16" s="4" t="s">
        <v>75</v>
      </c>
      <c r="J16" s="4" t="s">
        <v>77</v>
      </c>
      <c r="L16" s="25" t="s">
        <v>88</v>
      </c>
    </row>
    <row r="17" spans="4:12" x14ac:dyDescent="0.25">
      <c r="D17" s="9" t="s">
        <v>67</v>
      </c>
      <c r="F17" s="9" t="s">
        <v>72</v>
      </c>
      <c r="H17" s="9" t="s">
        <v>72</v>
      </c>
      <c r="J17" s="9" t="s">
        <v>72</v>
      </c>
      <c r="L17" s="25" t="s">
        <v>89</v>
      </c>
    </row>
    <row r="18" spans="4:12" x14ac:dyDescent="0.25">
      <c r="D18" s="9" t="s">
        <v>68</v>
      </c>
      <c r="F18" s="9" t="s">
        <v>73</v>
      </c>
      <c r="H18" s="9" t="s">
        <v>73</v>
      </c>
      <c r="J18" s="9" t="s">
        <v>82</v>
      </c>
    </row>
    <row r="19" spans="4:12" x14ac:dyDescent="0.25">
      <c r="D19" s="25" t="s">
        <v>69</v>
      </c>
      <c r="J19" s="9" t="s">
        <v>83</v>
      </c>
    </row>
    <row r="20" spans="4:12" x14ac:dyDescent="0.25">
      <c r="D20" s="9" t="s">
        <v>70</v>
      </c>
    </row>
    <row r="22" spans="4:12" ht="13" x14ac:dyDescent="0.3">
      <c r="F22" s="4" t="s">
        <v>57</v>
      </c>
      <c r="H22" s="4" t="s">
        <v>58</v>
      </c>
      <c r="J22" s="4" t="s">
        <v>78</v>
      </c>
    </row>
    <row r="23" spans="4:12" x14ac:dyDescent="0.25">
      <c r="F23" s="9" t="s">
        <v>72</v>
      </c>
      <c r="H23" s="9" t="s">
        <v>72</v>
      </c>
      <c r="J23" s="9" t="s">
        <v>72</v>
      </c>
    </row>
    <row r="24" spans="4:12" x14ac:dyDescent="0.25">
      <c r="F24" s="9" t="s">
        <v>73</v>
      </c>
      <c r="H24" s="9" t="s">
        <v>73</v>
      </c>
      <c r="J24" s="9" t="s">
        <v>73</v>
      </c>
    </row>
    <row r="28" spans="4:12" ht="13" x14ac:dyDescent="0.3">
      <c r="D28" s="25" t="s">
        <v>98</v>
      </c>
      <c r="F28" s="25" t="s">
        <v>102</v>
      </c>
      <c r="H28" s="25" t="s">
        <v>103</v>
      </c>
      <c r="J28" s="25" t="s">
        <v>104</v>
      </c>
      <c r="L28" s="4" t="s">
        <v>108</v>
      </c>
    </row>
    <row r="29" spans="4:12" x14ac:dyDescent="0.25">
      <c r="D29" s="25" t="s">
        <v>99</v>
      </c>
      <c r="F29" s="1">
        <v>0</v>
      </c>
      <c r="H29" s="1">
        <v>0</v>
      </c>
      <c r="J29" s="25" t="s">
        <v>72</v>
      </c>
      <c r="L29" s="25" t="s">
        <v>88</v>
      </c>
    </row>
    <row r="30" spans="4:12" x14ac:dyDescent="0.25">
      <c r="D30" s="25" t="s">
        <v>100</v>
      </c>
      <c r="F30" s="1">
        <v>1</v>
      </c>
      <c r="H30" s="1">
        <v>1</v>
      </c>
      <c r="J30" s="25" t="s">
        <v>73</v>
      </c>
      <c r="L30" s="25" t="s">
        <v>89</v>
      </c>
    </row>
    <row r="31" spans="4:12" x14ac:dyDescent="0.25">
      <c r="D31" s="25" t="s">
        <v>101</v>
      </c>
      <c r="F31" s="1">
        <v>2</v>
      </c>
      <c r="H31" s="1">
        <v>2</v>
      </c>
    </row>
    <row r="32" spans="4:12" x14ac:dyDescent="0.25">
      <c r="F32" s="1">
        <v>3</v>
      </c>
      <c r="H32" s="1">
        <v>3</v>
      </c>
    </row>
    <row r="33" spans="4:16" x14ac:dyDescent="0.25">
      <c r="F33" s="1">
        <v>4</v>
      </c>
      <c r="H33" s="1">
        <v>4</v>
      </c>
    </row>
    <row r="36" spans="4:16" ht="13" x14ac:dyDescent="0.3">
      <c r="D36" s="4" t="s">
        <v>177</v>
      </c>
      <c r="F36" s="4" t="s">
        <v>180</v>
      </c>
      <c r="H36" s="4" t="s">
        <v>296</v>
      </c>
      <c r="J36" s="4" t="s">
        <v>203</v>
      </c>
      <c r="L36" s="4" t="s">
        <v>225</v>
      </c>
      <c r="N36" s="8" t="s">
        <v>293</v>
      </c>
      <c r="P36" s="4" t="s">
        <v>307</v>
      </c>
    </row>
    <row r="37" spans="4:16" x14ac:dyDescent="0.25">
      <c r="D37" s="1">
        <v>10</v>
      </c>
      <c r="F37" s="25" t="s">
        <v>178</v>
      </c>
      <c r="H37" s="25" t="s">
        <v>192</v>
      </c>
      <c r="J37" s="9">
        <v>0</v>
      </c>
      <c r="L37" s="1">
        <v>0</v>
      </c>
      <c r="N37" s="1">
        <v>0</v>
      </c>
      <c r="P37" s="9">
        <v>0</v>
      </c>
    </row>
    <row r="38" spans="4:16" x14ac:dyDescent="0.25">
      <c r="D38" s="1">
        <v>20</v>
      </c>
      <c r="F38" s="25" t="s">
        <v>179</v>
      </c>
      <c r="H38" s="73" t="s">
        <v>295</v>
      </c>
      <c r="J38" s="9">
        <v>1</v>
      </c>
      <c r="L38" s="1">
        <v>1</v>
      </c>
      <c r="N38" s="1">
        <v>1</v>
      </c>
      <c r="P38" s="9">
        <v>1</v>
      </c>
    </row>
    <row r="39" spans="4:16" x14ac:dyDescent="0.25">
      <c r="D39" s="1">
        <v>30</v>
      </c>
      <c r="F39" s="1"/>
      <c r="H39" s="73" t="s">
        <v>193</v>
      </c>
      <c r="J39" s="9">
        <v>2</v>
      </c>
      <c r="L39" s="1">
        <v>2</v>
      </c>
      <c r="N39" s="1">
        <v>2</v>
      </c>
      <c r="P39" s="9">
        <v>2</v>
      </c>
    </row>
    <row r="40" spans="4:16" x14ac:dyDescent="0.25">
      <c r="D40" s="1">
        <v>40</v>
      </c>
      <c r="F40" s="1"/>
      <c r="H40" s="38" t="s">
        <v>194</v>
      </c>
      <c r="J40" s="9">
        <v>3</v>
      </c>
      <c r="N40" s="1">
        <v>3</v>
      </c>
      <c r="P40" s="9">
        <v>3</v>
      </c>
    </row>
    <row r="41" spans="4:16" x14ac:dyDescent="0.25">
      <c r="D41" s="1">
        <v>50</v>
      </c>
      <c r="F41" s="1"/>
      <c r="H41" s="38" t="s">
        <v>195</v>
      </c>
      <c r="J41" s="9">
        <v>4</v>
      </c>
      <c r="N41" s="1">
        <v>4</v>
      </c>
      <c r="P41" s="9">
        <v>4</v>
      </c>
    </row>
    <row r="42" spans="4:16" x14ac:dyDescent="0.25">
      <c r="D42" s="1">
        <v>60</v>
      </c>
      <c r="F42" s="1"/>
      <c r="H42" s="38" t="s">
        <v>196</v>
      </c>
      <c r="J42" s="9">
        <v>5</v>
      </c>
      <c r="P42" s="9">
        <v>5</v>
      </c>
    </row>
    <row r="43" spans="4:16" x14ac:dyDescent="0.25">
      <c r="D43" s="1">
        <v>70</v>
      </c>
      <c r="F43" s="1"/>
      <c r="J43" s="9">
        <v>6</v>
      </c>
      <c r="P43" s="9">
        <v>6</v>
      </c>
    </row>
    <row r="44" spans="4:16" x14ac:dyDescent="0.25">
      <c r="D44" s="1">
        <v>80</v>
      </c>
      <c r="F44" s="1"/>
      <c r="J44" s="9">
        <v>7</v>
      </c>
      <c r="P44" s="9">
        <v>7</v>
      </c>
    </row>
    <row r="45" spans="4:16" x14ac:dyDescent="0.25">
      <c r="D45" s="1">
        <v>90</v>
      </c>
      <c r="F45" s="1"/>
      <c r="J45" s="9">
        <v>8</v>
      </c>
      <c r="P45" s="9">
        <v>8</v>
      </c>
    </row>
    <row r="46" spans="4:16" x14ac:dyDescent="0.25">
      <c r="D46" s="1">
        <v>100</v>
      </c>
      <c r="J46" s="25">
        <v>9</v>
      </c>
    </row>
    <row r="47" spans="4:16" x14ac:dyDescent="0.25">
      <c r="J47" s="25">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R153"/>
  <sheetViews>
    <sheetView showGridLines="0" workbookViewId="0">
      <selection activeCell="B7" sqref="B7"/>
    </sheetView>
  </sheetViews>
  <sheetFormatPr defaultRowHeight="12.5" x14ac:dyDescent="0.25"/>
  <sheetData>
    <row r="2" spans="2:18" ht="13" x14ac:dyDescent="0.3">
      <c r="B2" s="299" t="s">
        <v>310</v>
      </c>
      <c r="C2" s="299"/>
      <c r="D2" s="299"/>
      <c r="E2" s="299"/>
      <c r="F2" s="299"/>
      <c r="G2" s="299"/>
      <c r="H2" s="299"/>
      <c r="I2" s="299"/>
      <c r="J2" s="299"/>
      <c r="K2" s="299"/>
      <c r="L2" s="299"/>
      <c r="M2" s="299"/>
      <c r="N2" s="299"/>
      <c r="O2" s="299"/>
      <c r="P2" s="299"/>
    </row>
    <row r="3" spans="2:18" ht="13" x14ac:dyDescent="0.3">
      <c r="B3" s="4"/>
      <c r="C3" s="4"/>
      <c r="D3" s="4"/>
      <c r="E3" s="4"/>
      <c r="F3" s="4"/>
      <c r="G3" s="4"/>
      <c r="H3" s="4"/>
      <c r="I3" s="4"/>
      <c r="J3" s="4"/>
      <c r="K3" s="4"/>
      <c r="L3" s="4"/>
      <c r="M3" s="4"/>
      <c r="N3" s="4"/>
      <c r="O3" s="4"/>
      <c r="P3" s="4"/>
    </row>
    <row r="4" spans="2:18" ht="15.5" x14ac:dyDescent="0.35">
      <c r="B4" s="245" t="s">
        <v>896</v>
      </c>
      <c r="C4" s="246"/>
      <c r="D4" s="247"/>
      <c r="E4" s="247"/>
      <c r="F4" s="247"/>
      <c r="G4" s="247"/>
      <c r="H4" s="247"/>
      <c r="I4" s="247"/>
      <c r="J4" s="247"/>
      <c r="K4" s="247"/>
      <c r="L4" s="247"/>
      <c r="M4" s="247"/>
      <c r="N4" s="247"/>
      <c r="O4" s="247"/>
      <c r="P4" s="247"/>
      <c r="Q4" s="246"/>
      <c r="R4" s="246"/>
    </row>
    <row r="5" spans="2:18" ht="15.5" x14ac:dyDescent="0.35">
      <c r="B5" s="258"/>
      <c r="D5" s="4"/>
      <c r="E5" s="4"/>
      <c r="F5" s="4"/>
      <c r="G5" s="4"/>
      <c r="H5" s="4"/>
      <c r="I5" s="4"/>
      <c r="J5" s="4"/>
      <c r="K5" s="4"/>
      <c r="L5" s="4"/>
      <c r="M5" s="4"/>
      <c r="N5" s="4"/>
      <c r="O5" s="4"/>
      <c r="P5" s="4"/>
    </row>
    <row r="6" spans="2:18" s="16" customFormat="1" ht="80.5" customHeight="1" x14ac:dyDescent="0.25">
      <c r="B6" s="282" t="s">
        <v>917</v>
      </c>
      <c r="C6" s="282"/>
      <c r="D6" s="282"/>
      <c r="E6" s="282"/>
      <c r="F6" s="282"/>
      <c r="G6" s="282"/>
      <c r="H6" s="282"/>
      <c r="I6" s="282"/>
      <c r="J6" s="282"/>
      <c r="K6" s="282"/>
      <c r="L6" s="282"/>
      <c r="M6" s="282"/>
      <c r="N6" s="282"/>
      <c r="O6" s="282"/>
      <c r="P6" s="282"/>
      <c r="Q6" s="282"/>
      <c r="R6" s="282"/>
    </row>
    <row r="8" spans="2:18" ht="13" x14ac:dyDescent="0.3">
      <c r="B8" s="96" t="s">
        <v>274</v>
      </c>
      <c r="K8" s="96" t="s">
        <v>276</v>
      </c>
    </row>
    <row r="10" spans="2:18" ht="13.15" customHeight="1" x14ac:dyDescent="0.25">
      <c r="B10" s="283" t="s">
        <v>361</v>
      </c>
      <c r="C10" s="283"/>
      <c r="D10" s="283"/>
      <c r="E10" s="283"/>
      <c r="F10" s="283"/>
      <c r="G10" s="283"/>
      <c r="H10" s="283"/>
      <c r="I10" s="283"/>
      <c r="K10" s="283" t="s">
        <v>360</v>
      </c>
      <c r="L10" s="283"/>
      <c r="M10" s="283"/>
      <c r="N10" s="283"/>
      <c r="O10" s="283"/>
      <c r="P10" s="283"/>
    </row>
    <row r="11" spans="2:18" x14ac:dyDescent="0.25">
      <c r="B11" s="283"/>
      <c r="C11" s="283"/>
      <c r="D11" s="283"/>
      <c r="E11" s="283"/>
      <c r="F11" s="283"/>
      <c r="G11" s="283"/>
      <c r="H11" s="283"/>
      <c r="I11" s="283"/>
      <c r="K11" s="283"/>
      <c r="L11" s="283"/>
      <c r="M11" s="283"/>
      <c r="N11" s="283"/>
      <c r="O11" s="283"/>
      <c r="P11" s="283"/>
    </row>
    <row r="12" spans="2:18" x14ac:dyDescent="0.25">
      <c r="B12" s="283"/>
      <c r="C12" s="283"/>
      <c r="D12" s="283"/>
      <c r="E12" s="283"/>
      <c r="F12" s="283"/>
      <c r="G12" s="283"/>
      <c r="H12" s="283"/>
      <c r="I12" s="283"/>
      <c r="K12" s="283"/>
      <c r="L12" s="283"/>
      <c r="M12" s="283"/>
      <c r="N12" s="283"/>
      <c r="O12" s="283"/>
      <c r="P12" s="283"/>
    </row>
    <row r="13" spans="2:18" x14ac:dyDescent="0.25">
      <c r="B13" s="283"/>
      <c r="C13" s="283"/>
      <c r="D13" s="283"/>
      <c r="E13" s="283"/>
      <c r="F13" s="283"/>
      <c r="G13" s="283"/>
      <c r="H13" s="283"/>
      <c r="I13" s="283"/>
      <c r="K13" s="283"/>
      <c r="L13" s="283"/>
      <c r="M13" s="283"/>
      <c r="N13" s="283"/>
      <c r="O13" s="283"/>
      <c r="P13" s="283"/>
    </row>
    <row r="14" spans="2:18" x14ac:dyDescent="0.25">
      <c r="B14" s="283"/>
      <c r="C14" s="283"/>
      <c r="D14" s="283"/>
      <c r="E14" s="283"/>
      <c r="F14" s="283"/>
      <c r="G14" s="283"/>
      <c r="H14" s="283"/>
      <c r="I14" s="283"/>
      <c r="K14" s="283"/>
      <c r="L14" s="283"/>
      <c r="M14" s="283"/>
      <c r="N14" s="283"/>
      <c r="O14" s="283"/>
      <c r="P14" s="283"/>
    </row>
    <row r="15" spans="2:18" x14ac:dyDescent="0.25">
      <c r="B15" s="283"/>
      <c r="C15" s="283"/>
      <c r="D15" s="283"/>
      <c r="E15" s="283"/>
      <c r="F15" s="283"/>
      <c r="G15" s="283"/>
      <c r="H15" s="283"/>
      <c r="I15" s="283"/>
      <c r="K15" s="283"/>
      <c r="L15" s="283"/>
      <c r="M15" s="283"/>
      <c r="N15" s="283"/>
      <c r="O15" s="283"/>
      <c r="P15" s="283"/>
    </row>
    <row r="17" spans="2:16" ht="13" x14ac:dyDescent="0.3">
      <c r="B17" s="22"/>
      <c r="K17" s="96" t="s">
        <v>277</v>
      </c>
      <c r="M17" s="96" t="s">
        <v>278</v>
      </c>
    </row>
    <row r="18" spans="2:16" ht="13.15" customHeight="1" x14ac:dyDescent="0.25">
      <c r="B18" s="284" t="s">
        <v>401</v>
      </c>
      <c r="C18" s="284"/>
      <c r="D18" s="284"/>
      <c r="E18" s="284"/>
      <c r="F18" s="284"/>
      <c r="G18" s="284"/>
      <c r="H18" s="284"/>
      <c r="I18" s="284"/>
    </row>
    <row r="19" spans="2:16" ht="13.15" customHeight="1" x14ac:dyDescent="0.25">
      <c r="B19" s="284"/>
      <c r="C19" s="284"/>
      <c r="D19" s="284"/>
      <c r="E19" s="284"/>
      <c r="F19" s="284"/>
      <c r="G19" s="284"/>
      <c r="H19" s="284"/>
      <c r="I19" s="284"/>
      <c r="K19" s="110"/>
      <c r="M19" s="284" t="s">
        <v>357</v>
      </c>
      <c r="N19" s="284"/>
      <c r="O19" s="284"/>
      <c r="P19" s="284"/>
    </row>
    <row r="20" spans="2:16" x14ac:dyDescent="0.25">
      <c r="B20" s="284"/>
      <c r="C20" s="284"/>
      <c r="D20" s="284"/>
      <c r="E20" s="284"/>
      <c r="F20" s="284"/>
      <c r="G20" s="284"/>
      <c r="H20" s="284"/>
      <c r="I20" s="284"/>
      <c r="K20" s="111"/>
      <c r="M20" s="284"/>
      <c r="N20" s="284"/>
      <c r="O20" s="284"/>
      <c r="P20" s="284"/>
    </row>
    <row r="21" spans="2:16" x14ac:dyDescent="0.25">
      <c r="B21" s="284"/>
      <c r="C21" s="284"/>
      <c r="D21" s="284"/>
      <c r="E21" s="284"/>
      <c r="F21" s="284"/>
      <c r="G21" s="284"/>
      <c r="H21" s="284"/>
      <c r="I21" s="284"/>
    </row>
    <row r="22" spans="2:16" ht="13.15" customHeight="1" x14ac:dyDescent="0.25">
      <c r="B22" s="284"/>
      <c r="C22" s="284"/>
      <c r="D22" s="284"/>
      <c r="E22" s="284"/>
      <c r="F22" s="284"/>
      <c r="G22" s="284"/>
      <c r="H22" s="284"/>
      <c r="I22" s="284"/>
      <c r="K22" s="112"/>
      <c r="M22" s="283" t="s">
        <v>358</v>
      </c>
      <c r="N22" s="283"/>
      <c r="O22" s="283"/>
      <c r="P22" s="283"/>
    </row>
    <row r="23" spans="2:16" x14ac:dyDescent="0.25">
      <c r="B23" s="284"/>
      <c r="C23" s="284"/>
      <c r="D23" s="284"/>
      <c r="E23" s="284"/>
      <c r="F23" s="284"/>
      <c r="G23" s="284"/>
      <c r="H23" s="284"/>
      <c r="I23" s="284"/>
      <c r="K23" s="113"/>
      <c r="M23" s="283"/>
      <c r="N23" s="283"/>
      <c r="O23" s="283"/>
      <c r="P23" s="283"/>
    </row>
    <row r="24" spans="2:16" x14ac:dyDescent="0.25">
      <c r="B24" s="284"/>
      <c r="C24" s="284"/>
      <c r="D24" s="284"/>
      <c r="E24" s="284"/>
      <c r="F24" s="284"/>
      <c r="G24" s="284"/>
      <c r="H24" s="284"/>
      <c r="I24" s="284"/>
      <c r="M24" s="283"/>
      <c r="N24" s="283"/>
      <c r="O24" s="283"/>
      <c r="P24" s="283"/>
    </row>
    <row r="25" spans="2:16" x14ac:dyDescent="0.25">
      <c r="B25" s="284"/>
      <c r="C25" s="284"/>
      <c r="D25" s="284"/>
      <c r="E25" s="284"/>
      <c r="F25" s="284"/>
      <c r="G25" s="284"/>
      <c r="H25" s="284"/>
      <c r="I25" s="284"/>
    </row>
    <row r="26" spans="2:16" ht="13.15" customHeight="1" x14ac:dyDescent="0.25">
      <c r="B26" s="22" t="s">
        <v>271</v>
      </c>
      <c r="K26" s="114"/>
      <c r="M26" s="284" t="s">
        <v>359</v>
      </c>
      <c r="N26" s="284"/>
      <c r="O26" s="284"/>
      <c r="P26" s="284"/>
    </row>
    <row r="27" spans="2:16" x14ac:dyDescent="0.25">
      <c r="K27" s="115"/>
      <c r="M27" s="284"/>
      <c r="N27" s="284"/>
      <c r="O27" s="284"/>
      <c r="P27" s="284"/>
    </row>
    <row r="28" spans="2:16" ht="13" x14ac:dyDescent="0.3">
      <c r="B28" s="96" t="s">
        <v>272</v>
      </c>
      <c r="E28" s="97" t="s">
        <v>273</v>
      </c>
      <c r="M28" s="284"/>
      <c r="N28" s="284"/>
      <c r="O28" s="284"/>
      <c r="P28" s="284"/>
    </row>
    <row r="29" spans="2:16" x14ac:dyDescent="0.25">
      <c r="M29" s="284"/>
      <c r="N29" s="284"/>
      <c r="O29" s="284"/>
      <c r="P29" s="284"/>
    </row>
    <row r="30" spans="2:16" x14ac:dyDescent="0.25">
      <c r="B30" s="22" t="s">
        <v>275</v>
      </c>
      <c r="E30" s="283" t="s">
        <v>362</v>
      </c>
      <c r="F30" s="283"/>
      <c r="G30" s="283"/>
      <c r="H30" s="283"/>
      <c r="I30" s="283"/>
      <c r="M30" s="284"/>
      <c r="N30" s="284"/>
      <c r="O30" s="284"/>
      <c r="P30" s="284"/>
    </row>
    <row r="31" spans="2:16" x14ac:dyDescent="0.25">
      <c r="E31" s="283"/>
      <c r="F31" s="283"/>
      <c r="G31" s="283"/>
      <c r="H31" s="283"/>
      <c r="I31" s="283"/>
      <c r="M31" s="284"/>
      <c r="N31" s="284"/>
      <c r="O31" s="284"/>
      <c r="P31" s="284"/>
    </row>
    <row r="32" spans="2:16" x14ac:dyDescent="0.25">
      <c r="E32" s="283"/>
      <c r="F32" s="283"/>
      <c r="G32" s="283"/>
      <c r="H32" s="283"/>
      <c r="I32" s="283"/>
      <c r="M32" s="284"/>
      <c r="N32" s="284"/>
      <c r="O32" s="284"/>
      <c r="P32" s="284"/>
    </row>
    <row r="33" spans="2:16" x14ac:dyDescent="0.25">
      <c r="M33" s="284"/>
      <c r="N33" s="284"/>
      <c r="O33" s="284"/>
      <c r="P33" s="284"/>
    </row>
    <row r="34" spans="2:16" x14ac:dyDescent="0.25">
      <c r="B34" s="22" t="s">
        <v>405</v>
      </c>
      <c r="E34" s="284" t="s">
        <v>863</v>
      </c>
      <c r="F34" s="283"/>
      <c r="G34" s="283"/>
      <c r="H34" s="283"/>
      <c r="I34" s="283"/>
      <c r="M34" s="284"/>
      <c r="N34" s="284"/>
      <c r="O34" s="284"/>
      <c r="P34" s="284"/>
    </row>
    <row r="35" spans="2:16" x14ac:dyDescent="0.25">
      <c r="E35" s="283"/>
      <c r="F35" s="283"/>
      <c r="G35" s="283"/>
      <c r="H35" s="283"/>
      <c r="I35" s="283"/>
      <c r="M35" s="284"/>
      <c r="N35" s="284"/>
      <c r="O35" s="284"/>
      <c r="P35" s="284"/>
    </row>
    <row r="36" spans="2:16" x14ac:dyDescent="0.25">
      <c r="E36" s="283"/>
      <c r="F36" s="283"/>
      <c r="G36" s="283"/>
      <c r="H36" s="283"/>
      <c r="I36" s="283"/>
      <c r="M36" s="284"/>
      <c r="N36" s="284"/>
      <c r="O36" s="284"/>
      <c r="P36" s="284"/>
    </row>
    <row r="37" spans="2:16" ht="28.5" customHeight="1" x14ac:dyDescent="0.25">
      <c r="E37" s="283"/>
      <c r="F37" s="283"/>
      <c r="G37" s="283"/>
      <c r="H37" s="283"/>
      <c r="I37" s="283"/>
      <c r="M37" s="284"/>
      <c r="N37" s="284"/>
      <c r="O37" s="284"/>
      <c r="P37" s="284"/>
    </row>
    <row r="38" spans="2:16" x14ac:dyDescent="0.25">
      <c r="M38" s="284"/>
      <c r="N38" s="284"/>
      <c r="O38" s="284"/>
      <c r="P38" s="284"/>
    </row>
    <row r="39" spans="2:16" x14ac:dyDescent="0.25">
      <c r="B39" s="22" t="s">
        <v>406</v>
      </c>
      <c r="E39" s="284" t="s">
        <v>864</v>
      </c>
      <c r="F39" s="283"/>
      <c r="G39" s="283"/>
      <c r="H39" s="283"/>
      <c r="I39" s="283"/>
    </row>
    <row r="40" spans="2:16" x14ac:dyDescent="0.25">
      <c r="E40" s="283"/>
      <c r="F40" s="283"/>
      <c r="G40" s="283"/>
      <c r="H40" s="283"/>
      <c r="I40" s="283"/>
    </row>
    <row r="41" spans="2:16" x14ac:dyDescent="0.25">
      <c r="E41" s="283"/>
      <c r="F41" s="283"/>
      <c r="G41" s="283"/>
      <c r="H41" s="283"/>
      <c r="I41" s="283"/>
      <c r="K41" s="125" t="s">
        <v>336</v>
      </c>
      <c r="L41" s="125"/>
      <c r="M41" s="125"/>
    </row>
    <row r="42" spans="2:16" ht="27.65" customHeight="1" x14ac:dyDescent="0.25">
      <c r="E42" s="283"/>
      <c r="F42" s="283"/>
      <c r="G42" s="283"/>
      <c r="H42" s="283"/>
      <c r="I42" s="283"/>
      <c r="L42" t="s">
        <v>337</v>
      </c>
    </row>
    <row r="43" spans="2:16" x14ac:dyDescent="0.25">
      <c r="L43" t="s">
        <v>339</v>
      </c>
    </row>
    <row r="44" spans="2:16" x14ac:dyDescent="0.25">
      <c r="B44" s="235" t="s">
        <v>866</v>
      </c>
      <c r="C44" s="235"/>
      <c r="D44" s="235"/>
      <c r="E44" s="285" t="s">
        <v>867</v>
      </c>
      <c r="F44" s="285"/>
      <c r="G44" s="285"/>
      <c r="H44" s="285"/>
      <c r="I44" s="285"/>
      <c r="L44" t="s">
        <v>340</v>
      </c>
    </row>
    <row r="45" spans="2:16" x14ac:dyDescent="0.25">
      <c r="B45" s="235"/>
      <c r="C45" s="235"/>
      <c r="D45" s="235"/>
      <c r="E45" s="285"/>
      <c r="F45" s="285"/>
      <c r="G45" s="285"/>
      <c r="H45" s="285"/>
      <c r="I45" s="285"/>
      <c r="L45" t="s">
        <v>341</v>
      </c>
    </row>
    <row r="46" spans="2:16" x14ac:dyDescent="0.25">
      <c r="B46" s="235"/>
      <c r="C46" s="235"/>
      <c r="D46" s="235"/>
      <c r="E46" s="285"/>
      <c r="F46" s="285"/>
      <c r="G46" s="285"/>
      <c r="H46" s="285"/>
      <c r="I46" s="285"/>
    </row>
    <row r="47" spans="2:16" ht="28.5" customHeight="1" x14ac:dyDescent="0.25">
      <c r="B47" s="235"/>
      <c r="C47" s="235"/>
      <c r="D47" s="235"/>
      <c r="E47" s="285"/>
      <c r="F47" s="285"/>
      <c r="G47" s="285"/>
      <c r="H47" s="285"/>
      <c r="I47" s="285"/>
      <c r="L47" t="s">
        <v>342</v>
      </c>
    </row>
    <row r="48" spans="2:16" ht="37" customHeight="1" x14ac:dyDescent="0.25">
      <c r="B48" s="235"/>
      <c r="C48" s="235"/>
      <c r="D48" s="235"/>
      <c r="E48" s="285"/>
      <c r="F48" s="285"/>
      <c r="G48" s="285"/>
      <c r="H48" s="285"/>
      <c r="I48" s="285"/>
      <c r="L48" t="s">
        <v>343</v>
      </c>
    </row>
    <row r="50" spans="2:14" x14ac:dyDescent="0.25">
      <c r="B50" s="22" t="s">
        <v>407</v>
      </c>
      <c r="E50" s="284" t="s">
        <v>865</v>
      </c>
      <c r="F50" s="284"/>
      <c r="G50" s="284"/>
      <c r="H50" s="284"/>
      <c r="I50" s="284"/>
    </row>
    <row r="51" spans="2:14" x14ac:dyDescent="0.25">
      <c r="E51" s="284"/>
      <c r="F51" s="284"/>
      <c r="G51" s="284"/>
      <c r="H51" s="284"/>
      <c r="I51" s="284"/>
      <c r="K51" s="125" t="s">
        <v>347</v>
      </c>
    </row>
    <row r="52" spans="2:14" x14ac:dyDescent="0.25">
      <c r="E52" s="284"/>
      <c r="F52" s="284"/>
      <c r="G52" s="284"/>
      <c r="H52" s="284"/>
      <c r="I52" s="284"/>
      <c r="L52" s="235" t="s">
        <v>916</v>
      </c>
      <c r="M52" s="235"/>
      <c r="N52" s="235"/>
    </row>
    <row r="53" spans="2:14" ht="31" customHeight="1" x14ac:dyDescent="0.25">
      <c r="E53" s="284"/>
      <c r="F53" s="284"/>
      <c r="G53" s="284"/>
      <c r="H53" s="284"/>
      <c r="I53" s="284"/>
      <c r="L53" s="235" t="s">
        <v>883</v>
      </c>
      <c r="M53" s="235"/>
      <c r="N53" s="235"/>
    </row>
    <row r="55" spans="2:14" x14ac:dyDescent="0.25">
      <c r="K55" s="125" t="s">
        <v>409</v>
      </c>
    </row>
    <row r="56" spans="2:14" ht="24.65" customHeight="1" x14ac:dyDescent="0.25">
      <c r="B56" s="235" t="s">
        <v>868</v>
      </c>
      <c r="C56" s="235"/>
      <c r="D56" s="235"/>
      <c r="E56" s="285" t="s">
        <v>869</v>
      </c>
      <c r="F56" s="285"/>
      <c r="G56" s="285"/>
      <c r="H56" s="285"/>
      <c r="I56" s="285"/>
      <c r="L56" s="183" t="s">
        <v>410</v>
      </c>
    </row>
    <row r="57" spans="2:14" x14ac:dyDescent="0.25">
      <c r="B57" s="235"/>
      <c r="C57" s="235"/>
      <c r="D57" s="235"/>
      <c r="E57" s="285"/>
      <c r="F57" s="285"/>
      <c r="G57" s="285"/>
      <c r="H57" s="285"/>
      <c r="I57" s="285"/>
    </row>
    <row r="58" spans="2:14" ht="13.15" customHeight="1" x14ac:dyDescent="0.25">
      <c r="B58" s="235"/>
      <c r="C58" s="235"/>
      <c r="D58" s="235"/>
      <c r="E58" s="285"/>
      <c r="F58" s="285"/>
      <c r="G58" s="285"/>
      <c r="H58" s="285"/>
      <c r="I58" s="285"/>
    </row>
    <row r="59" spans="2:14" x14ac:dyDescent="0.25">
      <c r="B59" s="235"/>
      <c r="C59" s="235"/>
      <c r="D59" s="235"/>
      <c r="E59" s="285"/>
      <c r="F59" s="285"/>
      <c r="G59" s="285"/>
      <c r="H59" s="285"/>
      <c r="I59" s="285"/>
    </row>
    <row r="60" spans="2:14" ht="43.5" customHeight="1" x14ac:dyDescent="0.25">
      <c r="B60" s="235"/>
      <c r="C60" s="235"/>
      <c r="D60" s="235"/>
      <c r="E60" s="285"/>
      <c r="F60" s="285"/>
      <c r="G60" s="285"/>
      <c r="H60" s="285"/>
      <c r="I60" s="285"/>
    </row>
    <row r="63" spans="2:14" x14ac:dyDescent="0.25">
      <c r="B63" s="22" t="s">
        <v>402</v>
      </c>
      <c r="E63" s="284" t="s">
        <v>900</v>
      </c>
      <c r="F63" s="283"/>
      <c r="G63" s="283"/>
      <c r="H63" s="283"/>
      <c r="I63" s="283"/>
    </row>
    <row r="64" spans="2:14" x14ac:dyDescent="0.25">
      <c r="E64" s="283"/>
      <c r="F64" s="283"/>
      <c r="G64" s="283"/>
      <c r="H64" s="283"/>
      <c r="I64" s="283"/>
    </row>
    <row r="65" spans="2:9" x14ac:dyDescent="0.25">
      <c r="E65" s="283"/>
      <c r="F65" s="283"/>
      <c r="G65" s="283"/>
      <c r="H65" s="283"/>
      <c r="I65" s="283"/>
    </row>
    <row r="66" spans="2:9" x14ac:dyDescent="0.25">
      <c r="E66" s="283"/>
      <c r="F66" s="283"/>
      <c r="G66" s="283"/>
      <c r="H66" s="283"/>
      <c r="I66" s="283"/>
    </row>
    <row r="67" spans="2:9" x14ac:dyDescent="0.25">
      <c r="E67" s="283"/>
      <c r="F67" s="283"/>
      <c r="G67" s="283"/>
      <c r="H67" s="283"/>
      <c r="I67" s="283"/>
    </row>
    <row r="68" spans="2:9" x14ac:dyDescent="0.25">
      <c r="E68" s="283"/>
      <c r="F68" s="283"/>
      <c r="G68" s="283"/>
      <c r="H68" s="283"/>
      <c r="I68" s="283"/>
    </row>
    <row r="69" spans="2:9" x14ac:dyDescent="0.25">
      <c r="E69" s="283"/>
      <c r="F69" s="283"/>
      <c r="G69" s="283"/>
      <c r="H69" s="283"/>
      <c r="I69" s="283"/>
    </row>
    <row r="70" spans="2:9" ht="39.75" customHeight="1" x14ac:dyDescent="0.25">
      <c r="E70" s="283"/>
      <c r="F70" s="283"/>
      <c r="G70" s="283"/>
      <c r="H70" s="283"/>
      <c r="I70" s="283"/>
    </row>
    <row r="73" spans="2:9" x14ac:dyDescent="0.25">
      <c r="B73" s="22" t="s">
        <v>403</v>
      </c>
      <c r="E73" s="284" t="s">
        <v>901</v>
      </c>
      <c r="F73" s="283"/>
      <c r="G73" s="283"/>
      <c r="H73" s="283"/>
      <c r="I73" s="283"/>
    </row>
    <row r="74" spans="2:9" x14ac:dyDescent="0.25">
      <c r="E74" s="283"/>
      <c r="F74" s="283"/>
      <c r="G74" s="283"/>
      <c r="H74" s="283"/>
      <c r="I74" s="283"/>
    </row>
    <row r="75" spans="2:9" ht="34.5" customHeight="1" x14ac:dyDescent="0.25">
      <c r="E75" s="283"/>
      <c r="F75" s="283"/>
      <c r="G75" s="283"/>
      <c r="H75" s="283"/>
      <c r="I75" s="283"/>
    </row>
    <row r="76" spans="2:9" ht="35.15" customHeight="1" x14ac:dyDescent="0.25">
      <c r="E76" s="283"/>
      <c r="F76" s="283"/>
      <c r="G76" s="283"/>
      <c r="H76" s="283"/>
      <c r="I76" s="283"/>
    </row>
    <row r="77" spans="2:9" x14ac:dyDescent="0.25">
      <c r="E77" s="283"/>
      <c r="F77" s="283"/>
      <c r="G77" s="283"/>
      <c r="H77" s="283"/>
      <c r="I77" s="283"/>
    </row>
    <row r="78" spans="2:9" x14ac:dyDescent="0.25">
      <c r="E78" s="283"/>
      <c r="F78" s="283"/>
      <c r="G78" s="283"/>
      <c r="H78" s="283"/>
      <c r="I78" s="283"/>
    </row>
    <row r="79" spans="2:9" x14ac:dyDescent="0.25">
      <c r="E79" s="283"/>
      <c r="F79" s="283"/>
      <c r="G79" s="283"/>
      <c r="H79" s="283"/>
      <c r="I79" s="283"/>
    </row>
    <row r="80" spans="2:9" x14ac:dyDescent="0.25">
      <c r="E80" s="283"/>
      <c r="F80" s="283"/>
      <c r="G80" s="283"/>
      <c r="H80" s="283"/>
      <c r="I80" s="283"/>
    </row>
    <row r="82" spans="2:9" x14ac:dyDescent="0.25">
      <c r="B82" s="235" t="s">
        <v>870</v>
      </c>
      <c r="C82" s="235"/>
      <c r="D82" s="235"/>
      <c r="E82" s="285" t="s">
        <v>871</v>
      </c>
      <c r="F82" s="285"/>
      <c r="G82" s="285"/>
      <c r="H82" s="285"/>
      <c r="I82" s="285"/>
    </row>
    <row r="83" spans="2:9" x14ac:dyDescent="0.25">
      <c r="B83" s="235"/>
      <c r="C83" s="235"/>
      <c r="D83" s="235"/>
      <c r="E83" s="285"/>
      <c r="F83" s="285"/>
      <c r="G83" s="285"/>
      <c r="H83" s="285"/>
      <c r="I83" s="285"/>
    </row>
    <row r="84" spans="2:9" x14ac:dyDescent="0.25">
      <c r="B84" s="235"/>
      <c r="C84" s="235"/>
      <c r="D84" s="235"/>
      <c r="E84" s="285"/>
      <c r="F84" s="285"/>
      <c r="G84" s="285"/>
      <c r="H84" s="285"/>
      <c r="I84" s="285"/>
    </row>
    <row r="85" spans="2:9" x14ac:dyDescent="0.25">
      <c r="B85" s="235"/>
      <c r="C85" s="235"/>
      <c r="D85" s="235"/>
      <c r="E85" s="285"/>
      <c r="F85" s="285"/>
      <c r="G85" s="285"/>
      <c r="H85" s="285"/>
      <c r="I85" s="285"/>
    </row>
    <row r="86" spans="2:9" x14ac:dyDescent="0.25">
      <c r="B86" s="235"/>
      <c r="C86" s="235"/>
      <c r="D86" s="235"/>
      <c r="E86" s="285"/>
      <c r="F86" s="285"/>
      <c r="G86" s="285"/>
      <c r="H86" s="285"/>
      <c r="I86" s="285"/>
    </row>
    <row r="87" spans="2:9" x14ac:dyDescent="0.25">
      <c r="E87" s="184"/>
      <c r="F87" s="184"/>
      <c r="G87" s="184"/>
      <c r="H87" s="184"/>
      <c r="I87" s="184"/>
    </row>
    <row r="88" spans="2:9" x14ac:dyDescent="0.25">
      <c r="E88" s="184"/>
      <c r="F88" s="184"/>
      <c r="G88" s="184"/>
      <c r="H88" s="184"/>
      <c r="I88" s="184"/>
    </row>
    <row r="89" spans="2:9" x14ac:dyDescent="0.25">
      <c r="B89" s="235" t="s">
        <v>872</v>
      </c>
      <c r="C89" s="235"/>
      <c r="D89" s="235"/>
      <c r="E89" s="285" t="s">
        <v>873</v>
      </c>
      <c r="F89" s="285"/>
      <c r="G89" s="285"/>
      <c r="H89" s="285"/>
      <c r="I89" s="285"/>
    </row>
    <row r="90" spans="2:9" x14ac:dyDescent="0.25">
      <c r="B90" s="235"/>
      <c r="C90" s="235"/>
      <c r="D90" s="235"/>
      <c r="E90" s="285"/>
      <c r="F90" s="285"/>
      <c r="G90" s="285"/>
      <c r="H90" s="285"/>
      <c r="I90" s="285"/>
    </row>
    <row r="91" spans="2:9" x14ac:dyDescent="0.25">
      <c r="B91" s="235"/>
      <c r="C91" s="235"/>
      <c r="D91" s="235"/>
      <c r="E91" s="285"/>
      <c r="F91" s="285"/>
      <c r="G91" s="285"/>
      <c r="H91" s="285"/>
      <c r="I91" s="285"/>
    </row>
    <row r="92" spans="2:9" x14ac:dyDescent="0.25">
      <c r="B92" s="235"/>
      <c r="C92" s="235"/>
      <c r="D92" s="235"/>
      <c r="E92" s="285"/>
      <c r="F92" s="285"/>
      <c r="G92" s="285"/>
      <c r="H92" s="285"/>
      <c r="I92" s="285"/>
    </row>
    <row r="93" spans="2:9" x14ac:dyDescent="0.25">
      <c r="B93" s="235"/>
      <c r="C93" s="235"/>
      <c r="D93" s="235"/>
      <c r="E93" s="285"/>
      <c r="F93" s="285"/>
      <c r="G93" s="285"/>
      <c r="H93" s="285"/>
      <c r="I93" s="285"/>
    </row>
    <row r="97" spans="2:9" x14ac:dyDescent="0.25">
      <c r="B97" s="22" t="s">
        <v>367</v>
      </c>
      <c r="E97" s="284" t="s">
        <v>404</v>
      </c>
      <c r="F97" s="284"/>
      <c r="G97" s="284"/>
      <c r="H97" s="284"/>
      <c r="I97" s="284"/>
    </row>
    <row r="98" spans="2:9" x14ac:dyDescent="0.25">
      <c r="E98" s="284"/>
      <c r="F98" s="284"/>
      <c r="G98" s="284"/>
      <c r="H98" s="284"/>
      <c r="I98" s="284"/>
    </row>
    <row r="99" spans="2:9" x14ac:dyDescent="0.25">
      <c r="E99" s="284"/>
      <c r="F99" s="284"/>
      <c r="G99" s="284"/>
      <c r="H99" s="284"/>
      <c r="I99" s="284"/>
    </row>
    <row r="100" spans="2:9" x14ac:dyDescent="0.25">
      <c r="E100" s="284"/>
      <c r="F100" s="284"/>
      <c r="G100" s="284"/>
      <c r="H100" s="284"/>
      <c r="I100" s="284"/>
    </row>
    <row r="101" spans="2:9" x14ac:dyDescent="0.25">
      <c r="E101" s="284"/>
      <c r="F101" s="284"/>
      <c r="G101" s="284"/>
      <c r="H101" s="284"/>
      <c r="I101" s="284"/>
    </row>
    <row r="102" spans="2:9" x14ac:dyDescent="0.25">
      <c r="E102" s="284"/>
      <c r="F102" s="284"/>
      <c r="G102" s="284"/>
      <c r="H102" s="284"/>
      <c r="I102" s="284"/>
    </row>
    <row r="103" spans="2:9" x14ac:dyDescent="0.25">
      <c r="E103" s="284"/>
      <c r="F103" s="284"/>
      <c r="G103" s="284"/>
      <c r="H103" s="284"/>
      <c r="I103" s="284"/>
    </row>
    <row r="104" spans="2:9" x14ac:dyDescent="0.25">
      <c r="E104" s="284"/>
      <c r="F104" s="284"/>
      <c r="G104" s="284"/>
      <c r="H104" s="284"/>
      <c r="I104" s="284"/>
    </row>
    <row r="105" spans="2:9" x14ac:dyDescent="0.25">
      <c r="E105" s="284"/>
      <c r="F105" s="284"/>
      <c r="G105" s="284"/>
      <c r="H105" s="284"/>
      <c r="I105" s="284"/>
    </row>
    <row r="107" spans="2:9" x14ac:dyDescent="0.25">
      <c r="B107" s="22" t="s">
        <v>368</v>
      </c>
      <c r="E107" s="283" t="s">
        <v>363</v>
      </c>
      <c r="F107" s="283"/>
      <c r="G107" s="283"/>
      <c r="H107" s="283"/>
      <c r="I107" s="283"/>
    </row>
    <row r="108" spans="2:9" x14ac:dyDescent="0.25">
      <c r="E108" s="283"/>
      <c r="F108" s="283"/>
      <c r="G108" s="283"/>
      <c r="H108" s="283"/>
      <c r="I108" s="283"/>
    </row>
    <row r="109" spans="2:9" x14ac:dyDescent="0.25">
      <c r="E109" s="283"/>
      <c r="F109" s="283"/>
      <c r="G109" s="283"/>
      <c r="H109" s="283"/>
      <c r="I109" s="283"/>
    </row>
    <row r="110" spans="2:9" x14ac:dyDescent="0.25">
      <c r="E110" s="283"/>
      <c r="F110" s="283"/>
      <c r="G110" s="283"/>
      <c r="H110" s="283"/>
      <c r="I110" s="283"/>
    </row>
    <row r="113" spans="2:9" x14ac:dyDescent="0.25">
      <c r="B113" s="235" t="s">
        <v>874</v>
      </c>
      <c r="C113" s="235"/>
      <c r="D113" s="235"/>
      <c r="E113" s="285" t="s">
        <v>875</v>
      </c>
      <c r="F113" s="285"/>
      <c r="G113" s="285"/>
      <c r="H113" s="285"/>
      <c r="I113" s="285"/>
    </row>
    <row r="114" spans="2:9" x14ac:dyDescent="0.25">
      <c r="B114" s="235"/>
      <c r="C114" s="235"/>
      <c r="D114" s="235"/>
      <c r="E114" s="285"/>
      <c r="F114" s="285"/>
      <c r="G114" s="285"/>
      <c r="H114" s="285"/>
      <c r="I114" s="285"/>
    </row>
    <row r="115" spans="2:9" x14ac:dyDescent="0.25">
      <c r="B115" s="235"/>
      <c r="C115" s="235"/>
      <c r="D115" s="235"/>
      <c r="E115" s="285"/>
      <c r="F115" s="285"/>
      <c r="G115" s="285"/>
      <c r="H115" s="285"/>
      <c r="I115" s="285"/>
    </row>
    <row r="116" spans="2:9" x14ac:dyDescent="0.25">
      <c r="B116" s="235"/>
      <c r="C116" s="235"/>
      <c r="D116" s="235"/>
      <c r="E116" s="285"/>
      <c r="F116" s="285"/>
      <c r="G116" s="285"/>
      <c r="H116" s="285"/>
      <c r="I116" s="285"/>
    </row>
    <row r="117" spans="2:9" x14ac:dyDescent="0.25">
      <c r="B117" s="235"/>
      <c r="C117" s="235"/>
      <c r="D117" s="235"/>
      <c r="E117" s="236"/>
      <c r="F117" s="236"/>
      <c r="G117" s="236"/>
      <c r="H117" s="236"/>
      <c r="I117" s="236"/>
    </row>
    <row r="118" spans="2:9" x14ac:dyDescent="0.25">
      <c r="B118" s="235" t="s">
        <v>876</v>
      </c>
      <c r="C118" s="235"/>
      <c r="D118" s="235"/>
      <c r="E118" s="285" t="s">
        <v>877</v>
      </c>
      <c r="F118" s="285"/>
      <c r="G118" s="285"/>
      <c r="H118" s="285"/>
      <c r="I118" s="285"/>
    </row>
    <row r="119" spans="2:9" x14ac:dyDescent="0.25">
      <c r="B119" s="235"/>
      <c r="C119" s="235"/>
      <c r="D119" s="235"/>
      <c r="E119" s="285"/>
      <c r="F119" s="285"/>
      <c r="G119" s="285"/>
      <c r="H119" s="285"/>
      <c r="I119" s="285"/>
    </row>
    <row r="120" spans="2:9" x14ac:dyDescent="0.25">
      <c r="B120" s="235"/>
      <c r="C120" s="235"/>
      <c r="D120" s="235"/>
      <c r="E120" s="285"/>
      <c r="F120" s="285"/>
      <c r="G120" s="285"/>
      <c r="H120" s="285"/>
      <c r="I120" s="285"/>
    </row>
    <row r="121" spans="2:9" x14ac:dyDescent="0.25">
      <c r="B121" s="235"/>
      <c r="C121" s="235"/>
      <c r="D121" s="235"/>
      <c r="E121" s="285"/>
      <c r="F121" s="285"/>
      <c r="G121" s="285"/>
      <c r="H121" s="285"/>
      <c r="I121" s="285"/>
    </row>
    <row r="123" spans="2:9" x14ac:dyDescent="0.25">
      <c r="B123" s="235" t="s">
        <v>878</v>
      </c>
      <c r="C123" s="235"/>
      <c r="D123" s="235"/>
      <c r="E123" s="285" t="s">
        <v>879</v>
      </c>
      <c r="F123" s="285"/>
      <c r="G123" s="285"/>
      <c r="H123" s="285"/>
      <c r="I123" s="285"/>
    </row>
    <row r="124" spans="2:9" x14ac:dyDescent="0.25">
      <c r="B124" s="235"/>
      <c r="C124" s="235"/>
      <c r="D124" s="235"/>
      <c r="E124" s="285"/>
      <c r="F124" s="285"/>
      <c r="G124" s="285"/>
      <c r="H124" s="285"/>
      <c r="I124" s="285"/>
    </row>
    <row r="125" spans="2:9" x14ac:dyDescent="0.25">
      <c r="B125" s="235"/>
      <c r="C125" s="235"/>
      <c r="D125" s="235"/>
      <c r="E125" s="285"/>
      <c r="F125" s="285"/>
      <c r="G125" s="285"/>
      <c r="H125" s="285"/>
      <c r="I125" s="285"/>
    </row>
    <row r="126" spans="2:9" x14ac:dyDescent="0.25">
      <c r="B126" s="235"/>
      <c r="C126" s="235"/>
      <c r="D126" s="235"/>
      <c r="E126" s="285"/>
      <c r="F126" s="285"/>
      <c r="G126" s="285"/>
      <c r="H126" s="285"/>
      <c r="I126" s="285"/>
    </row>
    <row r="127" spans="2:9" x14ac:dyDescent="0.25">
      <c r="B127" s="235"/>
      <c r="C127" s="235"/>
      <c r="D127" s="235"/>
      <c r="E127" s="236"/>
      <c r="F127" s="236"/>
      <c r="G127" s="236"/>
      <c r="H127" s="236"/>
      <c r="I127" s="236"/>
    </row>
    <row r="128" spans="2:9" x14ac:dyDescent="0.25">
      <c r="B128" s="235" t="s">
        <v>880</v>
      </c>
      <c r="C128" s="235"/>
      <c r="D128" s="235"/>
      <c r="E128" s="285" t="s">
        <v>881</v>
      </c>
      <c r="F128" s="285"/>
      <c r="G128" s="285"/>
      <c r="H128" s="285"/>
      <c r="I128" s="285"/>
    </row>
    <row r="129" spans="2:16" x14ac:dyDescent="0.25">
      <c r="B129" s="235"/>
      <c r="C129" s="235"/>
      <c r="D129" s="235"/>
      <c r="E129" s="285"/>
      <c r="F129" s="285"/>
      <c r="G129" s="285"/>
      <c r="H129" s="285"/>
      <c r="I129" s="285"/>
    </row>
    <row r="130" spans="2:16" x14ac:dyDescent="0.25">
      <c r="B130" s="235"/>
      <c r="C130" s="235"/>
      <c r="D130" s="235"/>
      <c r="E130" s="285"/>
      <c r="F130" s="285"/>
      <c r="G130" s="285"/>
      <c r="H130" s="285"/>
      <c r="I130" s="285"/>
    </row>
    <row r="131" spans="2:16" x14ac:dyDescent="0.25">
      <c r="B131" s="235"/>
      <c r="C131" s="235"/>
      <c r="D131" s="235"/>
      <c r="E131" s="285"/>
      <c r="F131" s="285"/>
      <c r="G131" s="285"/>
      <c r="H131" s="285"/>
      <c r="I131" s="285"/>
    </row>
    <row r="133" spans="2:16" x14ac:dyDescent="0.25">
      <c r="B133" s="22" t="s">
        <v>370</v>
      </c>
      <c r="E133" s="283" t="s">
        <v>364</v>
      </c>
      <c r="F133" s="283"/>
      <c r="G133" s="283"/>
      <c r="H133" s="283"/>
      <c r="I133" s="283"/>
    </row>
    <row r="134" spans="2:16" x14ac:dyDescent="0.25">
      <c r="E134" s="283"/>
      <c r="F134" s="283"/>
      <c r="G134" s="283"/>
      <c r="H134" s="283"/>
      <c r="I134" s="283"/>
    </row>
    <row r="135" spans="2:16" x14ac:dyDescent="0.25">
      <c r="E135" s="283"/>
      <c r="F135" s="283"/>
      <c r="G135" s="283"/>
      <c r="H135" s="283"/>
      <c r="I135" s="283"/>
    </row>
    <row r="136" spans="2:16" x14ac:dyDescent="0.25">
      <c r="E136" s="283"/>
      <c r="F136" s="283"/>
      <c r="G136" s="283"/>
      <c r="H136" s="283"/>
      <c r="I136" s="283"/>
    </row>
    <row r="137" spans="2:16" x14ac:dyDescent="0.25">
      <c r="E137" s="283"/>
      <c r="F137" s="283"/>
      <c r="G137" s="283"/>
      <c r="H137" s="283"/>
      <c r="I137" s="283"/>
    </row>
    <row r="138" spans="2:16" x14ac:dyDescent="0.25">
      <c r="E138" s="283"/>
      <c r="F138" s="283"/>
      <c r="G138" s="283"/>
      <c r="H138" s="283"/>
      <c r="I138" s="283"/>
    </row>
    <row r="139" spans="2:16" x14ac:dyDescent="0.25">
      <c r="E139" s="283"/>
      <c r="F139" s="283"/>
      <c r="G139" s="283"/>
      <c r="H139" s="283"/>
      <c r="I139" s="283"/>
    </row>
    <row r="140" spans="2:16" x14ac:dyDescent="0.25">
      <c r="E140" s="283"/>
      <c r="F140" s="283"/>
      <c r="G140" s="283"/>
      <c r="H140" s="283"/>
      <c r="I140" s="283"/>
    </row>
    <row r="142" spans="2:16" x14ac:dyDescent="0.25">
      <c r="B142" s="125" t="s">
        <v>348</v>
      </c>
    </row>
    <row r="143" spans="2:16" x14ac:dyDescent="0.25">
      <c r="B143" s="300" t="s">
        <v>349</v>
      </c>
      <c r="C143" s="300"/>
      <c r="D143" s="300" t="s">
        <v>350</v>
      </c>
      <c r="E143" s="300"/>
      <c r="F143" s="300"/>
      <c r="G143" s="300"/>
      <c r="H143" s="300"/>
      <c r="I143" s="300" t="s">
        <v>351</v>
      </c>
      <c r="J143" s="300"/>
      <c r="K143" s="300"/>
      <c r="L143" s="300"/>
      <c r="M143" s="300"/>
      <c r="N143" s="300"/>
      <c r="O143" s="300"/>
      <c r="P143" s="300"/>
    </row>
    <row r="144" spans="2:16" x14ac:dyDescent="0.25">
      <c r="B144" s="301" t="s">
        <v>352</v>
      </c>
      <c r="C144" s="302"/>
      <c r="D144" s="303" t="s">
        <v>353</v>
      </c>
      <c r="E144" s="303"/>
      <c r="F144" s="303"/>
      <c r="G144" s="303"/>
      <c r="H144" s="303"/>
      <c r="I144" s="303" t="s">
        <v>354</v>
      </c>
      <c r="J144" s="302"/>
      <c r="K144" s="302"/>
      <c r="L144" s="302"/>
      <c r="M144" s="302"/>
      <c r="N144" s="302"/>
      <c r="O144" s="302"/>
      <c r="P144" s="304"/>
    </row>
    <row r="145" spans="2:16" ht="43.15" customHeight="1" x14ac:dyDescent="0.25">
      <c r="B145" s="298" t="s">
        <v>355</v>
      </c>
      <c r="C145" s="291"/>
      <c r="D145" s="292" t="s">
        <v>356</v>
      </c>
      <c r="E145" s="292"/>
      <c r="F145" s="292"/>
      <c r="G145" s="292"/>
      <c r="H145" s="292"/>
      <c r="I145" s="292" t="s">
        <v>408</v>
      </c>
      <c r="J145" s="291"/>
      <c r="K145" s="291"/>
      <c r="L145" s="291"/>
      <c r="M145" s="291"/>
      <c r="N145" s="291"/>
      <c r="O145" s="291"/>
      <c r="P145" s="293"/>
    </row>
    <row r="146" spans="2:16" x14ac:dyDescent="0.25">
      <c r="B146" s="290"/>
      <c r="C146" s="291"/>
      <c r="D146" s="292"/>
      <c r="E146" s="292"/>
      <c r="F146" s="292"/>
      <c r="G146" s="292"/>
      <c r="H146" s="292"/>
      <c r="I146" s="291"/>
      <c r="J146" s="291"/>
      <c r="K146" s="291"/>
      <c r="L146" s="291"/>
      <c r="M146" s="291"/>
      <c r="N146" s="291"/>
      <c r="O146" s="291"/>
      <c r="P146" s="293"/>
    </row>
    <row r="147" spans="2:16" x14ac:dyDescent="0.25">
      <c r="B147" s="290"/>
      <c r="C147" s="291"/>
      <c r="D147" s="292"/>
      <c r="E147" s="292"/>
      <c r="F147" s="292"/>
      <c r="G147" s="292"/>
      <c r="H147" s="292"/>
      <c r="I147" s="291"/>
      <c r="J147" s="291"/>
      <c r="K147" s="291"/>
      <c r="L147" s="291"/>
      <c r="M147" s="291"/>
      <c r="N147" s="291"/>
      <c r="O147" s="291"/>
      <c r="P147" s="293"/>
    </row>
    <row r="148" spans="2:16" ht="29.15" customHeight="1" x14ac:dyDescent="0.25">
      <c r="B148" s="294" t="s">
        <v>915</v>
      </c>
      <c r="C148" s="295"/>
      <c r="D148" s="296" t="s">
        <v>895</v>
      </c>
      <c r="E148" s="295"/>
      <c r="F148" s="295"/>
      <c r="G148" s="295"/>
      <c r="H148" s="295"/>
      <c r="I148" s="295" t="s">
        <v>882</v>
      </c>
      <c r="J148" s="295"/>
      <c r="K148" s="295"/>
      <c r="L148" s="295"/>
      <c r="M148" s="295"/>
      <c r="N148" s="295"/>
      <c r="O148" s="295"/>
      <c r="P148" s="297"/>
    </row>
    <row r="149" spans="2:16" x14ac:dyDescent="0.25">
      <c r="B149" s="290"/>
      <c r="C149" s="291"/>
      <c r="D149" s="292"/>
      <c r="E149" s="292"/>
      <c r="F149" s="292"/>
      <c r="G149" s="292"/>
      <c r="H149" s="292"/>
      <c r="I149" s="291"/>
      <c r="J149" s="291"/>
      <c r="K149" s="291"/>
      <c r="L149" s="291"/>
      <c r="M149" s="291"/>
      <c r="N149" s="291"/>
      <c r="O149" s="291"/>
      <c r="P149" s="293"/>
    </row>
    <row r="150" spans="2:16" x14ac:dyDescent="0.25">
      <c r="B150" s="290"/>
      <c r="C150" s="291"/>
      <c r="D150" s="292"/>
      <c r="E150" s="292"/>
      <c r="F150" s="292"/>
      <c r="G150" s="292"/>
      <c r="H150" s="292"/>
      <c r="I150" s="291"/>
      <c r="J150" s="291"/>
      <c r="K150" s="291"/>
      <c r="L150" s="291"/>
      <c r="M150" s="291"/>
      <c r="N150" s="291"/>
      <c r="O150" s="291"/>
      <c r="P150" s="293"/>
    </row>
    <row r="151" spans="2:16" x14ac:dyDescent="0.25">
      <c r="B151" s="290"/>
      <c r="C151" s="291"/>
      <c r="D151" s="292"/>
      <c r="E151" s="292"/>
      <c r="F151" s="292"/>
      <c r="G151" s="292"/>
      <c r="H151" s="292"/>
      <c r="I151" s="291"/>
      <c r="J151" s="291"/>
      <c r="K151" s="291"/>
      <c r="L151" s="291"/>
      <c r="M151" s="291"/>
      <c r="N151" s="291"/>
      <c r="O151" s="291"/>
      <c r="P151" s="293"/>
    </row>
    <row r="152" spans="2:16" x14ac:dyDescent="0.25">
      <c r="B152" s="290"/>
      <c r="C152" s="291"/>
      <c r="D152" s="292"/>
      <c r="E152" s="292"/>
      <c r="F152" s="292"/>
      <c r="G152" s="292"/>
      <c r="H152" s="292"/>
      <c r="I152" s="291"/>
      <c r="J152" s="291"/>
      <c r="K152" s="291"/>
      <c r="L152" s="291"/>
      <c r="M152" s="291"/>
      <c r="N152" s="291"/>
      <c r="O152" s="291"/>
      <c r="P152" s="293"/>
    </row>
    <row r="153" spans="2:16" x14ac:dyDescent="0.25">
      <c r="B153" s="286"/>
      <c r="C153" s="287"/>
      <c r="D153" s="288"/>
      <c r="E153" s="288"/>
      <c r="F153" s="288"/>
      <c r="G153" s="288"/>
      <c r="H153" s="288"/>
      <c r="I153" s="287"/>
      <c r="J153" s="287"/>
      <c r="K153" s="287"/>
      <c r="L153" s="287"/>
      <c r="M153" s="287"/>
      <c r="N153" s="287"/>
      <c r="O153" s="287"/>
      <c r="P153" s="289"/>
    </row>
  </sheetData>
  <mergeCells count="58">
    <mergeCell ref="B2:P2"/>
    <mergeCell ref="B143:C143"/>
    <mergeCell ref="D143:H143"/>
    <mergeCell ref="I143:P143"/>
    <mergeCell ref="B144:C144"/>
    <mergeCell ref="D144:H144"/>
    <mergeCell ref="I144:P144"/>
    <mergeCell ref="M19:P20"/>
    <mergeCell ref="M22:P24"/>
    <mergeCell ref="M26:P38"/>
    <mergeCell ref="K10:P15"/>
    <mergeCell ref="B10:I15"/>
    <mergeCell ref="E30:I32"/>
    <mergeCell ref="E34:I37"/>
    <mergeCell ref="E39:I42"/>
    <mergeCell ref="B18:I25"/>
    <mergeCell ref="B145:C145"/>
    <mergeCell ref="D145:H145"/>
    <mergeCell ref="I145:P145"/>
    <mergeCell ref="B146:C146"/>
    <mergeCell ref="D146:H146"/>
    <mergeCell ref="I146:P146"/>
    <mergeCell ref="B147:C147"/>
    <mergeCell ref="D147:H147"/>
    <mergeCell ref="I147:P147"/>
    <mergeCell ref="B148:C148"/>
    <mergeCell ref="D148:H148"/>
    <mergeCell ref="I148:P148"/>
    <mergeCell ref="B149:C149"/>
    <mergeCell ref="D149:H149"/>
    <mergeCell ref="I149:P149"/>
    <mergeCell ref="B150:C150"/>
    <mergeCell ref="D150:H150"/>
    <mergeCell ref="I150:P150"/>
    <mergeCell ref="B153:C153"/>
    <mergeCell ref="D153:H153"/>
    <mergeCell ref="I153:P153"/>
    <mergeCell ref="B151:C151"/>
    <mergeCell ref="D151:H151"/>
    <mergeCell ref="I151:P151"/>
    <mergeCell ref="B152:C152"/>
    <mergeCell ref="D152:H152"/>
    <mergeCell ref="I152:P152"/>
    <mergeCell ref="B6:R6"/>
    <mergeCell ref="E133:I140"/>
    <mergeCell ref="E97:I105"/>
    <mergeCell ref="E50:I53"/>
    <mergeCell ref="E107:I110"/>
    <mergeCell ref="E63:I70"/>
    <mergeCell ref="E118:I121"/>
    <mergeCell ref="E123:I126"/>
    <mergeCell ref="E128:I131"/>
    <mergeCell ref="E44:I48"/>
    <mergeCell ref="E56:I60"/>
    <mergeCell ref="E82:I86"/>
    <mergeCell ref="E89:I93"/>
    <mergeCell ref="E113:I116"/>
    <mergeCell ref="E73:I80"/>
  </mergeCells>
  <hyperlinks>
    <hyperlink ref="L56" r:id="rId1" xr:uid="{00000000-0004-0000-0000-000000000000}"/>
    <hyperlink ref="D148" r:id="rId2" display="d-torbic@tti.tamu.edu" xr:uid="{00000000-0004-0000-00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C100"/>
  <sheetViews>
    <sheetView zoomScale="110" zoomScaleNormal="110" workbookViewId="0">
      <selection activeCell="E5" sqref="E5:G5"/>
    </sheetView>
  </sheetViews>
  <sheetFormatPr defaultColWidth="8.81640625" defaultRowHeight="12.5" x14ac:dyDescent="0.25"/>
  <cols>
    <col min="1" max="1" width="13.1796875" style="17" customWidth="1"/>
    <col min="2" max="2" width="14.26953125" style="17" customWidth="1"/>
    <col min="3" max="4" width="11.54296875" style="17" customWidth="1"/>
    <col min="5" max="5" width="11.1796875" style="17" customWidth="1"/>
    <col min="6" max="6" width="12.26953125" style="17" customWidth="1"/>
    <col min="7" max="7" width="13.1796875" style="17" customWidth="1"/>
    <col min="8" max="8" width="8.81640625" style="17"/>
    <col min="9" max="9" width="11" style="17" customWidth="1"/>
    <col min="10" max="10" width="8.81640625" style="17"/>
    <col min="11" max="11" width="10.54296875" style="17" customWidth="1"/>
    <col min="12" max="12" width="11.1796875" style="17" customWidth="1"/>
    <col min="13" max="13" width="12.26953125" style="17" customWidth="1"/>
    <col min="14" max="14" width="11.26953125" style="17" customWidth="1"/>
    <col min="15" max="17" width="8.81640625" style="17"/>
    <col min="18" max="18" width="11.26953125" style="17" customWidth="1"/>
    <col min="19" max="19" width="11" style="17" customWidth="1"/>
    <col min="20" max="20" width="12" style="17" customWidth="1"/>
    <col min="21" max="21" width="13.26953125" style="17" customWidth="1"/>
    <col min="22" max="22" width="10.26953125" style="17" customWidth="1"/>
    <col min="23" max="23" width="11" style="17" customWidth="1"/>
    <col min="24" max="24" width="10.7265625" style="17" customWidth="1"/>
    <col min="25" max="25" width="13.26953125" style="17" customWidth="1"/>
    <col min="26" max="26" width="10" style="17" customWidth="1"/>
    <col min="27" max="27" width="13.26953125" style="17" customWidth="1"/>
    <col min="28" max="32" width="8.81640625" style="17"/>
    <col min="33" max="33" width="10.7265625" style="17" customWidth="1"/>
    <col min="34" max="36" width="8.81640625" style="17"/>
    <col min="37" max="37" width="10.1796875" style="17" customWidth="1"/>
    <col min="38" max="16384" width="8.81640625" style="17"/>
  </cols>
  <sheetData>
    <row r="1" spans="1:55" ht="13.15" customHeight="1" thickBot="1" x14ac:dyDescent="0.3"/>
    <row r="2" spans="1:55" ht="13.15" customHeight="1" thickTop="1" thickBot="1" x14ac:dyDescent="0.3">
      <c r="A2" s="382" t="s">
        <v>112</v>
      </c>
      <c r="B2" s="383"/>
      <c r="C2" s="383"/>
      <c r="D2" s="383"/>
      <c r="E2" s="384"/>
      <c r="F2" s="384"/>
      <c r="G2" s="384"/>
      <c r="H2" s="384"/>
      <c r="I2" s="384"/>
      <c r="J2" s="384"/>
      <c r="K2" s="384"/>
      <c r="L2" s="384"/>
      <c r="M2" s="384"/>
      <c r="N2" s="384"/>
      <c r="R2" s="154" t="s">
        <v>283</v>
      </c>
      <c r="AY2" s="34"/>
      <c r="AZ2" s="34"/>
      <c r="BA2" s="34"/>
      <c r="BB2" s="34"/>
      <c r="BC2" s="34"/>
    </row>
    <row r="3" spans="1:55" ht="13.15" customHeight="1" x14ac:dyDescent="0.25">
      <c r="A3" s="490" t="s">
        <v>0</v>
      </c>
      <c r="B3" s="307"/>
      <c r="C3" s="307"/>
      <c r="D3" s="307"/>
      <c r="E3" s="307"/>
      <c r="F3" s="307"/>
      <c r="G3" s="483"/>
      <c r="H3" s="491" t="s">
        <v>11</v>
      </c>
      <c r="I3" s="492"/>
      <c r="J3" s="492"/>
      <c r="K3" s="492"/>
      <c r="L3" s="492"/>
      <c r="M3" s="492"/>
      <c r="N3" s="492"/>
      <c r="AY3" s="34"/>
      <c r="AZ3" s="34"/>
      <c r="BA3" s="34"/>
      <c r="BB3" s="34"/>
      <c r="BC3" s="34"/>
    </row>
    <row r="4" spans="1:55" ht="13.15" customHeight="1" x14ac:dyDescent="0.25">
      <c r="A4" s="479" t="s">
        <v>1</v>
      </c>
      <c r="B4" s="479"/>
      <c r="C4" s="479"/>
      <c r="D4" s="145"/>
      <c r="E4" s="493" t="s">
        <v>371</v>
      </c>
      <c r="F4" s="474"/>
      <c r="G4" s="494"/>
      <c r="H4" s="495" t="s">
        <v>12</v>
      </c>
      <c r="I4" s="479"/>
      <c r="J4" s="478"/>
      <c r="K4" s="493" t="s">
        <v>374</v>
      </c>
      <c r="L4" s="474"/>
      <c r="M4" s="474"/>
      <c r="N4" s="474"/>
      <c r="R4" s="76" t="s">
        <v>190</v>
      </c>
      <c r="V4" s="155">
        <f>IF($J$11&gt;2000,(VLOOKUP($J$13,$R$34:$V$42,5,FALSE)),IF($J$11&lt;400,(VLOOKUP($J$13,$R$34:$V$42,3,FALSE)),(VLOOKUP($J$13,$R$34:$V$42,4))))</f>
        <v>1</v>
      </c>
      <c r="AY4" s="156"/>
      <c r="AZ4" s="156"/>
      <c r="BA4" s="34"/>
      <c r="BB4" s="34"/>
      <c r="BC4" s="34"/>
    </row>
    <row r="5" spans="1:55" ht="13.15" customHeight="1" x14ac:dyDescent="0.25">
      <c r="A5" s="307" t="s">
        <v>2</v>
      </c>
      <c r="B5" s="307"/>
      <c r="C5" s="307"/>
      <c r="D5" s="146"/>
      <c r="E5" s="489" t="s">
        <v>372</v>
      </c>
      <c r="F5" s="487"/>
      <c r="G5" s="488"/>
      <c r="H5" s="482" t="s">
        <v>13</v>
      </c>
      <c r="I5" s="307"/>
      <c r="J5" s="483"/>
      <c r="K5" s="489" t="s">
        <v>375</v>
      </c>
      <c r="L5" s="487"/>
      <c r="M5" s="487"/>
      <c r="N5" s="487"/>
      <c r="AY5" s="156"/>
      <c r="AZ5" s="156"/>
      <c r="BA5" s="34"/>
      <c r="BB5" s="34"/>
      <c r="BC5" s="34"/>
    </row>
    <row r="6" spans="1:55" ht="13.15" customHeight="1" x14ac:dyDescent="0.25">
      <c r="A6" s="307" t="s">
        <v>3</v>
      </c>
      <c r="B6" s="307"/>
      <c r="C6" s="307"/>
      <c r="D6" s="146"/>
      <c r="E6" s="486" t="s">
        <v>373</v>
      </c>
      <c r="F6" s="487"/>
      <c r="G6" s="488"/>
      <c r="H6" s="482" t="s">
        <v>14</v>
      </c>
      <c r="I6" s="307"/>
      <c r="J6" s="483"/>
      <c r="K6" s="489" t="s">
        <v>376</v>
      </c>
      <c r="L6" s="487"/>
      <c r="M6" s="487"/>
      <c r="N6" s="487"/>
      <c r="R6" s="76" t="s">
        <v>191</v>
      </c>
      <c r="V6" s="155">
        <f>IF($J$14="Paved",(HLOOKUP($J$13,'Reference Tables (Segment)'!$P$9:$Z$13,2,FALSE)),(IF($J$14="Gravel",(HLOOKUP($J$13,'Reference Tables (Segment)'!$P$9:$Z$13,3,FALSE)),(IF($J$14="Turf",(HLOOKUP($J$13,'Reference Tables (Segment)'!$P$9:$Z$13,5,FALSE)),HLOOKUP($J$13,'Reference Tables (Segment)'!$P$9:$Z$13,4,FALSE))))))</f>
        <v>1</v>
      </c>
      <c r="AY6" s="157"/>
      <c r="AZ6" s="35"/>
      <c r="BA6" s="158"/>
      <c r="BB6" s="158"/>
      <c r="BC6" s="158"/>
    </row>
    <row r="7" spans="1:55" ht="13.15" customHeight="1" x14ac:dyDescent="0.25">
      <c r="A7" s="481"/>
      <c r="B7" s="481"/>
      <c r="C7" s="481"/>
      <c r="D7" s="147"/>
      <c r="E7" s="482"/>
      <c r="F7" s="307"/>
      <c r="G7" s="483"/>
      <c r="H7" s="482" t="s">
        <v>15</v>
      </c>
      <c r="I7" s="307"/>
      <c r="J7" s="483"/>
      <c r="K7" s="484">
        <v>2019</v>
      </c>
      <c r="L7" s="485"/>
      <c r="M7" s="485"/>
      <c r="N7" s="485"/>
      <c r="AY7" s="35"/>
      <c r="AZ7" s="35"/>
      <c r="BA7" s="158"/>
      <c r="BB7" s="158"/>
      <c r="BC7" s="158"/>
    </row>
    <row r="8" spans="1:55" ht="13.15" customHeight="1" x14ac:dyDescent="0.25">
      <c r="A8" s="480" t="s">
        <v>4</v>
      </c>
      <c r="B8" s="346"/>
      <c r="C8" s="346"/>
      <c r="D8" s="346"/>
      <c r="E8" s="346"/>
      <c r="F8" s="346"/>
      <c r="G8" s="347"/>
      <c r="H8" s="404" t="s">
        <v>16</v>
      </c>
      <c r="I8" s="347"/>
      <c r="J8" s="404" t="s">
        <v>18</v>
      </c>
      <c r="K8" s="346"/>
      <c r="L8" s="346"/>
      <c r="M8" s="346"/>
      <c r="N8" s="346"/>
      <c r="AY8" s="157"/>
      <c r="AZ8" s="35"/>
      <c r="BA8" s="158"/>
      <c r="BB8" s="158"/>
      <c r="BC8" s="158"/>
    </row>
    <row r="9" spans="1:55" ht="13.15" customHeight="1" x14ac:dyDescent="0.25">
      <c r="A9" s="345" t="s">
        <v>119</v>
      </c>
      <c r="B9" s="346"/>
      <c r="C9" s="346"/>
      <c r="D9" s="346"/>
      <c r="E9" s="346"/>
      <c r="F9" s="346"/>
      <c r="G9" s="347"/>
      <c r="H9" s="477" t="s">
        <v>179</v>
      </c>
      <c r="I9" s="478"/>
      <c r="J9" s="477" t="s">
        <v>179</v>
      </c>
      <c r="K9" s="479"/>
      <c r="L9" s="479"/>
      <c r="M9" s="479"/>
      <c r="N9" s="479"/>
      <c r="AY9" s="35"/>
      <c r="AZ9" s="35"/>
      <c r="BA9" s="158"/>
      <c r="BB9" s="158"/>
      <c r="BC9" s="158"/>
    </row>
    <row r="10" spans="1:55" ht="13.15" customHeight="1" thickBot="1" x14ac:dyDescent="0.3">
      <c r="A10" s="346" t="s">
        <v>5</v>
      </c>
      <c r="B10" s="346"/>
      <c r="C10" s="346"/>
      <c r="D10" s="346"/>
      <c r="E10" s="346"/>
      <c r="F10" s="346"/>
      <c r="G10" s="347"/>
      <c r="H10" s="475" t="s">
        <v>17</v>
      </c>
      <c r="I10" s="347"/>
      <c r="J10" s="473">
        <v>1</v>
      </c>
      <c r="K10" s="474"/>
      <c r="L10" s="474"/>
      <c r="M10" s="474"/>
      <c r="N10" s="474"/>
      <c r="R10" s="154" t="s">
        <v>306</v>
      </c>
      <c r="AY10" s="157"/>
      <c r="AZ10" s="35"/>
      <c r="BA10" s="158"/>
      <c r="BB10" s="158"/>
      <c r="BC10" s="158"/>
    </row>
    <row r="11" spans="1:55" ht="13.15" customHeight="1" thickBot="1" x14ac:dyDescent="0.3">
      <c r="A11" s="346" t="s">
        <v>6</v>
      </c>
      <c r="B11" s="346"/>
      <c r="C11" s="346"/>
      <c r="D11" s="476"/>
      <c r="E11" s="148" t="s">
        <v>334</v>
      </c>
      <c r="F11" s="149">
        <v>33200</v>
      </c>
      <c r="G11" s="150" t="s">
        <v>335</v>
      </c>
      <c r="H11" s="475" t="s">
        <v>17</v>
      </c>
      <c r="I11" s="347"/>
      <c r="J11" s="471">
        <v>27000</v>
      </c>
      <c r="K11" s="472"/>
      <c r="L11" s="472"/>
      <c r="M11" s="472"/>
      <c r="N11" s="472"/>
      <c r="O11" s="151" t="str">
        <f>IF(J11&gt;F11,"AADT out of range","AADT OK")</f>
        <v>AADT OK</v>
      </c>
      <c r="AY11" s="35"/>
      <c r="AZ11" s="35"/>
      <c r="BA11" s="158"/>
      <c r="BB11" s="158"/>
      <c r="BC11" s="158"/>
    </row>
    <row r="12" spans="1:55" ht="13.15" customHeight="1" thickBot="1" x14ac:dyDescent="0.3">
      <c r="A12" s="346" t="s">
        <v>7</v>
      </c>
      <c r="B12" s="346"/>
      <c r="C12" s="346"/>
      <c r="D12" s="346"/>
      <c r="E12" s="346"/>
      <c r="F12" s="346"/>
      <c r="G12" s="347"/>
      <c r="H12" s="437">
        <v>12</v>
      </c>
      <c r="I12" s="347"/>
      <c r="J12" s="331">
        <v>12</v>
      </c>
      <c r="K12" s="332"/>
      <c r="L12" s="332"/>
      <c r="M12" s="332"/>
      <c r="N12" s="332"/>
      <c r="AY12" s="157"/>
      <c r="AZ12" s="35"/>
      <c r="BA12" s="158"/>
      <c r="BB12" s="158"/>
      <c r="BC12" s="158"/>
    </row>
    <row r="13" spans="1:55" ht="13.15" customHeight="1" x14ac:dyDescent="0.25">
      <c r="A13" s="345" t="s">
        <v>118</v>
      </c>
      <c r="B13" s="346"/>
      <c r="C13" s="346"/>
      <c r="D13" s="346"/>
      <c r="E13" s="346"/>
      <c r="F13" s="346"/>
      <c r="G13" s="347"/>
      <c r="H13" s="348">
        <v>6</v>
      </c>
      <c r="I13" s="347"/>
      <c r="J13" s="331">
        <v>6</v>
      </c>
      <c r="K13" s="332"/>
      <c r="L13" s="332"/>
      <c r="M13" s="332"/>
      <c r="N13" s="332"/>
      <c r="R13" s="316" t="s">
        <v>312</v>
      </c>
      <c r="S13" s="316"/>
      <c r="T13" s="316"/>
      <c r="U13" s="316"/>
      <c r="V13" s="316"/>
      <c r="AY13" s="75"/>
    </row>
    <row r="14" spans="1:55" ht="13.15" customHeight="1" thickBot="1" x14ac:dyDescent="0.3">
      <c r="A14" s="345" t="s">
        <v>117</v>
      </c>
      <c r="B14" s="346"/>
      <c r="C14" s="346"/>
      <c r="D14" s="346"/>
      <c r="E14" s="346"/>
      <c r="F14" s="346"/>
      <c r="G14" s="347"/>
      <c r="H14" s="470" t="s">
        <v>67</v>
      </c>
      <c r="I14" s="347"/>
      <c r="J14" s="331" t="s">
        <v>67</v>
      </c>
      <c r="K14" s="332"/>
      <c r="L14" s="332"/>
      <c r="M14" s="332"/>
      <c r="N14" s="332"/>
      <c r="R14" s="317"/>
      <c r="S14" s="317"/>
      <c r="T14" s="317"/>
      <c r="U14" s="317"/>
      <c r="V14" s="317"/>
    </row>
    <row r="15" spans="1:55" ht="13.15" customHeight="1" x14ac:dyDescent="0.25">
      <c r="A15" s="345" t="s">
        <v>116</v>
      </c>
      <c r="B15" s="346"/>
      <c r="C15" s="346"/>
      <c r="D15" s="346"/>
      <c r="E15" s="346"/>
      <c r="F15" s="346"/>
      <c r="G15" s="347"/>
      <c r="H15" s="348">
        <v>30</v>
      </c>
      <c r="I15" s="347"/>
      <c r="J15" s="470" t="s">
        <v>202</v>
      </c>
      <c r="K15" s="346"/>
      <c r="L15" s="346"/>
      <c r="M15" s="346"/>
      <c r="N15" s="346"/>
      <c r="R15" s="319" t="s">
        <v>53</v>
      </c>
      <c r="S15" s="320"/>
      <c r="T15" s="323" t="s">
        <v>6</v>
      </c>
      <c r="U15" s="323"/>
      <c r="V15" s="324"/>
    </row>
    <row r="16" spans="1:55" ht="13.15" customHeight="1" x14ac:dyDescent="0.25">
      <c r="A16" s="345" t="s">
        <v>114</v>
      </c>
      <c r="B16" s="346"/>
      <c r="C16" s="346"/>
      <c r="D16" s="346"/>
      <c r="E16" s="346"/>
      <c r="F16" s="346"/>
      <c r="G16" s="347"/>
      <c r="H16" s="470" t="s">
        <v>115</v>
      </c>
      <c r="I16" s="347"/>
      <c r="J16" s="331" t="s">
        <v>196</v>
      </c>
      <c r="K16" s="332"/>
      <c r="L16" s="332"/>
      <c r="M16" s="332"/>
      <c r="N16" s="332"/>
      <c r="R16" s="321"/>
      <c r="S16" s="322"/>
      <c r="T16" s="159" t="s">
        <v>59</v>
      </c>
      <c r="U16" s="159" t="s">
        <v>60</v>
      </c>
      <c r="V16" s="160" t="s">
        <v>61</v>
      </c>
    </row>
    <row r="17" spans="1:22" ht="13.15" customHeight="1" x14ac:dyDescent="0.25">
      <c r="A17" s="345" t="s">
        <v>113</v>
      </c>
      <c r="B17" s="346"/>
      <c r="C17" s="346"/>
      <c r="D17" s="346"/>
      <c r="E17" s="346"/>
      <c r="F17" s="346"/>
      <c r="G17" s="347"/>
      <c r="H17" s="348" t="s">
        <v>72</v>
      </c>
      <c r="I17" s="347"/>
      <c r="J17" s="331" t="s">
        <v>72</v>
      </c>
      <c r="K17" s="332"/>
      <c r="L17" s="332"/>
      <c r="M17" s="332"/>
      <c r="N17" s="332"/>
      <c r="R17" s="318">
        <v>9</v>
      </c>
      <c r="S17" s="308"/>
      <c r="T17" s="155">
        <v>1.04</v>
      </c>
      <c r="U17" s="155">
        <f>1.04+0.000213*($J$11-400)</f>
        <v>6.7058</v>
      </c>
      <c r="V17" s="161">
        <v>1.38</v>
      </c>
    </row>
    <row r="18" spans="1:22" ht="13.15" customHeight="1" x14ac:dyDescent="0.25">
      <c r="A18" s="346" t="s">
        <v>9</v>
      </c>
      <c r="B18" s="346"/>
      <c r="C18" s="346"/>
      <c r="D18" s="346"/>
      <c r="E18" s="346"/>
      <c r="F18" s="346"/>
      <c r="G18" s="347"/>
      <c r="H18" s="348" t="s">
        <v>72</v>
      </c>
      <c r="I18" s="347"/>
      <c r="J18" s="331" t="s">
        <v>72</v>
      </c>
      <c r="K18" s="332"/>
      <c r="L18" s="332"/>
      <c r="M18" s="332"/>
      <c r="N18" s="332"/>
      <c r="R18" s="308">
        <v>9.5</v>
      </c>
      <c r="S18" s="309"/>
      <c r="T18" s="155">
        <f>+(T17+T19)/2</f>
        <v>1.03</v>
      </c>
      <c r="U18" s="155">
        <f>+(U17+U19)/2</f>
        <v>5.6052</v>
      </c>
      <c r="V18" s="161">
        <f>+(V17+V19)/2</f>
        <v>1.3049999999999999</v>
      </c>
    </row>
    <row r="19" spans="1:22" ht="13.15" customHeight="1" thickBot="1" x14ac:dyDescent="0.3">
      <c r="A19" s="349" t="s">
        <v>10</v>
      </c>
      <c r="B19" s="349"/>
      <c r="C19" s="349"/>
      <c r="D19" s="349"/>
      <c r="E19" s="349"/>
      <c r="F19" s="349"/>
      <c r="G19" s="350"/>
      <c r="H19" s="351">
        <v>1</v>
      </c>
      <c r="I19" s="352"/>
      <c r="J19" s="456">
        <v>1</v>
      </c>
      <c r="K19" s="457"/>
      <c r="L19" s="457"/>
      <c r="M19" s="457"/>
      <c r="N19" s="457"/>
      <c r="R19" s="318">
        <v>10</v>
      </c>
      <c r="S19" s="308"/>
      <c r="T19" s="155">
        <v>1.02</v>
      </c>
      <c r="U19" s="155">
        <f>1.02+0.000131*($J$11-400)</f>
        <v>4.5045999999999999</v>
      </c>
      <c r="V19" s="161">
        <v>1.23</v>
      </c>
    </row>
    <row r="20" spans="1:22" ht="13.15" customHeight="1" thickTop="1" x14ac:dyDescent="0.25">
      <c r="J20" s="152"/>
      <c r="K20" s="153"/>
      <c r="L20" s="153"/>
      <c r="M20" s="153"/>
      <c r="N20" s="153"/>
      <c r="R20" s="325">
        <v>10.5</v>
      </c>
      <c r="S20" s="325"/>
      <c r="T20" s="155">
        <f>+(T19+T21)/2</f>
        <v>1.0150000000000001</v>
      </c>
      <c r="U20" s="155">
        <f>+(U19+U21)/2</f>
        <v>3.0073400000000001</v>
      </c>
      <c r="V20" s="161">
        <f>+(V19+V21)/2</f>
        <v>1.135</v>
      </c>
    </row>
    <row r="21" spans="1:22" ht="44.25" customHeight="1" thickBot="1" x14ac:dyDescent="0.3">
      <c r="B21" s="459" t="s">
        <v>893</v>
      </c>
      <c r="C21" s="459"/>
      <c r="D21" s="459"/>
      <c r="E21" s="459"/>
      <c r="F21" s="459"/>
      <c r="G21" s="459"/>
      <c r="H21" s="459"/>
      <c r="I21" s="459"/>
      <c r="J21" s="459"/>
      <c r="K21" s="459"/>
      <c r="L21" s="459"/>
      <c r="M21" s="459"/>
      <c r="R21" s="318">
        <v>11</v>
      </c>
      <c r="S21" s="308"/>
      <c r="T21" s="155">
        <v>1.01</v>
      </c>
      <c r="U21" s="155">
        <f>1.01+0.0000188*($J$11-400)</f>
        <v>1.5100799999999999</v>
      </c>
      <c r="V21" s="161">
        <v>1.04</v>
      </c>
    </row>
    <row r="22" spans="1:22" ht="14" thickTop="1" thickBot="1" x14ac:dyDescent="0.3">
      <c r="A22" s="333" t="s">
        <v>132</v>
      </c>
      <c r="B22" s="334"/>
      <c r="C22" s="334"/>
      <c r="D22" s="334"/>
      <c r="E22" s="334"/>
      <c r="F22" s="334"/>
      <c r="G22" s="334"/>
      <c r="H22" s="334"/>
      <c r="I22" s="334"/>
      <c r="J22" s="334"/>
      <c r="K22" s="334"/>
      <c r="L22" s="334"/>
      <c r="M22" s="334"/>
      <c r="N22" s="334"/>
      <c r="R22" s="313">
        <v>11.5</v>
      </c>
      <c r="S22" s="313"/>
      <c r="T22" s="155">
        <f>+(T21+T23)/2</f>
        <v>1.0049999999999999</v>
      </c>
      <c r="U22" s="155">
        <f>+(U21+U23)/2</f>
        <v>1.2550399999999999</v>
      </c>
      <c r="V22" s="161">
        <f>+(V21+V23)/2</f>
        <v>1.02</v>
      </c>
    </row>
    <row r="23" spans="1:22" ht="13" thickBot="1" x14ac:dyDescent="0.3">
      <c r="A23" s="458" t="s">
        <v>19</v>
      </c>
      <c r="B23" s="388"/>
      <c r="C23" s="335" t="s">
        <v>20</v>
      </c>
      <c r="D23" s="335"/>
      <c r="E23" s="388"/>
      <c r="F23" s="335" t="s">
        <v>21</v>
      </c>
      <c r="G23" s="388"/>
      <c r="H23" s="335" t="s">
        <v>22</v>
      </c>
      <c r="I23" s="388"/>
      <c r="J23" s="335" t="s">
        <v>23</v>
      </c>
      <c r="K23" s="388"/>
      <c r="L23" s="388"/>
      <c r="M23" s="335" t="s">
        <v>24</v>
      </c>
      <c r="N23" s="336"/>
      <c r="R23" s="310">
        <v>12</v>
      </c>
      <c r="S23" s="311"/>
      <c r="T23" s="162">
        <v>1</v>
      </c>
      <c r="U23" s="162">
        <v>1</v>
      </c>
      <c r="V23" s="163">
        <v>1</v>
      </c>
    </row>
    <row r="24" spans="1:22" x14ac:dyDescent="0.25">
      <c r="A24" s="337" t="s">
        <v>32</v>
      </c>
      <c r="B24" s="338"/>
      <c r="C24" s="341" t="s">
        <v>135</v>
      </c>
      <c r="D24" s="341"/>
      <c r="E24" s="338"/>
      <c r="F24" s="341" t="s">
        <v>138</v>
      </c>
      <c r="G24" s="338"/>
      <c r="H24" s="342" t="s">
        <v>33</v>
      </c>
      <c r="I24" s="338"/>
      <c r="J24" s="342" t="s">
        <v>34</v>
      </c>
      <c r="K24" s="338"/>
      <c r="L24" s="338"/>
      <c r="M24" s="341" t="s">
        <v>107</v>
      </c>
      <c r="N24" s="343"/>
      <c r="R24" s="314" t="s">
        <v>282</v>
      </c>
      <c r="S24" s="315"/>
      <c r="T24" s="315"/>
      <c r="U24" s="315"/>
      <c r="V24" s="315"/>
    </row>
    <row r="25" spans="1:22" x14ac:dyDescent="0.25">
      <c r="A25" s="339"/>
      <c r="B25" s="340"/>
      <c r="C25" s="340"/>
      <c r="D25" s="340"/>
      <c r="E25" s="340"/>
      <c r="F25" s="340"/>
      <c r="G25" s="340"/>
      <c r="H25" s="340"/>
      <c r="I25" s="340"/>
      <c r="J25" s="340"/>
      <c r="K25" s="340"/>
      <c r="L25" s="340"/>
      <c r="M25" s="340"/>
      <c r="N25" s="344"/>
      <c r="R25" s="306"/>
      <c r="S25" s="306"/>
      <c r="T25" s="306"/>
      <c r="U25" s="306"/>
      <c r="V25" s="306"/>
    </row>
    <row r="26" spans="1:22" ht="13" x14ac:dyDescent="0.25">
      <c r="A26" s="460" t="s">
        <v>133</v>
      </c>
      <c r="B26" s="356"/>
      <c r="C26" s="328" t="s">
        <v>136</v>
      </c>
      <c r="D26" s="328"/>
      <c r="E26" s="356"/>
      <c r="F26" s="328" t="s">
        <v>139</v>
      </c>
      <c r="G26" s="356"/>
      <c r="H26" s="328" t="s">
        <v>140</v>
      </c>
      <c r="I26" s="356"/>
      <c r="J26" s="328" t="s">
        <v>143</v>
      </c>
      <c r="K26" s="356"/>
      <c r="L26" s="356"/>
      <c r="M26" s="328" t="s">
        <v>35</v>
      </c>
      <c r="N26" s="329"/>
    </row>
    <row r="27" spans="1:22" x14ac:dyDescent="0.25">
      <c r="A27" s="353" t="s">
        <v>134</v>
      </c>
      <c r="B27" s="354"/>
      <c r="C27" s="355" t="s">
        <v>137</v>
      </c>
      <c r="D27" s="355"/>
      <c r="E27" s="354"/>
      <c r="F27" s="355" t="s">
        <v>316</v>
      </c>
      <c r="G27" s="356"/>
      <c r="H27" s="355" t="s">
        <v>141</v>
      </c>
      <c r="I27" s="354"/>
      <c r="J27" s="355" t="s">
        <v>142</v>
      </c>
      <c r="K27" s="356"/>
      <c r="L27" s="356"/>
      <c r="M27" s="330" t="s">
        <v>131</v>
      </c>
      <c r="N27" s="329"/>
    </row>
    <row r="28" spans="1:22" ht="13" thickBot="1" x14ac:dyDescent="0.3">
      <c r="A28" s="360">
        <f>((IF($J$11&gt;2000,(VLOOKUP($J$12,Segment_Undivided_1!$R$17:$V$23,5,FALSE)),IF($J$11&lt;400,(VLOOKUP($J$12,Segment_Undivided_1!$R$17:$V$23,3,FALSE)),(VLOOKUP($J$12,Segment_Undivided_1!$R$17:$V$23,4)))))-1)*(IF('Reference Tables (Segment)'!D7="No",'Reference Tables (Segment)'!E15,'Reference Tables (Segment)'!I15))+1</f>
        <v>1</v>
      </c>
      <c r="B28" s="359"/>
      <c r="C28" s="326">
        <f>(+$V$4*$V$6-1)*(IF('Reference Tables (Segment)'!D7="NO",'Reference Tables (Segment)'!E15,'Reference Tables (Segment)'!I15))+1</f>
        <v>1</v>
      </c>
      <c r="D28" s="358"/>
      <c r="E28" s="359"/>
      <c r="F28" s="326">
        <f>HLOOKUP(J16,'Reference Tables (Segment)'!O22:T23,2,FALSE)</f>
        <v>1</v>
      </c>
      <c r="G28" s="357"/>
      <c r="H28" s="326">
        <f>IF($J$17="Present",(1-(IF('Reference Tables (Segment)'!$D$41="No",((1-(0.72*'Reference Tables (Segment)'!$E$45)-(0.83*'Reference Tables (Segment)'!$F$45))*'Reference Tables (Segment)'!$G$45),((1-(0.72*'Reference Tables (Segment)'!$I$45)-(0.83*'Reference Tables (Segment)'!$J$45))*'Reference Tables (Segment)'!$K$45)))),1)</f>
        <v>1</v>
      </c>
      <c r="I28" s="357"/>
      <c r="J28" s="326">
        <f>IF($J$18="Present",0.95,1)</f>
        <v>1</v>
      </c>
      <c r="K28" s="360"/>
      <c r="L28" s="357"/>
      <c r="M28" s="326">
        <f>$A$28*$C$28*$F$28*$H$28*$J$28</f>
        <v>1</v>
      </c>
      <c r="N28" s="327"/>
    </row>
    <row r="29" spans="1:22" ht="13" thickBot="1" x14ac:dyDescent="0.3"/>
    <row r="30" spans="1:22" x14ac:dyDescent="0.25">
      <c r="F30" s="158"/>
      <c r="G30" s="158"/>
      <c r="R30" s="316" t="s">
        <v>313</v>
      </c>
      <c r="S30" s="316"/>
      <c r="T30" s="316"/>
      <c r="U30" s="316"/>
      <c r="V30" s="316"/>
    </row>
    <row r="31" spans="1:22" ht="13" thickBot="1" x14ac:dyDescent="0.3">
      <c r="R31" s="317"/>
      <c r="S31" s="317"/>
      <c r="T31" s="317"/>
      <c r="U31" s="317"/>
      <c r="V31" s="317"/>
    </row>
    <row r="32" spans="1:22" ht="14" thickTop="1" thickBot="1" x14ac:dyDescent="0.3">
      <c r="A32" s="382" t="s">
        <v>845</v>
      </c>
      <c r="B32" s="383"/>
      <c r="C32" s="383"/>
      <c r="D32" s="383"/>
      <c r="E32" s="383"/>
      <c r="F32" s="383"/>
      <c r="G32" s="383"/>
      <c r="H32" s="383"/>
      <c r="I32" s="383"/>
      <c r="J32" s="384"/>
      <c r="K32" s="384"/>
      <c r="L32" s="384"/>
      <c r="M32" s="384"/>
      <c r="N32" s="384"/>
      <c r="R32" s="319" t="s">
        <v>54</v>
      </c>
      <c r="S32" s="320"/>
      <c r="T32" s="323" t="s">
        <v>6</v>
      </c>
      <c r="U32" s="323"/>
      <c r="V32" s="324"/>
    </row>
    <row r="33" spans="1:42" ht="13" x14ac:dyDescent="0.25">
      <c r="A33" s="385" t="s">
        <v>19</v>
      </c>
      <c r="B33" s="386"/>
      <c r="C33" s="387" t="s">
        <v>20</v>
      </c>
      <c r="D33" s="387"/>
      <c r="E33" s="386"/>
      <c r="F33" s="335" t="s">
        <v>21</v>
      </c>
      <c r="G33" s="388"/>
      <c r="H33" s="389" t="s">
        <v>22</v>
      </c>
      <c r="I33" s="386"/>
      <c r="J33" s="389" t="s">
        <v>23</v>
      </c>
      <c r="K33" s="386"/>
      <c r="L33" s="164" t="s">
        <v>24</v>
      </c>
      <c r="M33" s="335" t="s">
        <v>25</v>
      </c>
      <c r="N33" s="336"/>
      <c r="R33" s="321"/>
      <c r="S33" s="322"/>
      <c r="T33" s="159" t="s">
        <v>59</v>
      </c>
      <c r="U33" s="159" t="s">
        <v>60</v>
      </c>
      <c r="V33" s="160" t="s">
        <v>61</v>
      </c>
    </row>
    <row r="34" spans="1:42" ht="13" x14ac:dyDescent="0.25">
      <c r="A34" s="390" t="s">
        <v>36</v>
      </c>
      <c r="B34" s="391"/>
      <c r="C34" s="392" t="s">
        <v>144</v>
      </c>
      <c r="D34" s="393"/>
      <c r="E34" s="393"/>
      <c r="F34" s="379" t="s">
        <v>309</v>
      </c>
      <c r="G34" s="354"/>
      <c r="H34" s="394" t="s">
        <v>37</v>
      </c>
      <c r="I34" s="395"/>
      <c r="J34" s="394" t="s">
        <v>38</v>
      </c>
      <c r="K34" s="396"/>
      <c r="L34" s="394" t="s">
        <v>10</v>
      </c>
      <c r="M34" s="379" t="s">
        <v>297</v>
      </c>
      <c r="N34" s="380"/>
      <c r="R34" s="318">
        <v>0</v>
      </c>
      <c r="S34" s="308"/>
      <c r="T34" s="155">
        <v>1.1000000000000001</v>
      </c>
      <c r="U34" s="155">
        <f>+($J$11-400)*0.00025+1.1</f>
        <v>7.75</v>
      </c>
      <c r="V34" s="161">
        <v>1.5</v>
      </c>
    </row>
    <row r="35" spans="1:42" ht="18.649999999999999" customHeight="1" x14ac:dyDescent="0.25">
      <c r="A35" s="347"/>
      <c r="B35" s="391"/>
      <c r="C35" s="373" t="s">
        <v>323</v>
      </c>
      <c r="D35" s="309"/>
      <c r="E35" s="309"/>
      <c r="F35" s="356"/>
      <c r="G35" s="356"/>
      <c r="H35" s="395"/>
      <c r="I35" s="395"/>
      <c r="J35" s="397" t="s">
        <v>157</v>
      </c>
      <c r="K35" s="396"/>
      <c r="L35" s="309"/>
      <c r="M35" s="381"/>
      <c r="N35" s="380"/>
      <c r="R35" s="308">
        <v>1</v>
      </c>
      <c r="S35" s="309"/>
      <c r="T35" s="155">
        <f>+(T34+T36)/2</f>
        <v>1.085</v>
      </c>
      <c r="U35" s="155">
        <f>+(U34+U36)/2</f>
        <v>6.3118999999999996</v>
      </c>
      <c r="V35" s="161">
        <f>+(V34+V36)/2</f>
        <v>1.4</v>
      </c>
    </row>
    <row r="36" spans="1:42" ht="19" customHeight="1" x14ac:dyDescent="0.25">
      <c r="A36" s="347"/>
      <c r="B36" s="391"/>
      <c r="C36" s="144" t="s">
        <v>145</v>
      </c>
      <c r="D36" s="144" t="s">
        <v>146</v>
      </c>
      <c r="E36" s="144" t="s">
        <v>147</v>
      </c>
      <c r="F36" s="355" t="s">
        <v>155</v>
      </c>
      <c r="G36" s="354"/>
      <c r="H36" s="373" t="s">
        <v>156</v>
      </c>
      <c r="I36" s="309"/>
      <c r="J36" s="396"/>
      <c r="K36" s="396"/>
      <c r="L36" s="309"/>
      <c r="M36" s="377" t="s">
        <v>151</v>
      </c>
      <c r="N36" s="378"/>
      <c r="Q36" s="165"/>
      <c r="R36" s="312">
        <v>2</v>
      </c>
      <c r="S36" s="309"/>
      <c r="T36" s="155">
        <v>1.07</v>
      </c>
      <c r="U36" s="155">
        <f>+($J$11-400)*0.000143+1.07</f>
        <v>4.8738000000000001</v>
      </c>
      <c r="V36" s="161">
        <v>1.3</v>
      </c>
      <c r="W36" s="166"/>
      <c r="X36" s="166"/>
      <c r="Y36" s="166"/>
      <c r="Z36" s="166"/>
      <c r="AA36" s="166"/>
      <c r="AD36" s="34"/>
      <c r="AE36" s="34"/>
      <c r="AF36" s="34"/>
      <c r="AG36" s="34"/>
      <c r="AH36" s="34"/>
      <c r="AI36" s="34"/>
      <c r="AJ36" s="34"/>
      <c r="AK36" s="34"/>
      <c r="AL36" s="34"/>
      <c r="AM36" s="34"/>
      <c r="AN36" s="34"/>
      <c r="AO36" s="34"/>
      <c r="AP36" s="34"/>
    </row>
    <row r="37" spans="1:42" ht="13" x14ac:dyDescent="0.25">
      <c r="A37" s="347" t="s">
        <v>39</v>
      </c>
      <c r="B37" s="391"/>
      <c r="C37" s="167">
        <v>-9.6530000000000005</v>
      </c>
      <c r="D37" s="167">
        <v>1.1759999999999999</v>
      </c>
      <c r="E37" s="167">
        <v>1.675</v>
      </c>
      <c r="F37" s="365">
        <f>EXP($C$37+$D$37*LN($J$11)+LN($J$10))</f>
        <v>10.448144078600054</v>
      </c>
      <c r="G37" s="366"/>
      <c r="H37" s="371">
        <f>1/(EXP($E$37+LN($J$10)))</f>
        <v>0.18730817948195702</v>
      </c>
      <c r="I37" s="372"/>
      <c r="J37" s="374">
        <f>+$M$28</f>
        <v>1</v>
      </c>
      <c r="K37" s="375"/>
      <c r="L37" s="155">
        <f>+$J$19</f>
        <v>1</v>
      </c>
      <c r="M37" s="365">
        <f>+F37*J37*L37</f>
        <v>10.448144078600054</v>
      </c>
      <c r="N37" s="376"/>
      <c r="R37" s="308">
        <v>3</v>
      </c>
      <c r="S37" s="309"/>
      <c r="T37" s="155">
        <f>+(T36+T38)/2</f>
        <v>1.0449999999999999</v>
      </c>
      <c r="U37" s="155">
        <f>+(U36+U38)/2</f>
        <v>4.0275249999999998</v>
      </c>
      <c r="V37" s="161">
        <f>+(V36+V38)/2</f>
        <v>1.2250000000000001</v>
      </c>
      <c r="AD37" s="34"/>
      <c r="AE37" s="34"/>
      <c r="AF37" s="35"/>
      <c r="AG37" s="35"/>
      <c r="AH37" s="35"/>
      <c r="AI37" s="35"/>
      <c r="AJ37" s="35"/>
      <c r="AK37" s="34"/>
      <c r="AL37" s="35"/>
      <c r="AM37" s="35"/>
      <c r="AN37" s="35"/>
      <c r="AO37" s="35"/>
      <c r="AP37" s="35"/>
    </row>
    <row r="38" spans="1:42" ht="13" x14ac:dyDescent="0.25">
      <c r="A38" s="347" t="s">
        <v>40</v>
      </c>
      <c r="B38" s="391"/>
      <c r="C38" s="167">
        <v>-9.41</v>
      </c>
      <c r="D38" s="167">
        <v>1.0940000000000001</v>
      </c>
      <c r="E38" s="167">
        <v>1.796</v>
      </c>
      <c r="F38" s="365">
        <f>EXP($C$38+$D$38*LN($J$11)+LN($J$10))</f>
        <v>5.7703330891831017</v>
      </c>
      <c r="G38" s="366"/>
      <c r="H38" s="371">
        <f>1/(EXP($E$38+LN($J$10)))</f>
        <v>0.16596140793053141</v>
      </c>
      <c r="I38" s="372"/>
      <c r="J38" s="374">
        <f>+$M$28</f>
        <v>1</v>
      </c>
      <c r="K38" s="375"/>
      <c r="L38" s="155">
        <f>+$J$19</f>
        <v>1</v>
      </c>
      <c r="M38" s="365">
        <f>+F38*J38*L38</f>
        <v>5.7703330891831017</v>
      </c>
      <c r="N38" s="376"/>
      <c r="R38" s="312">
        <v>4</v>
      </c>
      <c r="S38" s="309"/>
      <c r="T38" s="155">
        <v>1.02</v>
      </c>
      <c r="U38" s="155">
        <f>+($J$11-400)*0.00008125+1.02</f>
        <v>3.1812499999999999</v>
      </c>
      <c r="V38" s="161">
        <v>1.1499999999999999</v>
      </c>
      <c r="AE38" s="34"/>
      <c r="AF38" s="34"/>
      <c r="AG38" s="34"/>
      <c r="AH38" s="34"/>
      <c r="AI38" s="34"/>
      <c r="AK38" s="34"/>
      <c r="AL38" s="34"/>
      <c r="AM38" s="34"/>
      <c r="AN38" s="34"/>
      <c r="AO38" s="34"/>
    </row>
    <row r="39" spans="1:42" ht="14.5" x14ac:dyDescent="0.25">
      <c r="A39" s="398" t="s">
        <v>152</v>
      </c>
      <c r="B39" s="391"/>
      <c r="C39" s="167">
        <v>-8.577</v>
      </c>
      <c r="D39" s="167">
        <v>0.93799999999999994</v>
      </c>
      <c r="E39" s="167">
        <v>2.0030000000000001</v>
      </c>
      <c r="F39" s="365">
        <f>EXP($C$39+$D$39*LN($J$11)+LN($J$10))</f>
        <v>2.7019383747277872</v>
      </c>
      <c r="G39" s="366"/>
      <c r="H39" s="371">
        <f>1/(EXP($E$39+LN($J$10)))</f>
        <v>0.13492988578712511</v>
      </c>
      <c r="I39" s="372"/>
      <c r="J39" s="374">
        <f>+$M$28</f>
        <v>1</v>
      </c>
      <c r="K39" s="375"/>
      <c r="L39" s="155">
        <f>+$J$19</f>
        <v>1</v>
      </c>
      <c r="M39" s="365">
        <f>+F39*J39*L39</f>
        <v>2.7019383747277872</v>
      </c>
      <c r="N39" s="376"/>
      <c r="R39" s="308">
        <v>5</v>
      </c>
      <c r="S39" s="309"/>
      <c r="T39" s="155">
        <f>+(T38+T40)/2</f>
        <v>1.01</v>
      </c>
      <c r="U39" s="155">
        <f>+(U38+U40)/2</f>
        <v>2.0906250000000002</v>
      </c>
      <c r="V39" s="161">
        <f>+(V38+V40)/2</f>
        <v>1.075</v>
      </c>
      <c r="AE39" s="34"/>
      <c r="AF39" s="34"/>
      <c r="AG39" s="34"/>
      <c r="AH39" s="34"/>
      <c r="AI39" s="34"/>
      <c r="AK39" s="34"/>
      <c r="AL39" s="34"/>
      <c r="AM39" s="34"/>
      <c r="AN39" s="34"/>
      <c r="AO39" s="34"/>
    </row>
    <row r="40" spans="1:42" ht="15.5" x14ac:dyDescent="0.25">
      <c r="A40" s="423" t="s">
        <v>41</v>
      </c>
      <c r="B40" s="395"/>
      <c r="C40" s="442" t="s">
        <v>17</v>
      </c>
      <c r="D40" s="442" t="s">
        <v>17</v>
      </c>
      <c r="E40" s="442" t="s">
        <v>17</v>
      </c>
      <c r="F40" s="361" t="s">
        <v>17</v>
      </c>
      <c r="G40" s="362"/>
      <c r="H40" s="367" t="s">
        <v>17</v>
      </c>
      <c r="I40" s="368"/>
      <c r="J40" s="367" t="s">
        <v>17</v>
      </c>
      <c r="K40" s="368"/>
      <c r="L40" s="442" t="s">
        <v>17</v>
      </c>
      <c r="M40" s="377" t="s">
        <v>153</v>
      </c>
      <c r="N40" s="378"/>
      <c r="R40" s="312">
        <v>6</v>
      </c>
      <c r="S40" s="309"/>
      <c r="T40" s="155">
        <v>1</v>
      </c>
      <c r="U40" s="155">
        <v>1</v>
      </c>
      <c r="V40" s="161">
        <v>1</v>
      </c>
      <c r="AE40" s="34"/>
      <c r="AF40" s="34"/>
      <c r="AG40" s="34"/>
      <c r="AH40" s="34"/>
      <c r="AI40" s="156"/>
      <c r="AK40" s="34"/>
      <c r="AL40" s="34"/>
      <c r="AM40" s="34"/>
      <c r="AN40" s="34"/>
      <c r="AO40" s="156"/>
    </row>
    <row r="41" spans="1:42" ht="13" thickBot="1" x14ac:dyDescent="0.3">
      <c r="A41" s="455"/>
      <c r="B41" s="418"/>
      <c r="C41" s="443"/>
      <c r="D41" s="443"/>
      <c r="E41" s="443"/>
      <c r="F41" s="363"/>
      <c r="G41" s="364"/>
      <c r="H41" s="369"/>
      <c r="I41" s="370"/>
      <c r="J41" s="369"/>
      <c r="K41" s="370"/>
      <c r="L41" s="443"/>
      <c r="M41" s="444">
        <f>+M37-M38</f>
        <v>4.6778109894169519</v>
      </c>
      <c r="N41" s="445"/>
      <c r="P41" s="158"/>
      <c r="R41" s="308">
        <v>7</v>
      </c>
      <c r="S41" s="309"/>
      <c r="T41" s="155">
        <f>+(T40+T42)/2</f>
        <v>0.99</v>
      </c>
      <c r="U41" s="155">
        <f>+(U40+U42)/2</f>
        <v>7.5624999999999942E-2</v>
      </c>
      <c r="V41" s="161">
        <f>+(V40+V42)/2</f>
        <v>0.93500000000000005</v>
      </c>
      <c r="AD41" s="157"/>
      <c r="AE41" s="35"/>
      <c r="AF41" s="35"/>
      <c r="AG41" s="35"/>
      <c r="AH41" s="157"/>
      <c r="AI41" s="168"/>
      <c r="AK41" s="35"/>
      <c r="AL41" s="35"/>
      <c r="AM41" s="35"/>
      <c r="AN41" s="157"/>
      <c r="AO41" s="168"/>
    </row>
    <row r="42" spans="1:42" ht="13" thickBot="1" x14ac:dyDescent="0.3">
      <c r="A42" s="415" t="s">
        <v>154</v>
      </c>
      <c r="B42" s="416"/>
      <c r="C42" s="416"/>
      <c r="D42" s="416"/>
      <c r="E42" s="416"/>
      <c r="F42" s="416"/>
      <c r="G42" s="416"/>
      <c r="H42" s="416"/>
      <c r="I42" s="416"/>
      <c r="J42" s="416"/>
      <c r="K42" s="416"/>
      <c r="L42" s="416"/>
      <c r="M42" s="416"/>
      <c r="N42" s="416"/>
      <c r="R42" s="310">
        <v>8</v>
      </c>
      <c r="S42" s="311"/>
      <c r="T42" s="162">
        <v>0.98</v>
      </c>
      <c r="U42" s="162">
        <f>+(($J$11-400)*-0.00006875)+0.98</f>
        <v>-0.84875000000000012</v>
      </c>
      <c r="V42" s="163">
        <v>0.87</v>
      </c>
    </row>
    <row r="43" spans="1:42" x14ac:dyDescent="0.25">
      <c r="R43" s="305" t="s">
        <v>81</v>
      </c>
      <c r="S43" s="306"/>
      <c r="T43" s="306"/>
      <c r="U43" s="306"/>
      <c r="V43" s="306"/>
    </row>
    <row r="44" spans="1:42" x14ac:dyDescent="0.25">
      <c r="R44" s="306"/>
      <c r="S44" s="306"/>
      <c r="T44" s="306"/>
      <c r="U44" s="306"/>
      <c r="V44" s="306"/>
    </row>
    <row r="45" spans="1:42" ht="13" thickBot="1" x14ac:dyDescent="0.3">
      <c r="A45" s="158"/>
      <c r="B45" s="158"/>
      <c r="C45" s="158"/>
      <c r="D45" s="158"/>
      <c r="E45" s="158"/>
      <c r="F45" s="158"/>
      <c r="G45" s="158"/>
      <c r="H45" s="158"/>
      <c r="I45" s="158"/>
      <c r="J45" s="158"/>
      <c r="K45" s="158"/>
      <c r="L45" s="158"/>
      <c r="M45" s="158"/>
      <c r="N45" s="169"/>
      <c r="R45" s="306"/>
      <c r="S45" s="306"/>
      <c r="T45" s="306"/>
      <c r="U45" s="306"/>
      <c r="V45" s="306"/>
    </row>
    <row r="46" spans="1:42" ht="14" thickTop="1" thickBot="1" x14ac:dyDescent="0.3">
      <c r="A46" s="382" t="s">
        <v>846</v>
      </c>
      <c r="B46" s="383"/>
      <c r="C46" s="383"/>
      <c r="D46" s="383"/>
      <c r="E46" s="383"/>
      <c r="F46" s="383"/>
      <c r="G46" s="383"/>
      <c r="H46" s="383"/>
      <c r="I46" s="383"/>
      <c r="J46" s="383"/>
      <c r="K46" s="383"/>
      <c r="L46" s="383"/>
      <c r="M46" s="383"/>
      <c r="N46" s="383"/>
      <c r="R46" s="307"/>
      <c r="S46" s="307"/>
      <c r="T46" s="307"/>
      <c r="U46" s="307"/>
      <c r="V46" s="307"/>
    </row>
    <row r="47" spans="1:42" x14ac:dyDescent="0.25">
      <c r="A47" s="447" t="s">
        <v>19</v>
      </c>
      <c r="B47" s="448"/>
      <c r="C47" s="170" t="s">
        <v>20</v>
      </c>
      <c r="D47" s="449" t="s">
        <v>21</v>
      </c>
      <c r="E47" s="385"/>
      <c r="F47" s="171" t="s">
        <v>22</v>
      </c>
      <c r="G47" s="450" t="s">
        <v>23</v>
      </c>
      <c r="H47" s="451"/>
      <c r="I47" s="171" t="s">
        <v>24</v>
      </c>
      <c r="J47" s="450" t="s">
        <v>25</v>
      </c>
      <c r="K47" s="452"/>
      <c r="L47" s="171" t="s">
        <v>26</v>
      </c>
      <c r="M47" s="453" t="s">
        <v>27</v>
      </c>
      <c r="N47" s="454"/>
    </row>
    <row r="48" spans="1:42" ht="13.15" customHeight="1" x14ac:dyDescent="0.25">
      <c r="A48" s="390" t="s">
        <v>42</v>
      </c>
      <c r="B48" s="394"/>
      <c r="C48" s="394" t="s">
        <v>44</v>
      </c>
      <c r="D48" s="394" t="s">
        <v>302</v>
      </c>
      <c r="E48" s="391"/>
      <c r="F48" s="394" t="s">
        <v>43</v>
      </c>
      <c r="G48" s="394" t="s">
        <v>303</v>
      </c>
      <c r="H48" s="394"/>
      <c r="I48" s="394" t="s">
        <v>158</v>
      </c>
      <c r="J48" s="394" t="s">
        <v>304</v>
      </c>
      <c r="K48" s="394"/>
      <c r="L48" s="394" t="s">
        <v>159</v>
      </c>
      <c r="M48" s="394" t="s">
        <v>305</v>
      </c>
      <c r="N48" s="438"/>
    </row>
    <row r="49" spans="1:14" ht="13.15" customHeight="1" x14ac:dyDescent="0.25">
      <c r="A49" s="390"/>
      <c r="B49" s="394"/>
      <c r="C49" s="309"/>
      <c r="D49" s="391"/>
      <c r="E49" s="391"/>
      <c r="F49" s="309"/>
      <c r="G49" s="309"/>
      <c r="H49" s="309"/>
      <c r="I49" s="309"/>
      <c r="J49" s="309"/>
      <c r="K49" s="309"/>
      <c r="L49" s="309"/>
      <c r="M49" s="309"/>
      <c r="N49" s="437"/>
    </row>
    <row r="50" spans="1:14" ht="13.15" customHeight="1" x14ac:dyDescent="0.25">
      <c r="A50" s="308"/>
      <c r="B50" s="309"/>
      <c r="C50" s="309"/>
      <c r="D50" s="391"/>
      <c r="E50" s="391"/>
      <c r="F50" s="309"/>
      <c r="G50" s="309"/>
      <c r="H50" s="309"/>
      <c r="I50" s="309"/>
      <c r="J50" s="309"/>
      <c r="K50" s="309"/>
      <c r="L50" s="309"/>
      <c r="M50" s="309"/>
      <c r="N50" s="437"/>
    </row>
    <row r="51" spans="1:14" ht="13.15" customHeight="1" x14ac:dyDescent="0.25">
      <c r="A51" s="308"/>
      <c r="B51" s="309"/>
      <c r="C51" s="439" t="s">
        <v>326</v>
      </c>
      <c r="D51" s="440" t="s">
        <v>171</v>
      </c>
      <c r="E51" s="441"/>
      <c r="F51" s="439" t="s">
        <v>327</v>
      </c>
      <c r="G51" s="440" t="s">
        <v>172</v>
      </c>
      <c r="H51" s="441"/>
      <c r="I51" s="439" t="s">
        <v>326</v>
      </c>
      <c r="J51" s="440" t="s">
        <v>173</v>
      </c>
      <c r="K51" s="441"/>
      <c r="L51" s="439" t="s">
        <v>326</v>
      </c>
      <c r="M51" s="440" t="s">
        <v>174</v>
      </c>
      <c r="N51" s="446"/>
    </row>
    <row r="52" spans="1:14" ht="13.15" customHeight="1" x14ac:dyDescent="0.25">
      <c r="A52" s="308"/>
      <c r="B52" s="309"/>
      <c r="C52" s="309"/>
      <c r="D52" s="309"/>
      <c r="E52" s="309"/>
      <c r="F52" s="309"/>
      <c r="G52" s="309"/>
      <c r="H52" s="309"/>
      <c r="I52" s="309"/>
      <c r="J52" s="309"/>
      <c r="K52" s="309"/>
      <c r="L52" s="309"/>
      <c r="M52" s="309"/>
      <c r="N52" s="437"/>
    </row>
    <row r="53" spans="1:14" x14ac:dyDescent="0.25">
      <c r="A53" s="347" t="s">
        <v>39</v>
      </c>
      <c r="B53" s="391"/>
      <c r="C53" s="167">
        <f>IF('Reference Tables (Segment)'!$D$7="No",SUM('Reference Tables (Segment)'!$E$9:$E$14),SUM('Reference Tables (Segment)'!$I$9:$I$14))</f>
        <v>1</v>
      </c>
      <c r="D53" s="371">
        <f>+M37</f>
        <v>10.448144078600054</v>
      </c>
      <c r="E53" s="372"/>
      <c r="F53" s="167">
        <f>IF('Reference Tables (Segment)'!$D$7="No",SUM('Reference Tables (Segment)'!$F$9:$F$14),SUM('Reference Tables (Segment)'!$J$9:$J$14))</f>
        <v>1</v>
      </c>
      <c r="G53" s="371">
        <f>+M38</f>
        <v>5.7703330891831017</v>
      </c>
      <c r="H53" s="372"/>
      <c r="I53" s="167">
        <f>IF('Reference Tables (Segment)'!$D$7="No",SUM('Reference Tables (Segment)'!$G$9:$G$14),SUM('Reference Tables (Segment)'!$K$9:$K$14))</f>
        <v>1</v>
      </c>
      <c r="J53" s="371">
        <f>+M39</f>
        <v>2.7019383747277872</v>
      </c>
      <c r="K53" s="372"/>
      <c r="L53" s="167">
        <f>IF('Reference Tables (Segment)'!D$7="No",SUM('Reference Tables (Segment)'!$H$9:$H$14),SUM('Reference Tables (Segment)'!$L$9:$L$14))</f>
        <v>1</v>
      </c>
      <c r="M53" s="371">
        <f>+M41</f>
        <v>4.6778109894169519</v>
      </c>
      <c r="N53" s="400"/>
    </row>
    <row r="54" spans="1:14" ht="15.5" x14ac:dyDescent="0.25">
      <c r="A54" s="375"/>
      <c r="B54" s="434"/>
      <c r="C54" s="155"/>
      <c r="D54" s="435" t="s">
        <v>165</v>
      </c>
      <c r="E54" s="434"/>
      <c r="F54" s="155"/>
      <c r="G54" s="436" t="s">
        <v>166</v>
      </c>
      <c r="H54" s="391"/>
      <c r="I54" s="155"/>
      <c r="J54" s="435" t="s">
        <v>167</v>
      </c>
      <c r="K54" s="309"/>
      <c r="L54" s="155"/>
      <c r="M54" s="435" t="s">
        <v>168</v>
      </c>
      <c r="N54" s="437"/>
    </row>
    <row r="55" spans="1:14" x14ac:dyDescent="0.25">
      <c r="A55" s="399" t="s">
        <v>46</v>
      </c>
      <c r="B55" s="391"/>
      <c r="C55" s="167">
        <f>IF('Reference Tables (Segment)'!$D$7="No",'Reference Tables (Segment)'!E9,'Reference Tables (Segment)'!I9)</f>
        <v>8.9999999999999993E-3</v>
      </c>
      <c r="D55" s="371">
        <f t="shared" ref="D55:D60" si="0">+C55*$D$53</f>
        <v>9.4033296707400474E-2</v>
      </c>
      <c r="E55" s="372"/>
      <c r="F55" s="167">
        <f>IF('Reference Tables (Segment)'!$D$7="No",'Reference Tables (Segment)'!F9,'Reference Tables (Segment)'!J9)</f>
        <v>2.9000000000000001E-2</v>
      </c>
      <c r="G55" s="371">
        <f t="shared" ref="G55:G60" si="1">+F55*$G$53</f>
        <v>0.16733965958630995</v>
      </c>
      <c r="H55" s="372"/>
      <c r="I55" s="167">
        <f>IF('Reference Tables (Segment)'!$D$7="No",'Reference Tables (Segment)'!G9,'Reference Tables (Segment)'!K9)</f>
        <v>4.2999999999999997E-2</v>
      </c>
      <c r="J55" s="371">
        <f t="shared" ref="J55:J60" si="2">+$J$53*I55</f>
        <v>0.11618335011329484</v>
      </c>
      <c r="K55" s="372"/>
      <c r="L55" s="167">
        <f>IF('Reference Tables (Segment)'!$D$7="No",'Reference Tables (Segment)'!H9,'Reference Tables (Segment)'!L9)</f>
        <v>1E-3</v>
      </c>
      <c r="M55" s="371">
        <f t="shared" ref="M55:M60" si="3">+$M$53*L55</f>
        <v>4.6778109894169521E-3</v>
      </c>
      <c r="N55" s="400"/>
    </row>
    <row r="56" spans="1:14" x14ac:dyDescent="0.25">
      <c r="A56" s="399" t="s">
        <v>48</v>
      </c>
      <c r="B56" s="391"/>
      <c r="C56" s="167">
        <f>IF('Reference Tables (Segment)'!$D$7="No",'Reference Tables (Segment)'!E10,'Reference Tables (Segment)'!I10)</f>
        <v>9.8000000000000004E-2</v>
      </c>
      <c r="D56" s="371">
        <f t="shared" si="0"/>
        <v>1.0239181197028053</v>
      </c>
      <c r="E56" s="372"/>
      <c r="F56" s="167">
        <f>IF('Reference Tables (Segment)'!$D$7="No",'Reference Tables (Segment)'!F10,'Reference Tables (Segment)'!J10)</f>
        <v>4.8000000000000001E-2</v>
      </c>
      <c r="G56" s="371">
        <f t="shared" si="1"/>
        <v>0.2769759882807889</v>
      </c>
      <c r="H56" s="372"/>
      <c r="I56" s="167">
        <f>IF('Reference Tables (Segment)'!$D$7="No",'Reference Tables (Segment)'!G10,'Reference Tables (Segment)'!K10)</f>
        <v>4.3999999999999997E-2</v>
      </c>
      <c r="J56" s="371">
        <f t="shared" si="2"/>
        <v>0.11888528848802263</v>
      </c>
      <c r="K56" s="372"/>
      <c r="L56" s="167">
        <f>IF('Reference Tables (Segment)'!$D$7="No",'Reference Tables (Segment)'!H10,'Reference Tables (Segment)'!L10)</f>
        <v>0.12</v>
      </c>
      <c r="M56" s="371">
        <f t="shared" si="3"/>
        <v>0.56133731873003423</v>
      </c>
      <c r="N56" s="400"/>
    </row>
    <row r="57" spans="1:14" x14ac:dyDescent="0.25">
      <c r="A57" s="401" t="s">
        <v>47</v>
      </c>
      <c r="B57" s="391"/>
      <c r="C57" s="167">
        <f>IF('Reference Tables (Segment)'!$D$7="No",'Reference Tables (Segment)'!E11,'Reference Tables (Segment)'!I11)</f>
        <v>0.246</v>
      </c>
      <c r="D57" s="371">
        <f t="shared" si="0"/>
        <v>2.5702434433356132</v>
      </c>
      <c r="E57" s="372"/>
      <c r="F57" s="167">
        <f>IF('Reference Tables (Segment)'!$D$7="No",'Reference Tables (Segment)'!F11,'Reference Tables (Segment)'!J11)</f>
        <v>0.30499999999999999</v>
      </c>
      <c r="G57" s="371">
        <f t="shared" si="1"/>
        <v>1.759951592200846</v>
      </c>
      <c r="H57" s="372"/>
      <c r="I57" s="167">
        <f>IF('Reference Tables (Segment)'!$D$7="No",'Reference Tables (Segment)'!G11,'Reference Tables (Segment)'!K11)</f>
        <v>0.217</v>
      </c>
      <c r="J57" s="371">
        <f t="shared" si="2"/>
        <v>0.58632062731592982</v>
      </c>
      <c r="K57" s="372"/>
      <c r="L57" s="167">
        <f>IF('Reference Tables (Segment)'!$D$7="No",'Reference Tables (Segment)'!H11,'Reference Tables (Segment)'!L11)</f>
        <v>0.22</v>
      </c>
      <c r="M57" s="371">
        <f t="shared" si="3"/>
        <v>1.0291184176717294</v>
      </c>
      <c r="N57" s="400"/>
    </row>
    <row r="58" spans="1:14" x14ac:dyDescent="0.25">
      <c r="A58" s="399" t="s">
        <v>45</v>
      </c>
      <c r="B58" s="391"/>
      <c r="C58" s="167">
        <f>IF('Reference Tables (Segment)'!$D$7="No",'Reference Tables (Segment)'!E12,'Reference Tables (Segment)'!I12)</f>
        <v>0.35599999999999998</v>
      </c>
      <c r="D58" s="371">
        <f t="shared" si="0"/>
        <v>3.719539291981619</v>
      </c>
      <c r="E58" s="372"/>
      <c r="F58" s="167">
        <f>IF('Reference Tables (Segment)'!$D$7="No",'Reference Tables (Segment)'!F12,'Reference Tables (Segment)'!J12)</f>
        <v>0.35199999999999998</v>
      </c>
      <c r="G58" s="371">
        <f t="shared" si="1"/>
        <v>2.0311572473924517</v>
      </c>
      <c r="H58" s="372"/>
      <c r="I58" s="167">
        <f>IF('Reference Tables (Segment)'!$D$7="No",'Reference Tables (Segment)'!G12,'Reference Tables (Segment)'!K12)</f>
        <v>0.34799999999999998</v>
      </c>
      <c r="J58" s="371">
        <f t="shared" si="2"/>
        <v>0.94027455440526986</v>
      </c>
      <c r="K58" s="372"/>
      <c r="L58" s="167">
        <f>IF('Reference Tables (Segment)'!$D$7="No",'Reference Tables (Segment)'!H12,'Reference Tables (Segment)'!L12)</f>
        <v>0.35799999999999998</v>
      </c>
      <c r="M58" s="371">
        <f t="shared" si="3"/>
        <v>1.6746563342112688</v>
      </c>
      <c r="N58" s="400"/>
    </row>
    <row r="59" spans="1:14" x14ac:dyDescent="0.25">
      <c r="A59" s="399" t="s">
        <v>169</v>
      </c>
      <c r="B59" s="391"/>
      <c r="C59" s="167">
        <f>IF('Reference Tables (Segment)'!$D$7="No",'Reference Tables (Segment)'!E13,'Reference Tables (Segment)'!I13)</f>
        <v>0.23799999999999999</v>
      </c>
      <c r="D59" s="371">
        <f t="shared" si="0"/>
        <v>2.4866582907068127</v>
      </c>
      <c r="E59" s="372"/>
      <c r="F59" s="167">
        <f>IF('Reference Tables (Segment)'!$D$7="No",'Reference Tables (Segment)'!F13,'Reference Tables (Segment)'!J13)</f>
        <v>0.23799999999999999</v>
      </c>
      <c r="G59" s="371">
        <f t="shared" si="1"/>
        <v>1.3733392752255782</v>
      </c>
      <c r="H59" s="372"/>
      <c r="I59" s="167">
        <f>IF('Reference Tables (Segment)'!$D$7="No",'Reference Tables (Segment)'!G13,'Reference Tables (Segment)'!K13)</f>
        <v>0.30399999999999999</v>
      </c>
      <c r="J59" s="371">
        <f t="shared" si="2"/>
        <v>0.82138926591724726</v>
      </c>
      <c r="K59" s="372"/>
      <c r="L59" s="167">
        <f>IF('Reference Tables (Segment)'!$D$7="No",'Reference Tables (Segment)'!H13,'Reference Tables (Segment)'!L13)</f>
        <v>0.23699999999999999</v>
      </c>
      <c r="M59" s="371">
        <f t="shared" si="3"/>
        <v>1.1086412044918175</v>
      </c>
      <c r="N59" s="400"/>
    </row>
    <row r="60" spans="1:14" ht="13" thickBot="1" x14ac:dyDescent="0.3">
      <c r="A60" s="417" t="s">
        <v>170</v>
      </c>
      <c r="B60" s="418"/>
      <c r="C60" s="167">
        <f>IF('Reference Tables (Segment)'!$D$7="No",'Reference Tables (Segment)'!E14,'Reference Tables (Segment)'!I14)</f>
        <v>5.2999999999999999E-2</v>
      </c>
      <c r="D60" s="371">
        <f t="shared" si="0"/>
        <v>0.55375163616580281</v>
      </c>
      <c r="E60" s="372"/>
      <c r="F60" s="167">
        <f>IF('Reference Tables (Segment)'!$D$7="No",'Reference Tables (Segment)'!F14,'Reference Tables (Segment)'!J14)</f>
        <v>2.8000000000000001E-2</v>
      </c>
      <c r="G60" s="371">
        <f t="shared" si="1"/>
        <v>0.16156932649712685</v>
      </c>
      <c r="H60" s="372"/>
      <c r="I60" s="167">
        <f>IF('Reference Tables (Segment)'!$D$7="No",'Reference Tables (Segment)'!G14,'Reference Tables (Segment)'!K14)</f>
        <v>4.3999999999999997E-2</v>
      </c>
      <c r="J60" s="371">
        <f t="shared" si="2"/>
        <v>0.11888528848802263</v>
      </c>
      <c r="K60" s="372"/>
      <c r="L60" s="167">
        <f>IF('Reference Tables (Segment)'!$D$7="No",'Reference Tables (Segment)'!H14,'Reference Tables (Segment)'!L14)</f>
        <v>6.4000000000000001E-2</v>
      </c>
      <c r="M60" s="371">
        <f t="shared" si="3"/>
        <v>0.29937990332268494</v>
      </c>
      <c r="N60" s="400"/>
    </row>
    <row r="61" spans="1:14" x14ac:dyDescent="0.25">
      <c r="A61" s="415" t="s">
        <v>154</v>
      </c>
      <c r="B61" s="416"/>
      <c r="C61" s="416"/>
      <c r="D61" s="416"/>
      <c r="E61" s="416"/>
      <c r="F61" s="416"/>
      <c r="G61" s="416"/>
      <c r="H61" s="416"/>
      <c r="I61" s="416"/>
      <c r="J61" s="416"/>
      <c r="K61" s="416"/>
      <c r="L61" s="416"/>
      <c r="M61" s="416"/>
      <c r="N61" s="416"/>
    </row>
    <row r="63" spans="1:14" ht="13" thickBot="1" x14ac:dyDescent="0.3"/>
    <row r="64" spans="1:14" ht="14" thickTop="1" thickBot="1" x14ac:dyDescent="0.3">
      <c r="A64" s="382" t="s">
        <v>843</v>
      </c>
      <c r="B64" s="382"/>
      <c r="C64" s="382"/>
      <c r="D64" s="382"/>
      <c r="E64" s="382"/>
      <c r="F64" s="382"/>
      <c r="G64" s="382"/>
    </row>
    <row r="65" spans="1:14" x14ac:dyDescent="0.25">
      <c r="A65" s="420"/>
      <c r="B65" s="421"/>
      <c r="C65" s="421"/>
      <c r="D65" s="426"/>
      <c r="E65" s="427"/>
      <c r="F65" s="426"/>
      <c r="G65" s="427"/>
    </row>
    <row r="66" spans="1:14" x14ac:dyDescent="0.25">
      <c r="A66" s="422" t="s">
        <v>36</v>
      </c>
      <c r="B66" s="395"/>
      <c r="C66" s="395"/>
      <c r="D66" s="379" t="s">
        <v>841</v>
      </c>
      <c r="E66" s="428"/>
      <c r="F66" s="379" t="s">
        <v>840</v>
      </c>
      <c r="G66" s="428"/>
    </row>
    <row r="67" spans="1:14" x14ac:dyDescent="0.25">
      <c r="A67" s="423"/>
      <c r="B67" s="395"/>
      <c r="C67" s="395"/>
      <c r="D67" s="379"/>
      <c r="E67" s="428"/>
      <c r="F67" s="379"/>
      <c r="G67" s="428"/>
    </row>
    <row r="68" spans="1:14" x14ac:dyDescent="0.25">
      <c r="A68" s="423"/>
      <c r="B68" s="395"/>
      <c r="C68" s="395"/>
      <c r="D68" s="429" t="s">
        <v>842</v>
      </c>
      <c r="E68" s="430"/>
      <c r="F68" s="429" t="s">
        <v>842</v>
      </c>
      <c r="G68" s="430"/>
    </row>
    <row r="69" spans="1:14" x14ac:dyDescent="0.25">
      <c r="A69" s="423"/>
      <c r="B69" s="395"/>
      <c r="C69" s="395"/>
      <c r="D69" s="431"/>
      <c r="E69" s="430"/>
      <c r="F69" s="431"/>
      <c r="G69" s="430"/>
    </row>
    <row r="70" spans="1:14" x14ac:dyDescent="0.25">
      <c r="A70" s="424" t="s">
        <v>39</v>
      </c>
      <c r="B70" s="425"/>
      <c r="C70" s="425"/>
      <c r="D70" s="432">
        <f>'Ped&amp;Bike (Segment Results)'!C44</f>
        <v>6.7883575499999996E-3</v>
      </c>
      <c r="E70" s="433"/>
      <c r="F70" s="432">
        <f>'Ped&amp;Bike (Segment Results)'!J44</f>
        <v>2.7732989024292103E-3</v>
      </c>
      <c r="G70" s="433"/>
    </row>
    <row r="71" spans="1:14" x14ac:dyDescent="0.25">
      <c r="A71" s="425" t="s">
        <v>262</v>
      </c>
      <c r="B71" s="425"/>
      <c r="C71" s="425"/>
      <c r="D71" s="409">
        <f>+D70</f>
        <v>6.7883575499999996E-3</v>
      </c>
      <c r="E71" s="409"/>
      <c r="F71" s="409">
        <f>+F70</f>
        <v>2.7732989024292103E-3</v>
      </c>
      <c r="G71" s="409"/>
    </row>
    <row r="72" spans="1:14" ht="15" thickBot="1" x14ac:dyDescent="0.3">
      <c r="A72" s="410" t="s">
        <v>152</v>
      </c>
      <c r="B72" s="411"/>
      <c r="C72" s="411"/>
      <c r="D72" s="413">
        <f>'Ped&amp;Bike (Segment Results)'!C45 + 'Ped&amp;Bike (Segment Results)'!C46 +'Ped&amp;Bike (Segment Results)'!C47</f>
        <v>5.2813421738999999E-3</v>
      </c>
      <c r="E72" s="414"/>
      <c r="F72" s="414">
        <f>'Ped&amp;Bike (Segment Results)'!J45 + 'Ped&amp;Bike (Segment Results)'!J46 + 'Ped&amp;Bike (Segment Results)'!J47</f>
        <v>2.1576265460899256E-3</v>
      </c>
      <c r="G72" s="414"/>
    </row>
    <row r="73" spans="1:14" x14ac:dyDescent="0.25">
      <c r="A73" s="412" t="s">
        <v>154</v>
      </c>
      <c r="B73" s="412"/>
      <c r="C73" s="412"/>
      <c r="D73" s="412"/>
      <c r="E73" s="412"/>
      <c r="F73" s="412"/>
      <c r="G73" s="412"/>
    </row>
    <row r="76" spans="1:14" ht="13.5" thickBot="1" x14ac:dyDescent="0.3">
      <c r="A76" s="34"/>
      <c r="B76" s="35"/>
      <c r="C76" s="35"/>
      <c r="D76" s="35"/>
      <c r="E76" s="35"/>
      <c r="F76" s="35"/>
      <c r="G76" s="35"/>
      <c r="H76" s="35"/>
    </row>
    <row r="77" spans="1:14" ht="14" thickTop="1" thickBot="1" x14ac:dyDescent="0.3">
      <c r="A77" s="382" t="s">
        <v>175</v>
      </c>
      <c r="B77" s="382"/>
      <c r="C77" s="382"/>
      <c r="D77" s="382"/>
      <c r="E77" s="382"/>
      <c r="F77" s="382"/>
      <c r="G77" s="382"/>
      <c r="H77" s="382"/>
      <c r="I77" s="382"/>
      <c r="J77" s="382"/>
      <c r="K77" s="382"/>
      <c r="L77" s="382"/>
      <c r="M77" s="382"/>
      <c r="N77" s="382"/>
    </row>
    <row r="78" spans="1:14" ht="28.5" customHeight="1" x14ac:dyDescent="0.25">
      <c r="A78" s="469" t="s">
        <v>19</v>
      </c>
      <c r="B78" s="467"/>
      <c r="C78" s="467"/>
      <c r="D78" s="464" t="s">
        <v>20</v>
      </c>
      <c r="E78" s="465"/>
      <c r="F78" s="465"/>
      <c r="G78" s="465"/>
      <c r="H78" s="465"/>
      <c r="I78" s="466" t="s">
        <v>21</v>
      </c>
      <c r="J78" s="467"/>
      <c r="K78" s="467"/>
      <c r="L78" s="387" t="s">
        <v>22</v>
      </c>
      <c r="M78" s="467"/>
      <c r="N78" s="468"/>
    </row>
    <row r="79" spans="1:14" ht="13" x14ac:dyDescent="0.25">
      <c r="A79" s="321" t="s">
        <v>49</v>
      </c>
      <c r="B79" s="391"/>
      <c r="C79" s="391"/>
      <c r="D79" s="463" t="s">
        <v>50</v>
      </c>
      <c r="E79" s="356"/>
      <c r="F79" s="356"/>
      <c r="G79" s="356"/>
      <c r="H79" s="356"/>
      <c r="I79" s="405" t="s">
        <v>51</v>
      </c>
      <c r="J79" s="393"/>
      <c r="K79" s="393"/>
      <c r="L79" s="393" t="s">
        <v>52</v>
      </c>
      <c r="M79" s="393"/>
      <c r="N79" s="404"/>
    </row>
    <row r="80" spans="1:14" ht="27" customHeight="1" x14ac:dyDescent="0.25">
      <c r="A80" s="347"/>
      <c r="B80" s="391"/>
      <c r="C80" s="391"/>
      <c r="D80" s="330" t="s">
        <v>844</v>
      </c>
      <c r="E80" s="431"/>
      <c r="F80" s="431"/>
      <c r="G80" s="431"/>
      <c r="H80" s="431"/>
      <c r="I80" s="309"/>
      <c r="J80" s="309"/>
      <c r="K80" s="309"/>
      <c r="L80" s="436" t="s">
        <v>176</v>
      </c>
      <c r="M80" s="309"/>
      <c r="N80" s="437"/>
    </row>
    <row r="81" spans="1:14" x14ac:dyDescent="0.25">
      <c r="A81" s="462" t="s">
        <v>39</v>
      </c>
      <c r="B81" s="461"/>
      <c r="C81" s="461"/>
      <c r="D81" s="419">
        <f>+M37 + D70 +F70</f>
        <v>10.457705735052484</v>
      </c>
      <c r="E81" s="419"/>
      <c r="F81" s="419"/>
      <c r="G81" s="419"/>
      <c r="H81" s="419"/>
      <c r="I81" s="402">
        <f>+$J$10</f>
        <v>1</v>
      </c>
      <c r="J81" s="402"/>
      <c r="K81" s="402"/>
      <c r="L81" s="402">
        <f>+D81/I81</f>
        <v>10.457705735052484</v>
      </c>
      <c r="M81" s="402"/>
      <c r="N81" s="403"/>
    </row>
    <row r="82" spans="1:14" x14ac:dyDescent="0.25">
      <c r="A82" s="462" t="s">
        <v>40</v>
      </c>
      <c r="B82" s="461"/>
      <c r="C82" s="461"/>
      <c r="D82" s="419">
        <f>+M38 +D71 +F71</f>
        <v>5.7798947456355307</v>
      </c>
      <c r="E82" s="419"/>
      <c r="F82" s="419"/>
      <c r="G82" s="419"/>
      <c r="H82" s="419"/>
      <c r="I82" s="402">
        <f>+$J$10</f>
        <v>1</v>
      </c>
      <c r="J82" s="402"/>
      <c r="K82" s="402"/>
      <c r="L82" s="402">
        <f>+D82/I82</f>
        <v>5.7798947456355307</v>
      </c>
      <c r="M82" s="402"/>
      <c r="N82" s="403"/>
    </row>
    <row r="83" spans="1:14" ht="14.5" x14ac:dyDescent="0.25">
      <c r="A83" s="401" t="s">
        <v>152</v>
      </c>
      <c r="B83" s="461"/>
      <c r="C83" s="461"/>
      <c r="D83" s="419">
        <f>+M39 + D72 + F72</f>
        <v>2.7093773434477773</v>
      </c>
      <c r="E83" s="419"/>
      <c r="F83" s="419"/>
      <c r="G83" s="419"/>
      <c r="H83" s="419"/>
      <c r="I83" s="402">
        <f>+$J$10</f>
        <v>1</v>
      </c>
      <c r="J83" s="402"/>
      <c r="K83" s="402"/>
      <c r="L83" s="402">
        <f>+D83/I83</f>
        <v>2.7093773434477773</v>
      </c>
      <c r="M83" s="402"/>
      <c r="N83" s="403"/>
    </row>
    <row r="84" spans="1:14" ht="13" thickBot="1" x14ac:dyDescent="0.3">
      <c r="A84" s="406" t="s">
        <v>41</v>
      </c>
      <c r="B84" s="407"/>
      <c r="C84" s="407"/>
      <c r="D84" s="408">
        <f>+M41</f>
        <v>4.6778109894169519</v>
      </c>
      <c r="E84" s="408"/>
      <c r="F84" s="408"/>
      <c r="G84" s="408"/>
      <c r="H84" s="408"/>
      <c r="I84" s="402">
        <f>+$J$10</f>
        <v>1</v>
      </c>
      <c r="J84" s="402"/>
      <c r="K84" s="402"/>
      <c r="L84" s="402">
        <f>+D84/I84</f>
        <v>4.6778109894169519</v>
      </c>
      <c r="M84" s="402"/>
      <c r="N84" s="403"/>
    </row>
    <row r="85" spans="1:14" x14ac:dyDescent="0.25">
      <c r="A85" s="415" t="s">
        <v>154</v>
      </c>
      <c r="B85" s="416"/>
      <c r="C85" s="416"/>
      <c r="D85" s="416"/>
      <c r="E85" s="416"/>
      <c r="F85" s="416"/>
      <c r="G85" s="416"/>
      <c r="H85" s="416"/>
      <c r="I85" s="416"/>
      <c r="J85" s="416"/>
      <c r="K85" s="416"/>
      <c r="L85" s="416"/>
      <c r="M85" s="416"/>
      <c r="N85" s="416"/>
    </row>
    <row r="86" spans="1:14" x14ac:dyDescent="0.25">
      <c r="C86" s="35"/>
      <c r="D86" s="35"/>
      <c r="E86" s="169"/>
      <c r="F86" s="169"/>
      <c r="G86" s="169"/>
      <c r="H86" s="169"/>
      <c r="I86" s="169"/>
      <c r="J86" s="169"/>
      <c r="K86" s="169"/>
      <c r="L86" s="169"/>
      <c r="M86" s="169"/>
      <c r="N86" s="169"/>
    </row>
    <row r="87" spans="1:14" x14ac:dyDescent="0.25">
      <c r="C87" s="35"/>
      <c r="D87" s="35"/>
      <c r="E87" s="169"/>
      <c r="F87" s="169"/>
      <c r="G87" s="169"/>
      <c r="H87" s="169"/>
      <c r="I87" s="169"/>
      <c r="J87" s="169"/>
      <c r="K87" s="169"/>
      <c r="L87" s="169"/>
      <c r="M87" s="169"/>
      <c r="N87" s="169"/>
    </row>
    <row r="88" spans="1:14" x14ac:dyDescent="0.25">
      <c r="C88" s="35"/>
      <c r="D88" s="35"/>
      <c r="E88" s="169"/>
      <c r="F88" s="169"/>
      <c r="G88" s="169"/>
      <c r="H88" s="169"/>
      <c r="I88" s="169"/>
      <c r="J88" s="169"/>
      <c r="K88" s="169"/>
      <c r="L88" s="169"/>
      <c r="M88" s="169"/>
      <c r="N88" s="169"/>
    </row>
    <row r="89" spans="1:14" x14ac:dyDescent="0.25">
      <c r="C89" s="35"/>
      <c r="D89" s="35"/>
      <c r="E89" s="169"/>
      <c r="F89" s="169"/>
      <c r="G89" s="169"/>
      <c r="H89" s="169"/>
      <c r="I89" s="169"/>
      <c r="J89" s="169"/>
      <c r="K89" s="169"/>
      <c r="L89" s="169"/>
      <c r="M89" s="169"/>
      <c r="N89" s="169"/>
    </row>
    <row r="90" spans="1:14" x14ac:dyDescent="0.25">
      <c r="A90" s="76"/>
      <c r="C90" s="35"/>
      <c r="D90" s="35"/>
      <c r="E90" s="169"/>
      <c r="F90" s="169"/>
      <c r="G90" s="169"/>
      <c r="H90" s="169"/>
      <c r="I90" s="169"/>
      <c r="J90" s="169"/>
      <c r="K90" s="169"/>
      <c r="L90" s="169"/>
      <c r="M90" s="169"/>
      <c r="N90" s="169"/>
    </row>
    <row r="94" spans="1:14" ht="13" x14ac:dyDescent="0.25">
      <c r="A94" s="34"/>
      <c r="B94" s="34"/>
      <c r="C94" s="34"/>
      <c r="D94" s="34"/>
      <c r="E94" s="34"/>
      <c r="F94" s="34"/>
      <c r="G94" s="34"/>
      <c r="H94" s="34"/>
      <c r="I94" s="34"/>
      <c r="J94" s="34"/>
      <c r="K94" s="34"/>
      <c r="L94" s="34"/>
      <c r="M94" s="34"/>
      <c r="N94" s="34"/>
    </row>
    <row r="95" spans="1:14" x14ac:dyDescent="0.25">
      <c r="A95" s="51"/>
      <c r="B95" s="51"/>
      <c r="C95" s="51"/>
      <c r="D95" s="51"/>
      <c r="E95" s="51"/>
      <c r="F95" s="51"/>
      <c r="G95" s="51"/>
      <c r="H95" s="51"/>
      <c r="I95" s="51"/>
      <c r="J95" s="51"/>
      <c r="K95" s="51"/>
      <c r="L95" s="51"/>
      <c r="M95" s="51"/>
      <c r="N95" s="51"/>
    </row>
    <row r="96" spans="1:14" ht="13" x14ac:dyDescent="0.25">
      <c r="A96" s="172"/>
      <c r="B96" s="172"/>
      <c r="C96" s="172"/>
      <c r="D96" s="172"/>
      <c r="E96" s="34"/>
      <c r="F96" s="34"/>
      <c r="G96" s="34"/>
      <c r="H96" s="34"/>
      <c r="I96" s="34"/>
      <c r="J96" s="34"/>
      <c r="K96" s="34"/>
      <c r="L96" s="34"/>
      <c r="M96" s="34"/>
      <c r="N96" s="34"/>
    </row>
    <row r="97" spans="1:14" ht="13" x14ac:dyDescent="0.25">
      <c r="A97" s="172"/>
      <c r="B97" s="172"/>
      <c r="C97" s="172"/>
      <c r="D97" s="172"/>
      <c r="E97" s="51"/>
      <c r="H97" s="51"/>
      <c r="I97" s="51"/>
      <c r="J97" s="51"/>
      <c r="K97" s="34"/>
      <c r="L97" s="34"/>
      <c r="M97" s="51"/>
      <c r="N97" s="51"/>
    </row>
    <row r="98" spans="1:14" x14ac:dyDescent="0.25">
      <c r="A98" s="173"/>
      <c r="B98" s="173"/>
      <c r="C98" s="173"/>
      <c r="D98" s="173"/>
      <c r="E98" s="169"/>
      <c r="F98" s="35"/>
      <c r="G98" s="35"/>
      <c r="H98" s="169"/>
      <c r="I98" s="35"/>
      <c r="J98" s="35"/>
      <c r="K98" s="35"/>
      <c r="L98" s="35"/>
      <c r="M98" s="166"/>
      <c r="N98" s="166"/>
    </row>
    <row r="99" spans="1:14" x14ac:dyDescent="0.25">
      <c r="A99" s="173"/>
      <c r="B99" s="173"/>
      <c r="C99" s="173"/>
      <c r="D99" s="173"/>
      <c r="E99" s="169"/>
      <c r="F99" s="35"/>
      <c r="G99" s="35"/>
      <c r="H99" s="169"/>
      <c r="I99" s="35"/>
      <c r="J99" s="35"/>
      <c r="K99" s="35"/>
      <c r="L99" s="35"/>
      <c r="M99" s="166"/>
      <c r="N99" s="166"/>
    </row>
    <row r="100" spans="1:14" x14ac:dyDescent="0.25">
      <c r="A100" s="173"/>
      <c r="B100" s="173"/>
      <c r="C100" s="173"/>
      <c r="D100" s="173"/>
      <c r="E100" s="169"/>
      <c r="F100" s="35"/>
      <c r="G100" s="35"/>
      <c r="H100" s="169"/>
      <c r="I100" s="35"/>
      <c r="J100" s="35"/>
      <c r="K100" s="35"/>
      <c r="L100" s="35"/>
      <c r="M100" s="166"/>
      <c r="N100" s="166"/>
    </row>
  </sheetData>
  <mergeCells count="267">
    <mergeCell ref="A2:N2"/>
    <mergeCell ref="A3:G3"/>
    <mergeCell ref="H3:N3"/>
    <mergeCell ref="A5:C5"/>
    <mergeCell ref="E5:G5"/>
    <mergeCell ref="H5:J5"/>
    <mergeCell ref="K5:N5"/>
    <mergeCell ref="A4:C4"/>
    <mergeCell ref="E4:G4"/>
    <mergeCell ref="H4:J4"/>
    <mergeCell ref="K4:N4"/>
    <mergeCell ref="A7:C7"/>
    <mergeCell ref="E7:G7"/>
    <mergeCell ref="H7:J7"/>
    <mergeCell ref="K7:N7"/>
    <mergeCell ref="A6:C6"/>
    <mergeCell ref="E6:G6"/>
    <mergeCell ref="H6:J6"/>
    <mergeCell ref="K6:N6"/>
    <mergeCell ref="H10:I10"/>
    <mergeCell ref="J11:N11"/>
    <mergeCell ref="J10:N10"/>
    <mergeCell ref="H11:I11"/>
    <mergeCell ref="A10:G10"/>
    <mergeCell ref="A11:D11"/>
    <mergeCell ref="H9:I9"/>
    <mergeCell ref="J9:N9"/>
    <mergeCell ref="A8:G8"/>
    <mergeCell ref="H8:I8"/>
    <mergeCell ref="J8:N8"/>
    <mergeCell ref="A9:G9"/>
    <mergeCell ref="A13:G13"/>
    <mergeCell ref="H13:I13"/>
    <mergeCell ref="J16:N16"/>
    <mergeCell ref="J15:N15"/>
    <mergeCell ref="J14:N14"/>
    <mergeCell ref="J13:N13"/>
    <mergeCell ref="A14:G14"/>
    <mergeCell ref="H14:I14"/>
    <mergeCell ref="A12:G12"/>
    <mergeCell ref="H12:I12"/>
    <mergeCell ref="J12:N12"/>
    <mergeCell ref="A15:G15"/>
    <mergeCell ref="H15:I15"/>
    <mergeCell ref="A16:G16"/>
    <mergeCell ref="H16:I16"/>
    <mergeCell ref="F26:G26"/>
    <mergeCell ref="H26:I26"/>
    <mergeCell ref="A26:B26"/>
    <mergeCell ref="C26:E26"/>
    <mergeCell ref="J26:L26"/>
    <mergeCell ref="I84:K84"/>
    <mergeCell ref="A83:C83"/>
    <mergeCell ref="D83:H83"/>
    <mergeCell ref="I83:K83"/>
    <mergeCell ref="L83:N83"/>
    <mergeCell ref="A82:C82"/>
    <mergeCell ref="A81:C81"/>
    <mergeCell ref="D81:H81"/>
    <mergeCell ref="I81:K81"/>
    <mergeCell ref="L81:N81"/>
    <mergeCell ref="D80:H80"/>
    <mergeCell ref="L80:N80"/>
    <mergeCell ref="A79:C80"/>
    <mergeCell ref="D79:H79"/>
    <mergeCell ref="M38:N38"/>
    <mergeCell ref="D78:H78"/>
    <mergeCell ref="I78:K78"/>
    <mergeCell ref="L78:N78"/>
    <mergeCell ref="A78:C78"/>
    <mergeCell ref="J19:N19"/>
    <mergeCell ref="A18:G18"/>
    <mergeCell ref="H18:I18"/>
    <mergeCell ref="J18:N18"/>
    <mergeCell ref="A23:B23"/>
    <mergeCell ref="C23:E23"/>
    <mergeCell ref="F23:G23"/>
    <mergeCell ref="H23:I23"/>
    <mergeCell ref="J23:L23"/>
    <mergeCell ref="B21:M21"/>
    <mergeCell ref="D40:D41"/>
    <mergeCell ref="E40:E41"/>
    <mergeCell ref="M41:N41"/>
    <mergeCell ref="M51:N52"/>
    <mergeCell ref="A53:B53"/>
    <mergeCell ref="D53:E53"/>
    <mergeCell ref="G53:H53"/>
    <mergeCell ref="J53:K53"/>
    <mergeCell ref="M53:N53"/>
    <mergeCell ref="J48:K50"/>
    <mergeCell ref="A47:B47"/>
    <mergeCell ref="D47:E47"/>
    <mergeCell ref="G47:H47"/>
    <mergeCell ref="J47:K47"/>
    <mergeCell ref="M47:N47"/>
    <mergeCell ref="A42:N42"/>
    <mergeCell ref="A46:N46"/>
    <mergeCell ref="L40:L41"/>
    <mergeCell ref="M40:N40"/>
    <mergeCell ref="A40:B41"/>
    <mergeCell ref="C40:C41"/>
    <mergeCell ref="A48:B52"/>
    <mergeCell ref="C48:C50"/>
    <mergeCell ref="D48:E50"/>
    <mergeCell ref="F48:F50"/>
    <mergeCell ref="G48:H50"/>
    <mergeCell ref="I48:I50"/>
    <mergeCell ref="L48:L50"/>
    <mergeCell ref="M48:N50"/>
    <mergeCell ref="C51:C52"/>
    <mergeCell ref="D51:E52"/>
    <mergeCell ref="F51:F52"/>
    <mergeCell ref="G51:H52"/>
    <mergeCell ref="I51:I52"/>
    <mergeCell ref="J51:K52"/>
    <mergeCell ref="L51:L52"/>
    <mergeCell ref="A54:B54"/>
    <mergeCell ref="D54:E54"/>
    <mergeCell ref="G54:H54"/>
    <mergeCell ref="J54:K54"/>
    <mergeCell ref="M54:N54"/>
    <mergeCell ref="A55:B55"/>
    <mergeCell ref="D55:E55"/>
    <mergeCell ref="G55:H55"/>
    <mergeCell ref="J55:K55"/>
    <mergeCell ref="M55:N55"/>
    <mergeCell ref="A85:N85"/>
    <mergeCell ref="A60:B60"/>
    <mergeCell ref="D60:E60"/>
    <mergeCell ref="G60:H60"/>
    <mergeCell ref="J60:K60"/>
    <mergeCell ref="M60:N60"/>
    <mergeCell ref="A61:N61"/>
    <mergeCell ref="D82:H82"/>
    <mergeCell ref="I82:K82"/>
    <mergeCell ref="L82:N82"/>
    <mergeCell ref="A77:N77"/>
    <mergeCell ref="A65:C65"/>
    <mergeCell ref="A66:C69"/>
    <mergeCell ref="A70:C70"/>
    <mergeCell ref="A71:C71"/>
    <mergeCell ref="D65:E65"/>
    <mergeCell ref="D66:E67"/>
    <mergeCell ref="D68:E69"/>
    <mergeCell ref="D70:E70"/>
    <mergeCell ref="D71:E71"/>
    <mergeCell ref="F65:G65"/>
    <mergeCell ref="F66:G67"/>
    <mergeCell ref="F68:G69"/>
    <mergeCell ref="F70:G70"/>
    <mergeCell ref="A59:B59"/>
    <mergeCell ref="D59:E59"/>
    <mergeCell ref="G59:H59"/>
    <mergeCell ref="J59:K59"/>
    <mergeCell ref="M59:N59"/>
    <mergeCell ref="L84:N84"/>
    <mergeCell ref="L79:N79"/>
    <mergeCell ref="I79:K80"/>
    <mergeCell ref="A84:C84"/>
    <mergeCell ref="D84:H84"/>
    <mergeCell ref="F71:G71"/>
    <mergeCell ref="A64:G64"/>
    <mergeCell ref="A72:C72"/>
    <mergeCell ref="A73:G73"/>
    <mergeCell ref="D72:E72"/>
    <mergeCell ref="F72:G72"/>
    <mergeCell ref="A58:B58"/>
    <mergeCell ref="D58:E58"/>
    <mergeCell ref="G58:H58"/>
    <mergeCell ref="J58:K58"/>
    <mergeCell ref="M58:N58"/>
    <mergeCell ref="A56:B56"/>
    <mergeCell ref="D56:E56"/>
    <mergeCell ref="G56:H56"/>
    <mergeCell ref="J56:K56"/>
    <mergeCell ref="M56:N56"/>
    <mergeCell ref="A57:B57"/>
    <mergeCell ref="D57:E57"/>
    <mergeCell ref="G57:H57"/>
    <mergeCell ref="J57:K57"/>
    <mergeCell ref="M57:N57"/>
    <mergeCell ref="M39:N39"/>
    <mergeCell ref="M36:N36"/>
    <mergeCell ref="M33:N33"/>
    <mergeCell ref="M34:N35"/>
    <mergeCell ref="M37:N37"/>
    <mergeCell ref="A32:N32"/>
    <mergeCell ref="A33:B33"/>
    <mergeCell ref="C33:E33"/>
    <mergeCell ref="F33:G33"/>
    <mergeCell ref="H33:I33"/>
    <mergeCell ref="J33:K33"/>
    <mergeCell ref="A34:B36"/>
    <mergeCell ref="C34:E34"/>
    <mergeCell ref="F34:G35"/>
    <mergeCell ref="H34:I35"/>
    <mergeCell ref="J34:K34"/>
    <mergeCell ref="L34:L36"/>
    <mergeCell ref="C35:E35"/>
    <mergeCell ref="J35:K36"/>
    <mergeCell ref="A37:B37"/>
    <mergeCell ref="A38:B38"/>
    <mergeCell ref="A39:B39"/>
    <mergeCell ref="H38:I38"/>
    <mergeCell ref="H39:I39"/>
    <mergeCell ref="F40:G41"/>
    <mergeCell ref="F39:G39"/>
    <mergeCell ref="H40:I41"/>
    <mergeCell ref="J40:K41"/>
    <mergeCell ref="H37:I37"/>
    <mergeCell ref="F36:G36"/>
    <mergeCell ref="H36:I36"/>
    <mergeCell ref="F37:G37"/>
    <mergeCell ref="F38:G38"/>
    <mergeCell ref="J37:K37"/>
    <mergeCell ref="J38:K38"/>
    <mergeCell ref="J39:K39"/>
    <mergeCell ref="A27:B27"/>
    <mergeCell ref="C27:E27"/>
    <mergeCell ref="F27:G27"/>
    <mergeCell ref="H27:I27"/>
    <mergeCell ref="J27:L27"/>
    <mergeCell ref="F28:G28"/>
    <mergeCell ref="C28:E28"/>
    <mergeCell ref="H28:I28"/>
    <mergeCell ref="A28:B28"/>
    <mergeCell ref="J28:L28"/>
    <mergeCell ref="R13:V14"/>
    <mergeCell ref="R15:S16"/>
    <mergeCell ref="T15:V15"/>
    <mergeCell ref="R17:S17"/>
    <mergeCell ref="R18:S18"/>
    <mergeCell ref="R19:S19"/>
    <mergeCell ref="R21:S21"/>
    <mergeCell ref="R20:S20"/>
    <mergeCell ref="M28:N28"/>
    <mergeCell ref="M26:N26"/>
    <mergeCell ref="M27:N27"/>
    <mergeCell ref="J17:N17"/>
    <mergeCell ref="A22:N22"/>
    <mergeCell ref="M23:N23"/>
    <mergeCell ref="A24:B25"/>
    <mergeCell ref="C24:E25"/>
    <mergeCell ref="F24:G25"/>
    <mergeCell ref="H24:I25"/>
    <mergeCell ref="M24:N25"/>
    <mergeCell ref="J24:L25"/>
    <mergeCell ref="A17:G17"/>
    <mergeCell ref="H17:I17"/>
    <mergeCell ref="A19:G19"/>
    <mergeCell ref="H19:I19"/>
    <mergeCell ref="R43:V46"/>
    <mergeCell ref="R41:S41"/>
    <mergeCell ref="R42:S42"/>
    <mergeCell ref="R39:S39"/>
    <mergeCell ref="R40:S40"/>
    <mergeCell ref="R37:S37"/>
    <mergeCell ref="R38:S38"/>
    <mergeCell ref="R22:S22"/>
    <mergeCell ref="R23:S23"/>
    <mergeCell ref="R24:V25"/>
    <mergeCell ref="R30:V31"/>
    <mergeCell ref="R34:S34"/>
    <mergeCell ref="R32:S33"/>
    <mergeCell ref="T32:V32"/>
    <mergeCell ref="R35:S35"/>
    <mergeCell ref="R36:S36"/>
  </mergeCells>
  <conditionalFormatting sqref="J11:N11">
    <cfRule type="cellIs" dxfId="3" priority="1" stopIfTrue="1" operator="greaterThan">
      <formula>$F$11</formula>
    </cfRule>
  </conditionalFormatting>
  <dataValidations count="10">
    <dataValidation type="list" allowBlank="1" showInputMessage="1" showErrorMessage="1" errorTitle="Invalid" sqref="J18:N18" xr:uid="{00000000-0002-0000-0100-000000000000}">
      <formula1>SpEnforce</formula1>
    </dataValidation>
    <dataValidation type="list" allowBlank="1" showInputMessage="1" showErrorMessage="1" sqref="J17:N17" xr:uid="{00000000-0002-0000-0100-000001000000}">
      <formula1>Lighting</formula1>
    </dataValidation>
    <dataValidation type="list" allowBlank="1" showInputMessage="1" showErrorMessage="1" errorTitle="Error Input" error="Select from the values provided.  Refer to p. 11-13 of the HSM for lane width rounding options." sqref="J12:N12" xr:uid="{00000000-0002-0000-0100-000002000000}">
      <formula1>LWidth</formula1>
    </dataValidation>
    <dataValidation type="list" allowBlank="1" showInputMessage="1" showErrorMessage="1" errorTitle="Input Error" error="Select from the options provided.  Refer to p. 11-13 of the HSM for rounding recommendations for shoulder widths." sqref="J13:N13" xr:uid="{00000000-0002-0000-0100-000003000000}">
      <formula1>Shld3</formula1>
    </dataValidation>
    <dataValidation type="list" allowBlank="1" showInputMessage="1" showErrorMessage="1" sqref="J14:N14" xr:uid="{00000000-0002-0000-0100-000004000000}">
      <formula1>SType</formula1>
    </dataValidation>
    <dataValidation type="decimal" operator="greaterThan" allowBlank="1" showInputMessage="1" showErrorMessage="1" sqref="J10:N10" xr:uid="{00000000-0002-0000-0100-000005000000}">
      <formula1>0</formula1>
    </dataValidation>
    <dataValidation operator="greaterThan" allowBlank="1" showInputMessage="1" showErrorMessage="1" sqref="J9:N9" xr:uid="{00000000-0002-0000-0100-000006000000}"/>
    <dataValidation type="list" allowBlank="1" showInputMessage="1" showErrorMessage="1" sqref="J16:N16" xr:uid="{00000000-0002-0000-0100-000007000000}">
      <formula1>SSlope2</formula1>
    </dataValidation>
    <dataValidation type="whole" operator="greaterThan" allowBlank="1" showInputMessage="1" showErrorMessage="1" sqref="K7:N7" xr:uid="{00000000-0002-0000-0100-000008000000}">
      <formula1>1990</formula1>
    </dataValidation>
    <dataValidation type="whole" operator="lessThanOrEqual" allowBlank="1" showInputMessage="1" showErrorMessage="1" sqref="J11:N11" xr:uid="{00000000-0002-0000-0100-000009000000}">
      <formula1>33200</formula1>
    </dataValidation>
  </dataValidations>
  <pageMargins left="0.7" right="0.7" top="0.75" bottom="0.75" header="0.3" footer="0.3"/>
  <pageSetup orientation="portrait" r:id="rId1"/>
  <ignoredErrors>
    <ignoredError sqref="A23 C23 F23 H23 J23 M23 A33 C33 F33 H33 J33 L33:M33 A47 C47:D47 F47:G47 I47:J47 L47:M47 A78 D78 I78 L78" numberStoredAsText="1"/>
    <ignoredError sqref="U19 U21 U36 U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C100"/>
  <sheetViews>
    <sheetView topLeftCell="A42" zoomScaleNormal="100" workbookViewId="0">
      <selection activeCell="B21" sqref="B21:M21"/>
    </sheetView>
  </sheetViews>
  <sheetFormatPr defaultColWidth="8.81640625" defaultRowHeight="12.5" x14ac:dyDescent="0.25"/>
  <cols>
    <col min="1" max="1" width="13.1796875" style="17" customWidth="1"/>
    <col min="2" max="2" width="14.26953125" style="17" customWidth="1"/>
    <col min="3" max="4" width="11.54296875" style="17" customWidth="1"/>
    <col min="5" max="5" width="11.1796875" style="17" customWidth="1"/>
    <col min="6" max="6" width="12.26953125" style="17" customWidth="1"/>
    <col min="7" max="7" width="12.54296875" style="17" customWidth="1"/>
    <col min="8" max="8" width="8.81640625" style="17"/>
    <col min="9" max="9" width="11" style="17" customWidth="1"/>
    <col min="10" max="10" width="8.81640625" style="17"/>
    <col min="11" max="11" width="10.54296875" style="17" customWidth="1"/>
    <col min="12" max="12" width="11.1796875" style="17" customWidth="1"/>
    <col min="13" max="13" width="12.26953125" style="17" customWidth="1"/>
    <col min="14" max="14" width="11.26953125" style="17" customWidth="1"/>
    <col min="15" max="17" width="8.81640625" style="17"/>
    <col min="18" max="18" width="11.26953125" style="17" customWidth="1"/>
    <col min="19" max="19" width="11" style="17" customWidth="1"/>
    <col min="20" max="20" width="12" style="17" customWidth="1"/>
    <col min="21" max="21" width="13.26953125" style="17" customWidth="1"/>
    <col min="22" max="22" width="10.26953125" style="17" customWidth="1"/>
    <col min="23" max="23" width="11" style="17" customWidth="1"/>
    <col min="24" max="24" width="10.7265625" style="17" customWidth="1"/>
    <col min="25" max="25" width="13.26953125" style="17" customWidth="1"/>
    <col min="26" max="26" width="10" style="17" customWidth="1"/>
    <col min="27" max="27" width="13.26953125" style="17" customWidth="1"/>
    <col min="28" max="32" width="8.81640625" style="17"/>
    <col min="33" max="33" width="10.7265625" style="17" customWidth="1"/>
    <col min="34" max="36" width="8.81640625" style="17"/>
    <col min="37" max="37" width="10.1796875" style="17" customWidth="1"/>
    <col min="38" max="16384" width="8.81640625" style="17"/>
  </cols>
  <sheetData>
    <row r="1" spans="1:55" ht="13.15" customHeight="1" thickBot="1" x14ac:dyDescent="0.3"/>
    <row r="2" spans="1:55" ht="13.15" customHeight="1" thickTop="1" thickBot="1" x14ac:dyDescent="0.3">
      <c r="A2" s="382" t="s">
        <v>112</v>
      </c>
      <c r="B2" s="383"/>
      <c r="C2" s="383"/>
      <c r="D2" s="383"/>
      <c r="E2" s="384"/>
      <c r="F2" s="384"/>
      <c r="G2" s="384"/>
      <c r="H2" s="384"/>
      <c r="I2" s="384"/>
      <c r="J2" s="384"/>
      <c r="K2" s="384"/>
      <c r="L2" s="384"/>
      <c r="M2" s="384"/>
      <c r="N2" s="384"/>
      <c r="AQ2" s="34"/>
      <c r="AR2" s="34"/>
      <c r="AS2" s="34"/>
      <c r="AT2" s="34"/>
      <c r="AY2" s="34"/>
      <c r="AZ2" s="34"/>
      <c r="BA2" s="34"/>
      <c r="BB2" s="34"/>
      <c r="BC2" s="34"/>
    </row>
    <row r="3" spans="1:55" ht="13.15" customHeight="1" x14ac:dyDescent="0.25">
      <c r="A3" s="490" t="s">
        <v>0</v>
      </c>
      <c r="B3" s="307"/>
      <c r="C3" s="307"/>
      <c r="D3" s="307"/>
      <c r="E3" s="307"/>
      <c r="F3" s="307"/>
      <c r="G3" s="483"/>
      <c r="H3" s="491" t="s">
        <v>11</v>
      </c>
      <c r="I3" s="492"/>
      <c r="J3" s="492"/>
      <c r="K3" s="492"/>
      <c r="L3" s="492"/>
      <c r="M3" s="492"/>
      <c r="N3" s="492"/>
      <c r="R3" s="154" t="s">
        <v>318</v>
      </c>
      <c r="AQ3" s="34"/>
      <c r="AR3" s="34"/>
      <c r="AS3" s="34"/>
      <c r="AT3" s="34"/>
      <c r="AY3" s="34"/>
      <c r="AZ3" s="34"/>
      <c r="BA3" s="34"/>
      <c r="BB3" s="34"/>
      <c r="BC3" s="34"/>
    </row>
    <row r="4" spans="1:55" ht="13.15" customHeight="1" x14ac:dyDescent="0.25">
      <c r="A4" s="479" t="s">
        <v>1</v>
      </c>
      <c r="B4" s="479"/>
      <c r="C4" s="479"/>
      <c r="D4" s="145"/>
      <c r="E4" s="493" t="s">
        <v>371</v>
      </c>
      <c r="F4" s="474"/>
      <c r="G4" s="494"/>
      <c r="H4" s="495" t="s">
        <v>12</v>
      </c>
      <c r="I4" s="479"/>
      <c r="J4" s="478"/>
      <c r="K4" s="493" t="s">
        <v>374</v>
      </c>
      <c r="L4" s="474"/>
      <c r="M4" s="474"/>
      <c r="N4" s="474"/>
      <c r="AQ4" s="34"/>
      <c r="AR4" s="34"/>
      <c r="AS4" s="34"/>
      <c r="AT4" s="34"/>
      <c r="AY4" s="156"/>
      <c r="AZ4" s="156"/>
      <c r="BA4" s="34"/>
      <c r="BB4" s="34"/>
      <c r="BC4" s="34"/>
    </row>
    <row r="5" spans="1:55" ht="13.15" customHeight="1" thickBot="1" x14ac:dyDescent="0.3">
      <c r="A5" s="307" t="s">
        <v>2</v>
      </c>
      <c r="B5" s="307"/>
      <c r="C5" s="307"/>
      <c r="D5" s="146"/>
      <c r="E5" s="489" t="s">
        <v>372</v>
      </c>
      <c r="F5" s="487"/>
      <c r="G5" s="488"/>
      <c r="H5" s="482" t="s">
        <v>13</v>
      </c>
      <c r="I5" s="307"/>
      <c r="J5" s="483"/>
      <c r="K5" s="489" t="s">
        <v>375</v>
      </c>
      <c r="L5" s="487"/>
      <c r="M5" s="487"/>
      <c r="N5" s="487"/>
      <c r="AQ5" s="34"/>
      <c r="AR5" s="34"/>
      <c r="AS5" s="34"/>
      <c r="AT5" s="34"/>
      <c r="AU5" s="34"/>
      <c r="AV5" s="34"/>
      <c r="AY5" s="156"/>
      <c r="AZ5" s="156"/>
      <c r="BA5" s="34"/>
      <c r="BB5" s="34"/>
      <c r="BC5" s="34"/>
    </row>
    <row r="6" spans="1:55" ht="13.15" customHeight="1" x14ac:dyDescent="0.25">
      <c r="A6" s="307" t="s">
        <v>3</v>
      </c>
      <c r="B6" s="307"/>
      <c r="C6" s="307"/>
      <c r="D6" s="146"/>
      <c r="E6" s="486" t="s">
        <v>373</v>
      </c>
      <c r="F6" s="487"/>
      <c r="G6" s="488"/>
      <c r="H6" s="482" t="s">
        <v>14</v>
      </c>
      <c r="I6" s="307"/>
      <c r="J6" s="483"/>
      <c r="K6" s="489" t="s">
        <v>376</v>
      </c>
      <c r="L6" s="487"/>
      <c r="M6" s="487"/>
      <c r="N6" s="487"/>
      <c r="R6" s="316" t="s">
        <v>317</v>
      </c>
      <c r="S6" s="316"/>
      <c r="T6" s="316"/>
      <c r="U6" s="316"/>
      <c r="V6" s="316"/>
      <c r="AQ6" s="158"/>
      <c r="AR6" s="158"/>
      <c r="AS6" s="158"/>
      <c r="AT6" s="158"/>
      <c r="AU6" s="158"/>
      <c r="AV6" s="158"/>
      <c r="AY6" s="157"/>
      <c r="AZ6" s="35"/>
      <c r="BA6" s="158"/>
      <c r="BB6" s="158"/>
      <c r="BC6" s="158"/>
    </row>
    <row r="7" spans="1:55" ht="13.15" customHeight="1" thickBot="1" x14ac:dyDescent="0.3">
      <c r="A7" s="481"/>
      <c r="B7" s="481"/>
      <c r="C7" s="481"/>
      <c r="D7" s="147"/>
      <c r="E7" s="482"/>
      <c r="F7" s="307"/>
      <c r="G7" s="483"/>
      <c r="H7" s="482" t="s">
        <v>15</v>
      </c>
      <c r="I7" s="307"/>
      <c r="J7" s="483"/>
      <c r="K7" s="484">
        <v>2019</v>
      </c>
      <c r="L7" s="485"/>
      <c r="M7" s="485"/>
      <c r="N7" s="485"/>
      <c r="R7" s="317"/>
      <c r="S7" s="317"/>
      <c r="T7" s="317"/>
      <c r="U7" s="317"/>
      <c r="V7" s="317"/>
      <c r="AQ7" s="158"/>
      <c r="AR7" s="158"/>
      <c r="AS7" s="158"/>
      <c r="AT7" s="158"/>
      <c r="AU7" s="158"/>
      <c r="AV7" s="158"/>
      <c r="AY7" s="35"/>
      <c r="AZ7" s="35"/>
      <c r="BA7" s="158"/>
      <c r="BB7" s="158"/>
      <c r="BC7" s="158"/>
    </row>
    <row r="8" spans="1:55" ht="13.15" customHeight="1" x14ac:dyDescent="0.25">
      <c r="A8" s="480" t="s">
        <v>4</v>
      </c>
      <c r="B8" s="346"/>
      <c r="C8" s="346"/>
      <c r="D8" s="346"/>
      <c r="E8" s="346"/>
      <c r="F8" s="346"/>
      <c r="G8" s="347"/>
      <c r="H8" s="404" t="s">
        <v>16</v>
      </c>
      <c r="I8" s="347"/>
      <c r="J8" s="404" t="s">
        <v>18</v>
      </c>
      <c r="K8" s="346"/>
      <c r="L8" s="346"/>
      <c r="M8" s="346"/>
      <c r="N8" s="346"/>
      <c r="R8" s="319" t="s">
        <v>53</v>
      </c>
      <c r="S8" s="320"/>
      <c r="T8" s="323" t="s">
        <v>6</v>
      </c>
      <c r="U8" s="323"/>
      <c r="V8" s="324"/>
      <c r="AQ8" s="158"/>
      <c r="AR8" s="158"/>
      <c r="AS8" s="158"/>
      <c r="AT8" s="158"/>
      <c r="AU8" s="158"/>
      <c r="AV8" s="158"/>
      <c r="AY8" s="157"/>
      <c r="AZ8" s="35"/>
      <c r="BA8" s="158"/>
      <c r="BB8" s="158"/>
      <c r="BC8" s="158"/>
    </row>
    <row r="9" spans="1:55" ht="13.15" customHeight="1" x14ac:dyDescent="0.25">
      <c r="A9" s="345" t="s">
        <v>119</v>
      </c>
      <c r="B9" s="346"/>
      <c r="C9" s="346"/>
      <c r="D9" s="346"/>
      <c r="E9" s="346"/>
      <c r="F9" s="346"/>
      <c r="G9" s="347"/>
      <c r="H9" s="477" t="s">
        <v>179</v>
      </c>
      <c r="I9" s="478"/>
      <c r="J9" s="500" t="s">
        <v>178</v>
      </c>
      <c r="K9" s="479"/>
      <c r="L9" s="479"/>
      <c r="M9" s="479"/>
      <c r="N9" s="479"/>
      <c r="R9" s="321"/>
      <c r="S9" s="322"/>
      <c r="T9" s="159" t="s">
        <v>59</v>
      </c>
      <c r="U9" s="159" t="s">
        <v>60</v>
      </c>
      <c r="V9" s="160" t="s">
        <v>61</v>
      </c>
      <c r="AQ9" s="158"/>
      <c r="AR9" s="158"/>
      <c r="AS9" s="158"/>
      <c r="AT9" s="158"/>
      <c r="AU9" s="158"/>
      <c r="AV9" s="158"/>
      <c r="AY9" s="35"/>
      <c r="AZ9" s="35"/>
      <c r="BA9" s="158"/>
      <c r="BB9" s="158"/>
      <c r="BC9" s="158"/>
    </row>
    <row r="10" spans="1:55" ht="13.15" customHeight="1" thickBot="1" x14ac:dyDescent="0.3">
      <c r="A10" s="346" t="s">
        <v>5</v>
      </c>
      <c r="B10" s="346"/>
      <c r="C10" s="346"/>
      <c r="D10" s="346"/>
      <c r="E10" s="346"/>
      <c r="F10" s="346"/>
      <c r="G10" s="347"/>
      <c r="H10" s="475" t="s">
        <v>17</v>
      </c>
      <c r="I10" s="347"/>
      <c r="J10" s="473">
        <v>1</v>
      </c>
      <c r="K10" s="474"/>
      <c r="L10" s="474"/>
      <c r="M10" s="474"/>
      <c r="N10" s="474"/>
      <c r="R10" s="318">
        <v>9</v>
      </c>
      <c r="S10" s="308"/>
      <c r="T10" s="155">
        <v>1.03</v>
      </c>
      <c r="U10" s="155">
        <f>1.03+0.000138*(Segment_Divided_1!$J$11-400)</f>
        <v>4.7008000000000001</v>
      </c>
      <c r="V10" s="161">
        <v>1.25</v>
      </c>
      <c r="AY10" s="157"/>
      <c r="AZ10" s="35"/>
      <c r="BA10" s="158"/>
      <c r="BB10" s="158"/>
      <c r="BC10" s="158"/>
    </row>
    <row r="11" spans="1:55" ht="13.15" customHeight="1" thickBot="1" x14ac:dyDescent="0.3">
      <c r="A11" s="346" t="s">
        <v>6</v>
      </c>
      <c r="B11" s="346"/>
      <c r="C11" s="346"/>
      <c r="D11" s="476"/>
      <c r="E11" s="148" t="s">
        <v>334</v>
      </c>
      <c r="F11" s="149">
        <v>89300</v>
      </c>
      <c r="G11" s="150" t="s">
        <v>335</v>
      </c>
      <c r="H11" s="475" t="s">
        <v>17</v>
      </c>
      <c r="I11" s="347"/>
      <c r="J11" s="471">
        <v>27000</v>
      </c>
      <c r="K11" s="472"/>
      <c r="L11" s="472"/>
      <c r="M11" s="472"/>
      <c r="N11" s="472"/>
      <c r="O11" s="151" t="str">
        <f>IF(J11&gt;F11,"AADT out of range","AADT OK")</f>
        <v>AADT OK</v>
      </c>
      <c r="R11" s="308">
        <v>9.5</v>
      </c>
      <c r="S11" s="309"/>
      <c r="T11" s="155">
        <f>+(T10+T12)/2</f>
        <v>1.02</v>
      </c>
      <c r="U11" s="155">
        <f>+(U10+U12)/2</f>
        <v>4.0191499999999998</v>
      </c>
      <c r="V11" s="161">
        <f>+(V10+V12)/2</f>
        <v>1.2</v>
      </c>
      <c r="AY11" s="35"/>
      <c r="AZ11" s="35"/>
      <c r="BA11" s="158"/>
      <c r="BB11" s="158"/>
      <c r="BC11" s="158"/>
    </row>
    <row r="12" spans="1:55" ht="13.15" customHeight="1" x14ac:dyDescent="0.25">
      <c r="A12" s="346" t="s">
        <v>7</v>
      </c>
      <c r="B12" s="346"/>
      <c r="C12" s="346"/>
      <c r="D12" s="346"/>
      <c r="E12" s="346"/>
      <c r="F12" s="346"/>
      <c r="G12" s="347"/>
      <c r="H12" s="437">
        <v>12</v>
      </c>
      <c r="I12" s="347"/>
      <c r="J12" s="331">
        <v>12</v>
      </c>
      <c r="K12" s="332"/>
      <c r="L12" s="332"/>
      <c r="M12" s="332"/>
      <c r="N12" s="332"/>
      <c r="R12" s="318">
        <v>10</v>
      </c>
      <c r="S12" s="308"/>
      <c r="T12" s="155">
        <v>1.01</v>
      </c>
      <c r="U12" s="155">
        <f>1.01+0.0000875*(Segment_Divided_1!$J$11-400)</f>
        <v>3.3375000000000004</v>
      </c>
      <c r="V12" s="161">
        <v>1.1499999999999999</v>
      </c>
      <c r="AY12" s="157"/>
      <c r="AZ12" s="35"/>
      <c r="BA12" s="158"/>
      <c r="BB12" s="158"/>
      <c r="BC12" s="158"/>
    </row>
    <row r="13" spans="1:55" ht="13.15" customHeight="1" x14ac:dyDescent="0.25">
      <c r="A13" s="345" t="s">
        <v>294</v>
      </c>
      <c r="B13" s="346"/>
      <c r="C13" s="346"/>
      <c r="D13" s="346"/>
      <c r="E13" s="346"/>
      <c r="F13" s="346"/>
      <c r="G13" s="347"/>
      <c r="H13" s="348">
        <v>8</v>
      </c>
      <c r="I13" s="347"/>
      <c r="J13" s="331">
        <v>8</v>
      </c>
      <c r="K13" s="332"/>
      <c r="L13" s="332"/>
      <c r="M13" s="332"/>
      <c r="N13" s="332"/>
      <c r="R13" s="325">
        <v>10.5</v>
      </c>
      <c r="S13" s="325"/>
      <c r="T13" s="155">
        <f>+(T12+T14)/2</f>
        <v>1.01</v>
      </c>
      <c r="U13" s="155">
        <f>+(U12+U14)/2</f>
        <v>2.3400000000000003</v>
      </c>
      <c r="V13" s="161">
        <f>+(V12+V14)/2</f>
        <v>1.0899999999999999</v>
      </c>
      <c r="AY13" s="75"/>
    </row>
    <row r="14" spans="1:55" ht="13.15" customHeight="1" x14ac:dyDescent="0.25">
      <c r="A14" s="345" t="s">
        <v>117</v>
      </c>
      <c r="B14" s="346"/>
      <c r="C14" s="346"/>
      <c r="D14" s="346"/>
      <c r="E14" s="346"/>
      <c r="F14" s="346"/>
      <c r="G14" s="347"/>
      <c r="H14" s="470" t="s">
        <v>67</v>
      </c>
      <c r="I14" s="347"/>
      <c r="J14" s="331" t="s">
        <v>67</v>
      </c>
      <c r="K14" s="332"/>
      <c r="L14" s="332"/>
      <c r="M14" s="332"/>
      <c r="N14" s="332"/>
      <c r="R14" s="318">
        <v>11</v>
      </c>
      <c r="S14" s="308"/>
      <c r="T14" s="155">
        <v>1.01</v>
      </c>
      <c r="U14" s="155">
        <f>1.01+0.0000125*(Segment_Divided_1!$J$11-400)</f>
        <v>1.3425</v>
      </c>
      <c r="V14" s="161">
        <v>1.03</v>
      </c>
    </row>
    <row r="15" spans="1:55" ht="13.15" customHeight="1" x14ac:dyDescent="0.25">
      <c r="A15" s="345" t="s">
        <v>116</v>
      </c>
      <c r="B15" s="346"/>
      <c r="C15" s="346"/>
      <c r="D15" s="346"/>
      <c r="E15" s="346"/>
      <c r="F15" s="346"/>
      <c r="G15" s="347"/>
      <c r="H15" s="348">
        <v>30</v>
      </c>
      <c r="I15" s="347"/>
      <c r="J15" s="499">
        <v>30</v>
      </c>
      <c r="K15" s="332"/>
      <c r="L15" s="332"/>
      <c r="M15" s="332"/>
      <c r="N15" s="332"/>
      <c r="R15" s="313">
        <v>11.5</v>
      </c>
      <c r="S15" s="313"/>
      <c r="T15" s="155">
        <f>+(T14+T16)/2</f>
        <v>1.0049999999999999</v>
      </c>
      <c r="U15" s="155">
        <f>+(U14+U16)/2</f>
        <v>1.1712500000000001</v>
      </c>
      <c r="V15" s="161">
        <f>+(V14+V16)/2</f>
        <v>1.0150000000000001</v>
      </c>
    </row>
    <row r="16" spans="1:55" ht="13.15" customHeight="1" thickBot="1" x14ac:dyDescent="0.3">
      <c r="A16" s="345" t="s">
        <v>114</v>
      </c>
      <c r="B16" s="346"/>
      <c r="C16" s="346"/>
      <c r="D16" s="346"/>
      <c r="E16" s="346"/>
      <c r="F16" s="346"/>
      <c r="G16" s="347"/>
      <c r="H16" s="470" t="s">
        <v>115</v>
      </c>
      <c r="I16" s="347"/>
      <c r="J16" s="470" t="s">
        <v>202</v>
      </c>
      <c r="K16" s="346"/>
      <c r="L16" s="346"/>
      <c r="M16" s="346"/>
      <c r="N16" s="346"/>
      <c r="R16" s="310">
        <v>12</v>
      </c>
      <c r="S16" s="311"/>
      <c r="T16" s="162">
        <v>1</v>
      </c>
      <c r="U16" s="162">
        <v>1</v>
      </c>
      <c r="V16" s="163">
        <v>1</v>
      </c>
    </row>
    <row r="17" spans="1:22" ht="13.15" customHeight="1" x14ac:dyDescent="0.25">
      <c r="A17" s="345" t="s">
        <v>113</v>
      </c>
      <c r="B17" s="346"/>
      <c r="C17" s="346"/>
      <c r="D17" s="346"/>
      <c r="E17" s="346"/>
      <c r="F17" s="346"/>
      <c r="G17" s="347"/>
      <c r="H17" s="348" t="s">
        <v>72</v>
      </c>
      <c r="I17" s="347"/>
      <c r="J17" s="331" t="s">
        <v>72</v>
      </c>
      <c r="K17" s="332"/>
      <c r="L17" s="332"/>
      <c r="M17" s="332"/>
      <c r="N17" s="332"/>
      <c r="R17" s="314" t="s">
        <v>282</v>
      </c>
      <c r="S17" s="315"/>
      <c r="T17" s="315"/>
      <c r="U17" s="315"/>
      <c r="V17" s="315"/>
    </row>
    <row r="18" spans="1:22" ht="13.15" customHeight="1" x14ac:dyDescent="0.25">
      <c r="A18" s="346" t="s">
        <v>9</v>
      </c>
      <c r="B18" s="346"/>
      <c r="C18" s="346"/>
      <c r="D18" s="346"/>
      <c r="E18" s="346"/>
      <c r="F18" s="346"/>
      <c r="G18" s="347"/>
      <c r="H18" s="348" t="s">
        <v>72</v>
      </c>
      <c r="I18" s="347"/>
      <c r="J18" s="331" t="s">
        <v>72</v>
      </c>
      <c r="K18" s="332"/>
      <c r="L18" s="332"/>
      <c r="M18" s="332"/>
      <c r="N18" s="332"/>
      <c r="R18" s="306"/>
      <c r="S18" s="306"/>
      <c r="T18" s="306"/>
      <c r="U18" s="306"/>
      <c r="V18" s="306"/>
    </row>
    <row r="19" spans="1:22" ht="13.15" customHeight="1" thickBot="1" x14ac:dyDescent="0.3">
      <c r="A19" s="349" t="s">
        <v>10</v>
      </c>
      <c r="B19" s="349"/>
      <c r="C19" s="349"/>
      <c r="D19" s="349"/>
      <c r="E19" s="349"/>
      <c r="F19" s="349"/>
      <c r="G19" s="350"/>
      <c r="H19" s="351">
        <v>1</v>
      </c>
      <c r="I19" s="352"/>
      <c r="J19" s="456">
        <v>1</v>
      </c>
      <c r="K19" s="457"/>
      <c r="L19" s="457"/>
      <c r="M19" s="457"/>
      <c r="N19" s="457"/>
      <c r="R19" s="306"/>
      <c r="S19" s="306"/>
      <c r="T19" s="306"/>
      <c r="U19" s="306"/>
      <c r="V19" s="306"/>
    </row>
    <row r="20" spans="1:22" ht="13.15" customHeight="1" thickTop="1" x14ac:dyDescent="0.25">
      <c r="J20" s="152"/>
      <c r="K20" s="153"/>
      <c r="L20" s="153"/>
      <c r="M20" s="153"/>
      <c r="N20" s="153"/>
    </row>
    <row r="21" spans="1:22" ht="40.5" customHeight="1" thickBot="1" x14ac:dyDescent="0.3">
      <c r="B21" s="498" t="s">
        <v>893</v>
      </c>
      <c r="C21" s="498"/>
      <c r="D21" s="498"/>
      <c r="E21" s="498"/>
      <c r="F21" s="498"/>
      <c r="G21" s="498"/>
      <c r="H21" s="498"/>
      <c r="I21" s="498"/>
      <c r="J21" s="498"/>
      <c r="K21" s="498"/>
      <c r="L21" s="498"/>
      <c r="M21" s="498"/>
    </row>
    <row r="22" spans="1:22" ht="14" thickTop="1" thickBot="1" x14ac:dyDescent="0.3">
      <c r="A22" s="333" t="s">
        <v>120</v>
      </c>
      <c r="B22" s="334"/>
      <c r="C22" s="334"/>
      <c r="D22" s="334"/>
      <c r="E22" s="334"/>
      <c r="F22" s="334"/>
      <c r="G22" s="334"/>
      <c r="H22" s="334"/>
      <c r="I22" s="334"/>
      <c r="J22" s="334"/>
      <c r="K22" s="334"/>
      <c r="L22" s="334"/>
      <c r="M22" s="334"/>
      <c r="N22" s="334"/>
    </row>
    <row r="23" spans="1:22" x14ac:dyDescent="0.25">
      <c r="A23" s="458" t="s">
        <v>19</v>
      </c>
      <c r="B23" s="388"/>
      <c r="C23" s="335" t="s">
        <v>20</v>
      </c>
      <c r="D23" s="335"/>
      <c r="E23" s="388"/>
      <c r="F23" s="335" t="s">
        <v>21</v>
      </c>
      <c r="G23" s="388"/>
      <c r="H23" s="335" t="s">
        <v>22</v>
      </c>
      <c r="I23" s="388"/>
      <c r="J23" s="335" t="s">
        <v>23</v>
      </c>
      <c r="K23" s="388"/>
      <c r="L23" s="388"/>
      <c r="M23" s="335" t="s">
        <v>24</v>
      </c>
      <c r="N23" s="336"/>
    </row>
    <row r="24" spans="1:22" x14ac:dyDescent="0.25">
      <c r="A24" s="337" t="s">
        <v>32</v>
      </c>
      <c r="B24" s="338"/>
      <c r="C24" s="341" t="s">
        <v>121</v>
      </c>
      <c r="D24" s="341"/>
      <c r="E24" s="338"/>
      <c r="F24" s="341" t="s">
        <v>122</v>
      </c>
      <c r="G24" s="338"/>
      <c r="H24" s="342" t="s">
        <v>33</v>
      </c>
      <c r="I24" s="338"/>
      <c r="J24" s="342" t="s">
        <v>34</v>
      </c>
      <c r="K24" s="338"/>
      <c r="L24" s="338"/>
      <c r="M24" s="341" t="s">
        <v>107</v>
      </c>
      <c r="N24" s="343"/>
    </row>
    <row r="25" spans="1:22" x14ac:dyDescent="0.25">
      <c r="A25" s="339"/>
      <c r="B25" s="340"/>
      <c r="C25" s="340"/>
      <c r="D25" s="340"/>
      <c r="E25" s="340"/>
      <c r="F25" s="340"/>
      <c r="G25" s="340"/>
      <c r="H25" s="340"/>
      <c r="I25" s="340"/>
      <c r="J25" s="340"/>
      <c r="K25" s="340"/>
      <c r="L25" s="340"/>
      <c r="M25" s="340"/>
      <c r="N25" s="344"/>
    </row>
    <row r="26" spans="1:22" ht="13" x14ac:dyDescent="0.25">
      <c r="A26" s="460" t="s">
        <v>123</v>
      </c>
      <c r="B26" s="356"/>
      <c r="C26" s="328" t="s">
        <v>124</v>
      </c>
      <c r="D26" s="328"/>
      <c r="E26" s="356"/>
      <c r="F26" s="328" t="s">
        <v>125</v>
      </c>
      <c r="G26" s="356"/>
      <c r="H26" s="328" t="s">
        <v>126</v>
      </c>
      <c r="I26" s="356"/>
      <c r="J26" s="328" t="s">
        <v>127</v>
      </c>
      <c r="K26" s="356"/>
      <c r="L26" s="356"/>
      <c r="M26" s="328" t="s">
        <v>35</v>
      </c>
      <c r="N26" s="329"/>
    </row>
    <row r="27" spans="1:22" x14ac:dyDescent="0.25">
      <c r="A27" s="353" t="s">
        <v>128</v>
      </c>
      <c r="B27" s="354"/>
      <c r="C27" s="355" t="s">
        <v>320</v>
      </c>
      <c r="D27" s="355"/>
      <c r="E27" s="354"/>
      <c r="F27" s="355" t="s">
        <v>322</v>
      </c>
      <c r="G27" s="356"/>
      <c r="H27" s="355" t="s">
        <v>129</v>
      </c>
      <c r="I27" s="354"/>
      <c r="J27" s="355" t="s">
        <v>130</v>
      </c>
      <c r="K27" s="356"/>
      <c r="L27" s="356"/>
      <c r="M27" s="330" t="s">
        <v>131</v>
      </c>
      <c r="N27" s="329"/>
    </row>
    <row r="28" spans="1:22" ht="13" thickBot="1" x14ac:dyDescent="0.3">
      <c r="A28" s="360">
        <f>((IF($J$11&gt;2000,(VLOOKUP($J$12,Segment_Divided_1!$R$10:$V$16,5,FALSE)),IF($J$11&lt;400,(VLOOKUP($J$12,Segment_Divided_1!$R$10:$V$16,3,FALSE)),(VLOOKUP($J$12,Segment_Divided_1!$R$10:$V$16,4)))))-1)*(IF('Reference Tables (Segment)'!D24="No",'Reference Tables (Segment)'!E32,'Reference Tables (Segment)'!I32))+1</f>
        <v>1</v>
      </c>
      <c r="B28" s="359"/>
      <c r="C28" s="326">
        <f>IF(J14="Paved",VLOOKUP(J13,'Reference Tables (Segment)'!AC10:AG20,3,FALSE),1)</f>
        <v>1</v>
      </c>
      <c r="D28" s="358"/>
      <c r="E28" s="359"/>
      <c r="F28" s="326">
        <f>VLOOKUP(J15,'Reference Tables (Segment)'!AC29:AF38,3,FALSE)</f>
        <v>1</v>
      </c>
      <c r="G28" s="357"/>
      <c r="H28" s="326">
        <f>IF($J$17="Present",(1-(IF('Reference Tables (Segment)'!$D$53="No",((1-(0.72*'Reference Tables (Segment)'!$E$57)-(0.83*'Reference Tables (Segment)'!$F$57))*'Reference Tables (Segment)'!$G$57),((1-(0.72*'Reference Tables (Segment)'!$I$57)-(0.83*'Reference Tables (Segment)'!$J$57))*'Reference Tables (Segment)'!$K$57)))),1)</f>
        <v>1</v>
      </c>
      <c r="I28" s="357"/>
      <c r="J28" s="326">
        <f>IF($J$18="Present",0.94,1)</f>
        <v>1</v>
      </c>
      <c r="K28" s="360"/>
      <c r="L28" s="357"/>
      <c r="M28" s="326">
        <f>$A$28*$C$28*$F$28*$H$28*$J$28</f>
        <v>1</v>
      </c>
      <c r="N28" s="327"/>
    </row>
    <row r="31" spans="1:22" ht="13" thickBot="1" x14ac:dyDescent="0.3"/>
    <row r="32" spans="1:22" ht="14" thickTop="1" thickBot="1" x14ac:dyDescent="0.3">
      <c r="A32" s="382" t="s">
        <v>848</v>
      </c>
      <c r="B32" s="383"/>
      <c r="C32" s="383"/>
      <c r="D32" s="383"/>
      <c r="E32" s="383"/>
      <c r="F32" s="383"/>
      <c r="G32" s="383"/>
      <c r="H32" s="383"/>
      <c r="I32" s="383"/>
      <c r="J32" s="384"/>
      <c r="K32" s="384"/>
      <c r="L32" s="384"/>
      <c r="M32" s="384"/>
      <c r="N32" s="384"/>
    </row>
    <row r="33" spans="1:42" x14ac:dyDescent="0.25">
      <c r="A33" s="385" t="s">
        <v>19</v>
      </c>
      <c r="B33" s="386"/>
      <c r="C33" s="387" t="s">
        <v>20</v>
      </c>
      <c r="D33" s="387"/>
      <c r="E33" s="386"/>
      <c r="F33" s="335" t="s">
        <v>21</v>
      </c>
      <c r="G33" s="388"/>
      <c r="H33" s="389" t="s">
        <v>22</v>
      </c>
      <c r="I33" s="386"/>
      <c r="J33" s="389" t="s">
        <v>23</v>
      </c>
      <c r="K33" s="386"/>
      <c r="L33" s="164" t="s">
        <v>24</v>
      </c>
      <c r="M33" s="335" t="s">
        <v>25</v>
      </c>
      <c r="N33" s="336"/>
    </row>
    <row r="34" spans="1:42" ht="13" x14ac:dyDescent="0.25">
      <c r="A34" s="390" t="s">
        <v>36</v>
      </c>
      <c r="B34" s="391"/>
      <c r="C34" s="392" t="s">
        <v>144</v>
      </c>
      <c r="D34" s="393"/>
      <c r="E34" s="393"/>
      <c r="F34" s="379" t="s">
        <v>280</v>
      </c>
      <c r="G34" s="354"/>
      <c r="H34" s="394" t="s">
        <v>37</v>
      </c>
      <c r="I34" s="395"/>
      <c r="J34" s="394" t="s">
        <v>38</v>
      </c>
      <c r="K34" s="396"/>
      <c r="L34" s="394" t="s">
        <v>10</v>
      </c>
      <c r="M34" s="379" t="s">
        <v>298</v>
      </c>
      <c r="N34" s="380"/>
    </row>
    <row r="35" spans="1:42" x14ac:dyDescent="0.25">
      <c r="A35" s="347"/>
      <c r="B35" s="391"/>
      <c r="C35" s="373" t="s">
        <v>324</v>
      </c>
      <c r="D35" s="309"/>
      <c r="E35" s="309"/>
      <c r="F35" s="356"/>
      <c r="G35" s="356"/>
      <c r="H35" s="395"/>
      <c r="I35" s="395"/>
      <c r="J35" s="397" t="s">
        <v>150</v>
      </c>
      <c r="K35" s="396"/>
      <c r="L35" s="309"/>
      <c r="M35" s="381"/>
      <c r="N35" s="380"/>
      <c r="Q35" s="165"/>
      <c r="T35" s="35"/>
      <c r="U35" s="35"/>
      <c r="V35" s="157"/>
      <c r="W35" s="35"/>
      <c r="X35" s="166"/>
      <c r="Y35" s="166"/>
      <c r="Z35" s="174"/>
      <c r="AA35" s="166"/>
    </row>
    <row r="36" spans="1:42" ht="13" x14ac:dyDescent="0.25">
      <c r="A36" s="347"/>
      <c r="B36" s="391"/>
      <c r="C36" s="144" t="s">
        <v>145</v>
      </c>
      <c r="D36" s="144" t="s">
        <v>146</v>
      </c>
      <c r="E36" s="144" t="s">
        <v>147</v>
      </c>
      <c r="F36" s="355" t="s">
        <v>148</v>
      </c>
      <c r="G36" s="354"/>
      <c r="H36" s="373" t="s">
        <v>149</v>
      </c>
      <c r="I36" s="309"/>
      <c r="J36" s="396"/>
      <c r="K36" s="396"/>
      <c r="L36" s="309"/>
      <c r="M36" s="377" t="s">
        <v>151</v>
      </c>
      <c r="N36" s="378"/>
      <c r="Q36" s="165"/>
      <c r="T36" s="166"/>
      <c r="U36" s="166"/>
      <c r="V36" s="166"/>
      <c r="W36" s="166"/>
      <c r="X36" s="166"/>
      <c r="Y36" s="166"/>
      <c r="Z36" s="166"/>
      <c r="AA36" s="166"/>
      <c r="AD36" s="34"/>
      <c r="AE36" s="34"/>
      <c r="AF36" s="34"/>
      <c r="AG36" s="34"/>
      <c r="AH36" s="34"/>
      <c r="AI36" s="34"/>
      <c r="AJ36" s="34"/>
      <c r="AK36" s="34"/>
      <c r="AL36" s="34"/>
      <c r="AM36" s="34"/>
      <c r="AN36" s="34"/>
      <c r="AO36" s="34"/>
      <c r="AP36" s="34"/>
    </row>
    <row r="37" spans="1:42" ht="13" x14ac:dyDescent="0.25">
      <c r="A37" s="347" t="s">
        <v>39</v>
      </c>
      <c r="B37" s="391"/>
      <c r="C37" s="167">
        <v>-9.0250000000000004</v>
      </c>
      <c r="D37" s="167">
        <v>1.0489999999999999</v>
      </c>
      <c r="E37" s="167">
        <v>1.5489999999999999</v>
      </c>
      <c r="F37" s="365">
        <f>EXP($C$37+$D$37*LN($J$11)+LN($J$10))</f>
        <v>5.3578788514622548</v>
      </c>
      <c r="G37" s="366"/>
      <c r="H37" s="371">
        <f>1/(EXP($E$37+LN($J$10)))</f>
        <v>0.21246032795994022</v>
      </c>
      <c r="I37" s="372"/>
      <c r="J37" s="374">
        <f>+$M$28</f>
        <v>1</v>
      </c>
      <c r="K37" s="375"/>
      <c r="L37" s="155">
        <f>+$J$19</f>
        <v>1</v>
      </c>
      <c r="M37" s="365">
        <f>+F37*J37*L37</f>
        <v>5.3578788514622548</v>
      </c>
      <c r="N37" s="376"/>
      <c r="AD37" s="34"/>
      <c r="AE37" s="34"/>
      <c r="AF37" s="35"/>
      <c r="AG37" s="35"/>
      <c r="AH37" s="35"/>
      <c r="AI37" s="35"/>
      <c r="AJ37" s="35"/>
      <c r="AK37" s="34"/>
      <c r="AL37" s="35"/>
      <c r="AM37" s="35"/>
      <c r="AN37" s="35"/>
      <c r="AO37" s="35"/>
      <c r="AP37" s="35"/>
    </row>
    <row r="38" spans="1:42" ht="13" x14ac:dyDescent="0.25">
      <c r="A38" s="347" t="s">
        <v>40</v>
      </c>
      <c r="B38" s="391"/>
      <c r="C38" s="167">
        <v>-8.8369999999999997</v>
      </c>
      <c r="D38" s="167">
        <v>0.95799999999999996</v>
      </c>
      <c r="E38" s="167">
        <v>1.6870000000000001</v>
      </c>
      <c r="F38" s="365">
        <f>EXP($C$38+$D$38*LN($J$11)+LN($J$10))</f>
        <v>2.5549720260748336</v>
      </c>
      <c r="G38" s="366"/>
      <c r="H38" s="371">
        <f>1/(EXP($E$38+LN($J$10)))</f>
        <v>0.18507391373378718</v>
      </c>
      <c r="I38" s="372"/>
      <c r="J38" s="374">
        <f>+$M$28</f>
        <v>1</v>
      </c>
      <c r="K38" s="375"/>
      <c r="L38" s="155">
        <f>+$J$19</f>
        <v>1</v>
      </c>
      <c r="M38" s="365">
        <f>+F38*J38*L38</f>
        <v>2.5549720260748336</v>
      </c>
      <c r="N38" s="376"/>
      <c r="AE38" s="34"/>
      <c r="AF38" s="34"/>
      <c r="AG38" s="34"/>
      <c r="AH38" s="34"/>
      <c r="AI38" s="34"/>
      <c r="AK38" s="34"/>
      <c r="AL38" s="34"/>
      <c r="AM38" s="34"/>
      <c r="AN38" s="34"/>
      <c r="AO38" s="34"/>
    </row>
    <row r="39" spans="1:42" ht="14.5" x14ac:dyDescent="0.25">
      <c r="A39" s="398" t="s">
        <v>152</v>
      </c>
      <c r="B39" s="391"/>
      <c r="C39" s="167">
        <v>-8.5050000000000008</v>
      </c>
      <c r="D39" s="167">
        <v>0.874</v>
      </c>
      <c r="E39" s="167">
        <v>1.74</v>
      </c>
      <c r="F39" s="365">
        <f>EXP($C$39+$D$39*LN($J$11)+LN($J$10))</f>
        <v>1.5112536447937792</v>
      </c>
      <c r="G39" s="366"/>
      <c r="H39" s="371">
        <f>1/(EXP($E$39+LN($J$10)))</f>
        <v>0.17552040061699689</v>
      </c>
      <c r="I39" s="372"/>
      <c r="J39" s="374">
        <f>+$M$28</f>
        <v>1</v>
      </c>
      <c r="K39" s="375"/>
      <c r="L39" s="155">
        <f>+$J$19</f>
        <v>1</v>
      </c>
      <c r="M39" s="365">
        <f>+F39*J39*L39</f>
        <v>1.5112536447937792</v>
      </c>
      <c r="N39" s="376"/>
      <c r="AE39" s="34"/>
      <c r="AF39" s="34"/>
      <c r="AG39" s="34"/>
      <c r="AH39" s="34"/>
      <c r="AI39" s="34"/>
      <c r="AK39" s="34"/>
      <c r="AL39" s="34"/>
      <c r="AM39" s="34"/>
      <c r="AN39" s="34"/>
      <c r="AO39" s="34"/>
    </row>
    <row r="40" spans="1:42" ht="15.5" x14ac:dyDescent="0.25">
      <c r="A40" s="423" t="s">
        <v>41</v>
      </c>
      <c r="B40" s="395"/>
      <c r="C40" s="442" t="s">
        <v>17</v>
      </c>
      <c r="D40" s="442" t="s">
        <v>17</v>
      </c>
      <c r="E40" s="442" t="s">
        <v>17</v>
      </c>
      <c r="F40" s="361" t="s">
        <v>17</v>
      </c>
      <c r="G40" s="362"/>
      <c r="H40" s="367" t="s">
        <v>17</v>
      </c>
      <c r="I40" s="368"/>
      <c r="J40" s="367" t="s">
        <v>17</v>
      </c>
      <c r="K40" s="368"/>
      <c r="L40" s="442" t="s">
        <v>17</v>
      </c>
      <c r="M40" s="377" t="s">
        <v>153</v>
      </c>
      <c r="N40" s="378"/>
      <c r="AE40" s="34"/>
      <c r="AF40" s="34"/>
      <c r="AG40" s="34"/>
      <c r="AH40" s="34"/>
      <c r="AI40" s="156"/>
      <c r="AK40" s="34"/>
      <c r="AL40" s="34"/>
      <c r="AM40" s="34"/>
      <c r="AN40" s="34"/>
      <c r="AO40" s="156"/>
    </row>
    <row r="41" spans="1:42" ht="13" thickBot="1" x14ac:dyDescent="0.3">
      <c r="A41" s="455"/>
      <c r="B41" s="418"/>
      <c r="C41" s="443"/>
      <c r="D41" s="443"/>
      <c r="E41" s="443"/>
      <c r="F41" s="363"/>
      <c r="G41" s="364"/>
      <c r="H41" s="369"/>
      <c r="I41" s="370"/>
      <c r="J41" s="369"/>
      <c r="K41" s="370"/>
      <c r="L41" s="443"/>
      <c r="M41" s="444">
        <f>+M37-M38</f>
        <v>2.8029068253874212</v>
      </c>
      <c r="N41" s="445"/>
      <c r="P41" s="158"/>
      <c r="AD41" s="157"/>
      <c r="AE41" s="35"/>
      <c r="AF41" s="35"/>
      <c r="AG41" s="35"/>
      <c r="AH41" s="157"/>
      <c r="AI41" s="168"/>
      <c r="AK41" s="35"/>
      <c r="AL41" s="35"/>
      <c r="AM41" s="35"/>
      <c r="AN41" s="157"/>
      <c r="AO41" s="168"/>
    </row>
    <row r="42" spans="1:42" x14ac:dyDescent="0.25">
      <c r="A42" s="415" t="s">
        <v>154</v>
      </c>
      <c r="B42" s="416"/>
      <c r="C42" s="416"/>
      <c r="D42" s="416"/>
      <c r="E42" s="416"/>
      <c r="F42" s="416"/>
      <c r="G42" s="416"/>
      <c r="H42" s="416"/>
      <c r="I42" s="416"/>
      <c r="J42" s="416"/>
      <c r="K42" s="416"/>
      <c r="L42" s="416"/>
      <c r="M42" s="416"/>
      <c r="N42" s="416"/>
    </row>
    <row r="45" spans="1:42" ht="13" thickBot="1" x14ac:dyDescent="0.3">
      <c r="A45" s="158"/>
      <c r="B45" s="158"/>
      <c r="C45" s="158"/>
      <c r="D45" s="158"/>
      <c r="E45" s="158"/>
      <c r="F45" s="158"/>
      <c r="G45" s="158"/>
      <c r="H45" s="158"/>
      <c r="I45" s="158"/>
      <c r="J45" s="158"/>
      <c r="K45" s="158"/>
      <c r="L45" s="158"/>
      <c r="M45" s="158"/>
      <c r="N45" s="169"/>
    </row>
    <row r="46" spans="1:42" ht="14" thickTop="1" thickBot="1" x14ac:dyDescent="0.3">
      <c r="A46" s="382" t="s">
        <v>847</v>
      </c>
      <c r="B46" s="383"/>
      <c r="C46" s="383"/>
      <c r="D46" s="383"/>
      <c r="E46" s="383"/>
      <c r="F46" s="383"/>
      <c r="G46" s="383"/>
      <c r="H46" s="383"/>
      <c r="I46" s="383"/>
      <c r="J46" s="383"/>
      <c r="K46" s="383"/>
      <c r="L46" s="383"/>
      <c r="M46" s="383"/>
      <c r="N46" s="383"/>
    </row>
    <row r="47" spans="1:42" x14ac:dyDescent="0.25">
      <c r="A47" s="447" t="s">
        <v>19</v>
      </c>
      <c r="B47" s="448"/>
      <c r="C47" s="170" t="s">
        <v>20</v>
      </c>
      <c r="D47" s="449" t="s">
        <v>21</v>
      </c>
      <c r="E47" s="385"/>
      <c r="F47" s="171" t="s">
        <v>22</v>
      </c>
      <c r="G47" s="450" t="s">
        <v>23</v>
      </c>
      <c r="H47" s="451"/>
      <c r="I47" s="171" t="s">
        <v>24</v>
      </c>
      <c r="J47" s="450" t="s">
        <v>25</v>
      </c>
      <c r="K47" s="452"/>
      <c r="L47" s="171" t="s">
        <v>26</v>
      </c>
      <c r="M47" s="453" t="s">
        <v>27</v>
      </c>
      <c r="N47" s="454"/>
    </row>
    <row r="48" spans="1:42" ht="13.15" customHeight="1" x14ac:dyDescent="0.25">
      <c r="A48" s="390" t="s">
        <v>42</v>
      </c>
      <c r="B48" s="394"/>
      <c r="C48" s="394" t="s">
        <v>44</v>
      </c>
      <c r="D48" s="394" t="s">
        <v>299</v>
      </c>
      <c r="E48" s="391"/>
      <c r="F48" s="394" t="s">
        <v>281</v>
      </c>
      <c r="G48" s="394" t="s">
        <v>300</v>
      </c>
      <c r="H48" s="394"/>
      <c r="I48" s="394" t="s">
        <v>158</v>
      </c>
      <c r="J48" s="394" t="s">
        <v>160</v>
      </c>
      <c r="K48" s="394"/>
      <c r="L48" s="394" t="s">
        <v>159</v>
      </c>
      <c r="M48" s="394" t="s">
        <v>301</v>
      </c>
      <c r="N48" s="438"/>
    </row>
    <row r="49" spans="1:14" ht="13.15" customHeight="1" x14ac:dyDescent="0.25">
      <c r="A49" s="390"/>
      <c r="B49" s="394"/>
      <c r="C49" s="309"/>
      <c r="D49" s="391"/>
      <c r="E49" s="391"/>
      <c r="F49" s="309"/>
      <c r="G49" s="309"/>
      <c r="H49" s="309"/>
      <c r="I49" s="309"/>
      <c r="J49" s="309"/>
      <c r="K49" s="309"/>
      <c r="L49" s="309"/>
      <c r="M49" s="309"/>
      <c r="N49" s="437"/>
    </row>
    <row r="50" spans="1:14" ht="13.15" customHeight="1" x14ac:dyDescent="0.25">
      <c r="A50" s="308"/>
      <c r="B50" s="309"/>
      <c r="C50" s="309"/>
      <c r="D50" s="391"/>
      <c r="E50" s="391"/>
      <c r="F50" s="309"/>
      <c r="G50" s="309"/>
      <c r="H50" s="309"/>
      <c r="I50" s="309"/>
      <c r="J50" s="309"/>
      <c r="K50" s="309"/>
      <c r="L50" s="309"/>
      <c r="M50" s="309"/>
      <c r="N50" s="437"/>
    </row>
    <row r="51" spans="1:14" ht="13.15" customHeight="1" x14ac:dyDescent="0.25">
      <c r="A51" s="308"/>
      <c r="B51" s="309"/>
      <c r="C51" s="439" t="s">
        <v>325</v>
      </c>
      <c r="D51" s="440" t="s">
        <v>161</v>
      </c>
      <c r="E51" s="441"/>
      <c r="F51" s="439" t="s">
        <v>325</v>
      </c>
      <c r="G51" s="440" t="s">
        <v>162</v>
      </c>
      <c r="H51" s="441"/>
      <c r="I51" s="439" t="s">
        <v>325</v>
      </c>
      <c r="J51" s="440" t="s">
        <v>163</v>
      </c>
      <c r="K51" s="441"/>
      <c r="L51" s="439" t="s">
        <v>325</v>
      </c>
      <c r="M51" s="440" t="s">
        <v>164</v>
      </c>
      <c r="N51" s="446"/>
    </row>
    <row r="52" spans="1:14" ht="13.15" customHeight="1" x14ac:dyDescent="0.25">
      <c r="A52" s="308"/>
      <c r="B52" s="309"/>
      <c r="C52" s="309"/>
      <c r="D52" s="309"/>
      <c r="E52" s="309"/>
      <c r="F52" s="309"/>
      <c r="G52" s="309"/>
      <c r="H52" s="309"/>
      <c r="I52" s="309"/>
      <c r="J52" s="309"/>
      <c r="K52" s="309"/>
      <c r="L52" s="309"/>
      <c r="M52" s="309"/>
      <c r="N52" s="437"/>
    </row>
    <row r="53" spans="1:14" x14ac:dyDescent="0.25">
      <c r="A53" s="347" t="s">
        <v>39</v>
      </c>
      <c r="B53" s="391"/>
      <c r="C53" s="167">
        <f>IF('Reference Tables (Segment)'!$D$24="No",SUM('Reference Tables (Segment)'!$E$26:$E$31),SUM('Reference Tables (Segment)'!$I$26:$I$31))</f>
        <v>1</v>
      </c>
      <c r="D53" s="371">
        <f>+M37</f>
        <v>5.3578788514622548</v>
      </c>
      <c r="E53" s="372"/>
      <c r="F53" s="167">
        <f>IF('Reference Tables (Segment)'!$D$24="No",SUM('Reference Tables (Segment)'!$F$26:$F$31),SUM('Reference Tables (Segment)'!$J$26:$J$31))</f>
        <v>1</v>
      </c>
      <c r="G53" s="371">
        <f>+M38</f>
        <v>2.5549720260748336</v>
      </c>
      <c r="H53" s="372"/>
      <c r="I53" s="167">
        <f>IF('Reference Tables (Segment)'!$D$24="No",SUM('Reference Tables (Segment)'!$G$26:$G$31),SUM('Reference Tables (Segment)'!$K$26:$K$31))</f>
        <v>1</v>
      </c>
      <c r="J53" s="371">
        <f>+M39</f>
        <v>1.5112536447937792</v>
      </c>
      <c r="K53" s="372"/>
      <c r="L53" s="167">
        <f>IF('Reference Tables (Segment)'!D$24="No",SUM('Reference Tables (Segment)'!$H$26:$H$31),SUM('Reference Tables (Segment)'!$L$26:$L$31))</f>
        <v>1</v>
      </c>
      <c r="M53" s="371">
        <f>+M41</f>
        <v>2.8029068253874212</v>
      </c>
      <c r="N53" s="400"/>
    </row>
    <row r="54" spans="1:14" ht="15.5" x14ac:dyDescent="0.25">
      <c r="A54" s="375"/>
      <c r="B54" s="434"/>
      <c r="C54" s="155"/>
      <c r="D54" s="435" t="s">
        <v>165</v>
      </c>
      <c r="E54" s="434"/>
      <c r="F54" s="155"/>
      <c r="G54" s="436" t="s">
        <v>166</v>
      </c>
      <c r="H54" s="391"/>
      <c r="I54" s="155"/>
      <c r="J54" s="435" t="s">
        <v>167</v>
      </c>
      <c r="K54" s="309"/>
      <c r="L54" s="155"/>
      <c r="M54" s="435" t="s">
        <v>168</v>
      </c>
      <c r="N54" s="437"/>
    </row>
    <row r="55" spans="1:14" x14ac:dyDescent="0.25">
      <c r="A55" s="399" t="s">
        <v>46</v>
      </c>
      <c r="B55" s="391"/>
      <c r="C55" s="167">
        <f>IF('Reference Tables (Segment)'!$D$24="No",'Reference Tables (Segment)'!E26,'Reference Tables (Segment)'!I26)</f>
        <v>6.0000000000000001E-3</v>
      </c>
      <c r="D55" s="371">
        <f t="shared" ref="D55:D60" si="0">+C55*$D$53</f>
        <v>3.2147273108773529E-2</v>
      </c>
      <c r="E55" s="372"/>
      <c r="F55" s="167">
        <f>IF('Reference Tables (Segment)'!$D$24="No",'Reference Tables (Segment)'!F26,'Reference Tables (Segment)'!J26)</f>
        <v>1.2999999999999999E-2</v>
      </c>
      <c r="G55" s="371">
        <f t="shared" ref="G55:G60" si="1">+F55*$G$53</f>
        <v>3.3214636338972835E-2</v>
      </c>
      <c r="H55" s="372"/>
      <c r="I55" s="167">
        <f>IF('Reference Tables (Segment)'!$D$24="No",'Reference Tables (Segment)'!G26,'Reference Tables (Segment)'!K26)</f>
        <v>1.7999999999999999E-2</v>
      </c>
      <c r="J55" s="371">
        <f t="shared" ref="J55:J60" si="2">+$J$53*I55</f>
        <v>2.7202565606288025E-2</v>
      </c>
      <c r="K55" s="372"/>
      <c r="L55" s="167">
        <f>IF('Reference Tables (Segment)'!$D$24="No",'Reference Tables (Segment)'!H26,'Reference Tables (Segment)'!L26)</f>
        <v>2E-3</v>
      </c>
      <c r="M55" s="371">
        <f t="shared" ref="M55:M60" si="3">+$M$53*L55</f>
        <v>5.6058136507748423E-3</v>
      </c>
      <c r="N55" s="400"/>
    </row>
    <row r="56" spans="1:14" x14ac:dyDescent="0.25">
      <c r="A56" s="399" t="s">
        <v>48</v>
      </c>
      <c r="B56" s="391"/>
      <c r="C56" s="167">
        <f>IF('Reference Tables (Segment)'!$D$24="No",'Reference Tables (Segment)'!E27,'Reference Tables (Segment)'!I27)</f>
        <v>4.2999999999999997E-2</v>
      </c>
      <c r="D56" s="371">
        <f t="shared" si="0"/>
        <v>0.23038879061287695</v>
      </c>
      <c r="E56" s="372"/>
      <c r="F56" s="167">
        <f>IF('Reference Tables (Segment)'!$D$24="No",'Reference Tables (Segment)'!F27,'Reference Tables (Segment)'!J27)</f>
        <v>2.7E-2</v>
      </c>
      <c r="G56" s="371">
        <f t="shared" si="1"/>
        <v>6.8984244704020509E-2</v>
      </c>
      <c r="H56" s="372"/>
      <c r="I56" s="167">
        <f>IF('Reference Tables (Segment)'!$D$24="No",'Reference Tables (Segment)'!G27,'Reference Tables (Segment)'!K27)</f>
        <v>2.1999999999999999E-2</v>
      </c>
      <c r="J56" s="371">
        <f t="shared" si="2"/>
        <v>3.3247580185463144E-2</v>
      </c>
      <c r="K56" s="372"/>
      <c r="L56" s="167">
        <f>IF('Reference Tables (Segment)'!$D$24="No",'Reference Tables (Segment)'!H27,'Reference Tables (Segment)'!L27)</f>
        <v>5.2999999999999999E-2</v>
      </c>
      <c r="M56" s="371">
        <f t="shared" si="3"/>
        <v>0.14855406174553332</v>
      </c>
      <c r="N56" s="400"/>
    </row>
    <row r="57" spans="1:14" x14ac:dyDescent="0.25">
      <c r="A57" s="401" t="s">
        <v>47</v>
      </c>
      <c r="B57" s="391"/>
      <c r="C57" s="167">
        <f>IF('Reference Tables (Segment)'!$D$24="No",'Reference Tables (Segment)'!E28,'Reference Tables (Segment)'!I28)</f>
        <v>0.11600000000000001</v>
      </c>
      <c r="D57" s="371">
        <f t="shared" si="0"/>
        <v>0.62151394676962157</v>
      </c>
      <c r="E57" s="372"/>
      <c r="F57" s="167">
        <f>IF('Reference Tables (Segment)'!$D$24="No",'Reference Tables (Segment)'!F28,'Reference Tables (Segment)'!J28)</f>
        <v>0.16300000000000001</v>
      </c>
      <c r="G57" s="371">
        <f t="shared" si="1"/>
        <v>0.41646044025019791</v>
      </c>
      <c r="H57" s="372"/>
      <c r="I57" s="167">
        <f>IF('Reference Tables (Segment)'!$D$24="No",'Reference Tables (Segment)'!G28,'Reference Tables (Segment)'!K28)</f>
        <v>0.114</v>
      </c>
      <c r="J57" s="371">
        <f t="shared" si="2"/>
        <v>0.17228291550649083</v>
      </c>
      <c r="K57" s="372"/>
      <c r="L57" s="167">
        <f>IF('Reference Tables (Segment)'!$D$24="No",'Reference Tables (Segment)'!H28,'Reference Tables (Segment)'!L28)</f>
        <v>8.7999999999999995E-2</v>
      </c>
      <c r="M57" s="371">
        <f t="shared" si="3"/>
        <v>0.24665580063409306</v>
      </c>
      <c r="N57" s="400"/>
    </row>
    <row r="58" spans="1:14" x14ac:dyDescent="0.25">
      <c r="A58" s="399" t="s">
        <v>45</v>
      </c>
      <c r="B58" s="391"/>
      <c r="C58" s="167">
        <f>IF('Reference Tables (Segment)'!$D$24="No",'Reference Tables (Segment)'!E29,'Reference Tables (Segment)'!I29)</f>
        <v>4.2999999999999997E-2</v>
      </c>
      <c r="D58" s="371">
        <f t="shared" si="0"/>
        <v>0.23038879061287695</v>
      </c>
      <c r="E58" s="372"/>
      <c r="F58" s="167">
        <f>IF('Reference Tables (Segment)'!$D$24="No",'Reference Tables (Segment)'!F29,'Reference Tables (Segment)'!J29)</f>
        <v>4.8000000000000001E-2</v>
      </c>
      <c r="G58" s="371">
        <f t="shared" si="1"/>
        <v>0.12263865725159202</v>
      </c>
      <c r="H58" s="372"/>
      <c r="I58" s="167">
        <f>IF('Reference Tables (Segment)'!$D$24="No",'Reference Tables (Segment)'!G29,'Reference Tables (Segment)'!K29)</f>
        <v>4.4999999999999998E-2</v>
      </c>
      <c r="J58" s="371">
        <f t="shared" si="2"/>
        <v>6.8006414015720065E-2</v>
      </c>
      <c r="K58" s="372"/>
      <c r="L58" s="167">
        <f>IF('Reference Tables (Segment)'!$D$24="No",'Reference Tables (Segment)'!H29,'Reference Tables (Segment)'!L29)</f>
        <v>4.1000000000000002E-2</v>
      </c>
      <c r="M58" s="371">
        <f t="shared" si="3"/>
        <v>0.11491917984088428</v>
      </c>
      <c r="N58" s="400"/>
    </row>
    <row r="59" spans="1:14" x14ac:dyDescent="0.25">
      <c r="A59" s="399" t="s">
        <v>169</v>
      </c>
      <c r="B59" s="391"/>
      <c r="C59" s="167">
        <f>IF('Reference Tables (Segment)'!$D$24="No",'Reference Tables (Segment)'!E30,'Reference Tables (Segment)'!I30)</f>
        <v>0.76800000000000002</v>
      </c>
      <c r="D59" s="371">
        <f t="shared" si="0"/>
        <v>4.1148509579230117</v>
      </c>
      <c r="E59" s="372"/>
      <c r="F59" s="167">
        <f>IF('Reference Tables (Segment)'!$D$24="No",'Reference Tables (Segment)'!F30,'Reference Tables (Segment)'!J30)</f>
        <v>0.72699999999999998</v>
      </c>
      <c r="G59" s="371">
        <f t="shared" si="1"/>
        <v>1.857464662956404</v>
      </c>
      <c r="H59" s="372"/>
      <c r="I59" s="167">
        <f>IF('Reference Tables (Segment)'!$D$24="No",'Reference Tables (Segment)'!G30,'Reference Tables (Segment)'!K30)</f>
        <v>0.77800000000000002</v>
      </c>
      <c r="J59" s="371">
        <f t="shared" si="2"/>
        <v>1.1757553356495603</v>
      </c>
      <c r="K59" s="372"/>
      <c r="L59" s="167">
        <f>IF('Reference Tables (Segment)'!$D$24="No",'Reference Tables (Segment)'!H30,'Reference Tables (Segment)'!L30)</f>
        <v>0.79200000000000004</v>
      </c>
      <c r="M59" s="371">
        <f t="shared" si="3"/>
        <v>2.2199022057068376</v>
      </c>
      <c r="N59" s="400"/>
    </row>
    <row r="60" spans="1:14" ht="13" thickBot="1" x14ac:dyDescent="0.3">
      <c r="A60" s="417" t="s">
        <v>170</v>
      </c>
      <c r="B60" s="418"/>
      <c r="C60" s="167">
        <f>IF('Reference Tables (Segment)'!$D$24="No",'Reference Tables (Segment)'!E31,'Reference Tables (Segment)'!I31)</f>
        <v>2.4E-2</v>
      </c>
      <c r="D60" s="496">
        <f t="shared" si="0"/>
        <v>0.12858909243509412</v>
      </c>
      <c r="E60" s="497"/>
      <c r="F60" s="167">
        <f>IF('Reference Tables (Segment)'!$D$24="No",'Reference Tables (Segment)'!F31,'Reference Tables (Segment)'!J31)</f>
        <v>2.1999999999999999E-2</v>
      </c>
      <c r="G60" s="371">
        <f t="shared" si="1"/>
        <v>5.620938457364634E-2</v>
      </c>
      <c r="H60" s="372"/>
      <c r="I60" s="167">
        <f>IF('Reference Tables (Segment)'!$D$24="No",'Reference Tables (Segment)'!G31,'Reference Tables (Segment)'!K31)</f>
        <v>2.3E-2</v>
      </c>
      <c r="J60" s="371">
        <f t="shared" si="2"/>
        <v>3.4758833830256922E-2</v>
      </c>
      <c r="K60" s="372"/>
      <c r="L60" s="167">
        <f>IF('Reference Tables (Segment)'!$D$24="No",'Reference Tables (Segment)'!H31,'Reference Tables (Segment)'!L31)</f>
        <v>2.4E-2</v>
      </c>
      <c r="M60" s="371">
        <f t="shared" si="3"/>
        <v>6.7269763809298111E-2</v>
      </c>
      <c r="N60" s="400"/>
    </row>
    <row r="61" spans="1:14" x14ac:dyDescent="0.25">
      <c r="A61" s="415" t="s">
        <v>154</v>
      </c>
      <c r="B61" s="416"/>
      <c r="C61" s="416"/>
      <c r="D61" s="416"/>
      <c r="E61" s="416"/>
      <c r="F61" s="416"/>
      <c r="G61" s="416"/>
      <c r="H61" s="416"/>
      <c r="I61" s="416"/>
      <c r="J61" s="416"/>
      <c r="K61" s="416"/>
      <c r="L61" s="416"/>
      <c r="M61" s="416"/>
      <c r="N61" s="416"/>
    </row>
    <row r="62" spans="1:14" x14ac:dyDescent="0.25">
      <c r="A62" s="216"/>
      <c r="B62" s="173"/>
      <c r="C62" s="173"/>
      <c r="D62" s="173"/>
      <c r="E62" s="173"/>
      <c r="F62" s="173"/>
      <c r="G62" s="173"/>
      <c r="H62" s="173"/>
      <c r="I62" s="173"/>
      <c r="J62" s="173"/>
      <c r="K62" s="173"/>
      <c r="L62" s="173"/>
      <c r="M62" s="173"/>
      <c r="N62" s="173"/>
    </row>
    <row r="63" spans="1:14" ht="13" thickBot="1" x14ac:dyDescent="0.3">
      <c r="A63" s="216"/>
      <c r="B63" s="173"/>
      <c r="C63" s="173"/>
      <c r="D63" s="173"/>
      <c r="E63" s="173"/>
      <c r="F63" s="173"/>
      <c r="G63" s="173"/>
      <c r="H63" s="173"/>
      <c r="I63" s="173"/>
      <c r="J63" s="173"/>
      <c r="K63" s="173"/>
      <c r="L63" s="173"/>
      <c r="M63" s="173"/>
      <c r="N63" s="173"/>
    </row>
    <row r="64" spans="1:14" ht="14" thickTop="1" thickBot="1" x14ac:dyDescent="0.3">
      <c r="A64" s="382" t="s">
        <v>843</v>
      </c>
      <c r="B64" s="382"/>
      <c r="C64" s="382"/>
      <c r="D64" s="382"/>
      <c r="E64" s="382"/>
      <c r="F64" s="382"/>
      <c r="G64" s="382"/>
      <c r="H64" s="173"/>
      <c r="I64" s="173"/>
      <c r="J64" s="173"/>
      <c r="K64" s="173"/>
      <c r="L64" s="173"/>
      <c r="M64" s="173"/>
      <c r="N64" s="173"/>
    </row>
    <row r="65" spans="1:14" x14ac:dyDescent="0.25">
      <c r="A65" s="420"/>
      <c r="B65" s="421"/>
      <c r="C65" s="421"/>
      <c r="D65" s="426"/>
      <c r="E65" s="427"/>
      <c r="F65" s="426"/>
      <c r="G65" s="427"/>
      <c r="H65" s="173"/>
      <c r="I65" s="173"/>
      <c r="J65" s="173"/>
      <c r="K65" s="173"/>
      <c r="L65" s="173"/>
      <c r="M65" s="173"/>
      <c r="N65" s="173"/>
    </row>
    <row r="66" spans="1:14" x14ac:dyDescent="0.25">
      <c r="A66" s="422" t="s">
        <v>36</v>
      </c>
      <c r="B66" s="395"/>
      <c r="C66" s="395"/>
      <c r="D66" s="379" t="s">
        <v>841</v>
      </c>
      <c r="E66" s="428"/>
      <c r="F66" s="379" t="s">
        <v>840</v>
      </c>
      <c r="G66" s="428"/>
      <c r="H66" s="173"/>
      <c r="I66" s="173"/>
      <c r="J66" s="173"/>
      <c r="K66" s="173"/>
      <c r="L66" s="173"/>
      <c r="M66" s="173"/>
      <c r="N66" s="173"/>
    </row>
    <row r="67" spans="1:14" x14ac:dyDescent="0.25">
      <c r="A67" s="423"/>
      <c r="B67" s="395"/>
      <c r="C67" s="395"/>
      <c r="D67" s="379"/>
      <c r="E67" s="428"/>
      <c r="F67" s="379"/>
      <c r="G67" s="428"/>
      <c r="H67" s="173"/>
      <c r="I67" s="173"/>
      <c r="J67" s="173"/>
      <c r="K67" s="173"/>
      <c r="L67" s="173"/>
      <c r="M67" s="173"/>
      <c r="N67" s="173"/>
    </row>
    <row r="68" spans="1:14" ht="12.65" customHeight="1" x14ac:dyDescent="0.25">
      <c r="A68" s="423"/>
      <c r="B68" s="395"/>
      <c r="C68" s="395"/>
      <c r="D68" s="429" t="s">
        <v>842</v>
      </c>
      <c r="E68" s="430"/>
      <c r="F68" s="429" t="s">
        <v>842</v>
      </c>
      <c r="G68" s="430"/>
      <c r="H68" s="173"/>
      <c r="I68" s="173"/>
      <c r="J68" s="173"/>
      <c r="K68" s="173"/>
      <c r="L68" s="173"/>
      <c r="M68" s="173"/>
      <c r="N68" s="173"/>
    </row>
    <row r="69" spans="1:14" ht="34" customHeight="1" x14ac:dyDescent="0.25">
      <c r="A69" s="423"/>
      <c r="B69" s="395"/>
      <c r="C69" s="395"/>
      <c r="D69" s="431"/>
      <c r="E69" s="430"/>
      <c r="F69" s="431"/>
      <c r="G69" s="430"/>
      <c r="H69" s="173"/>
      <c r="I69" s="173"/>
      <c r="J69" s="173"/>
      <c r="K69" s="173"/>
      <c r="L69" s="173"/>
      <c r="M69" s="173"/>
      <c r="N69" s="173"/>
    </row>
    <row r="70" spans="1:14" x14ac:dyDescent="0.25">
      <c r="A70" s="424" t="s">
        <v>39</v>
      </c>
      <c r="B70" s="425"/>
      <c r="C70" s="425"/>
      <c r="D70" s="432">
        <f>'Ped&amp;Bike (Segment Results)'!C44</f>
        <v>6.7883575499999996E-3</v>
      </c>
      <c r="E70" s="433"/>
      <c r="F70" s="432">
        <f>'Ped&amp;Bike (Segment Results)'!J44</f>
        <v>2.7732989024292103E-3</v>
      </c>
      <c r="G70" s="433"/>
      <c r="H70" s="173"/>
      <c r="I70" s="173"/>
      <c r="J70" s="173"/>
      <c r="K70" s="173"/>
      <c r="L70" s="173"/>
      <c r="M70" s="173"/>
      <c r="N70" s="173"/>
    </row>
    <row r="71" spans="1:14" x14ac:dyDescent="0.25">
      <c r="A71" s="425" t="s">
        <v>262</v>
      </c>
      <c r="B71" s="425"/>
      <c r="C71" s="425"/>
      <c r="D71" s="409">
        <f>+D70</f>
        <v>6.7883575499999996E-3</v>
      </c>
      <c r="E71" s="409"/>
      <c r="F71" s="409">
        <f>+F70</f>
        <v>2.7732989024292103E-3</v>
      </c>
      <c r="G71" s="409"/>
      <c r="H71" s="173"/>
      <c r="I71" s="173"/>
      <c r="J71" s="173"/>
      <c r="K71" s="173"/>
      <c r="L71" s="173"/>
      <c r="M71" s="173"/>
      <c r="N71" s="173"/>
    </row>
    <row r="72" spans="1:14" ht="15" thickBot="1" x14ac:dyDescent="0.3">
      <c r="A72" s="410" t="s">
        <v>152</v>
      </c>
      <c r="B72" s="411"/>
      <c r="C72" s="411"/>
      <c r="D72" s="413">
        <f>'Ped&amp;Bike (Segment Results)'!C45 + 'Ped&amp;Bike (Segment Results)'!C46 +'Ped&amp;Bike (Segment Results)'!C47</f>
        <v>5.2813421738999999E-3</v>
      </c>
      <c r="E72" s="414"/>
      <c r="F72" s="414">
        <f>'Ped&amp;Bike (Segment Results)'!J45 + 'Ped&amp;Bike (Segment Results)'!J46 + 'Ped&amp;Bike (Segment Results)'!J47</f>
        <v>2.1576265460899256E-3</v>
      </c>
      <c r="G72" s="414"/>
      <c r="H72" s="173"/>
      <c r="I72" s="173"/>
      <c r="J72" s="173"/>
      <c r="K72" s="173"/>
      <c r="L72" s="173"/>
      <c r="M72" s="173"/>
      <c r="N72" s="173"/>
    </row>
    <row r="73" spans="1:14" x14ac:dyDescent="0.25">
      <c r="A73" s="412" t="s">
        <v>154</v>
      </c>
      <c r="B73" s="412"/>
      <c r="C73" s="412"/>
      <c r="D73" s="412"/>
      <c r="E73" s="412"/>
      <c r="F73" s="412"/>
      <c r="G73" s="412"/>
      <c r="H73" s="173"/>
      <c r="I73" s="173"/>
      <c r="J73" s="173"/>
      <c r="K73" s="173"/>
      <c r="L73" s="173"/>
      <c r="M73" s="173"/>
      <c r="N73" s="173"/>
    </row>
    <row r="74" spans="1:14" x14ac:dyDescent="0.25">
      <c r="A74" s="216"/>
      <c r="B74" s="173"/>
      <c r="C74" s="173"/>
      <c r="D74" s="173"/>
      <c r="E74" s="173"/>
      <c r="F74" s="173"/>
      <c r="G74" s="173"/>
      <c r="H74" s="173"/>
      <c r="I74" s="173"/>
      <c r="J74" s="173"/>
      <c r="K74" s="173"/>
      <c r="L74" s="173"/>
      <c r="M74" s="173"/>
      <c r="N74" s="173"/>
    </row>
    <row r="76" spans="1:14" ht="13.5" thickBot="1" x14ac:dyDescent="0.3">
      <c r="A76" s="34"/>
      <c r="B76" s="35"/>
      <c r="C76" s="35"/>
      <c r="D76" s="35"/>
      <c r="E76" s="35"/>
      <c r="F76" s="35"/>
      <c r="G76" s="35"/>
      <c r="H76" s="35"/>
    </row>
    <row r="77" spans="1:14" ht="14" thickTop="1" thickBot="1" x14ac:dyDescent="0.3">
      <c r="A77" s="382" t="s">
        <v>175</v>
      </c>
      <c r="B77" s="382"/>
      <c r="C77" s="382"/>
      <c r="D77" s="382"/>
      <c r="E77" s="382"/>
      <c r="F77" s="382"/>
      <c r="G77" s="382"/>
      <c r="H77" s="382"/>
      <c r="I77" s="382"/>
      <c r="J77" s="382"/>
      <c r="K77" s="382"/>
      <c r="L77" s="382"/>
      <c r="M77" s="382"/>
      <c r="N77" s="382"/>
    </row>
    <row r="78" spans="1:14" x14ac:dyDescent="0.25">
      <c r="A78" s="469" t="s">
        <v>19</v>
      </c>
      <c r="B78" s="467"/>
      <c r="C78" s="467"/>
      <c r="D78" s="464" t="s">
        <v>20</v>
      </c>
      <c r="E78" s="465"/>
      <c r="F78" s="465"/>
      <c r="G78" s="465"/>
      <c r="H78" s="465"/>
      <c r="I78" s="466" t="s">
        <v>21</v>
      </c>
      <c r="J78" s="467"/>
      <c r="K78" s="467"/>
      <c r="L78" s="387" t="s">
        <v>22</v>
      </c>
      <c r="M78" s="467"/>
      <c r="N78" s="468"/>
    </row>
    <row r="79" spans="1:14" ht="13" x14ac:dyDescent="0.25">
      <c r="A79" s="321" t="s">
        <v>49</v>
      </c>
      <c r="B79" s="391"/>
      <c r="C79" s="391"/>
      <c r="D79" s="463" t="s">
        <v>50</v>
      </c>
      <c r="E79" s="356"/>
      <c r="F79" s="356"/>
      <c r="G79" s="356"/>
      <c r="H79" s="356"/>
      <c r="I79" s="405" t="s">
        <v>51</v>
      </c>
      <c r="J79" s="393"/>
      <c r="K79" s="393"/>
      <c r="L79" s="393" t="s">
        <v>52</v>
      </c>
      <c r="M79" s="393"/>
      <c r="N79" s="404"/>
    </row>
    <row r="80" spans="1:14" ht="27" customHeight="1" x14ac:dyDescent="0.25">
      <c r="A80" s="347"/>
      <c r="B80" s="391"/>
      <c r="C80" s="391"/>
      <c r="D80" s="330" t="s">
        <v>844</v>
      </c>
      <c r="E80" s="431"/>
      <c r="F80" s="431"/>
      <c r="G80" s="431"/>
      <c r="H80" s="431"/>
      <c r="I80" s="309"/>
      <c r="J80" s="309"/>
      <c r="K80" s="309"/>
      <c r="L80" s="436" t="s">
        <v>176</v>
      </c>
      <c r="M80" s="309"/>
      <c r="N80" s="437"/>
    </row>
    <row r="81" spans="1:14" x14ac:dyDescent="0.25">
      <c r="A81" s="462" t="s">
        <v>39</v>
      </c>
      <c r="B81" s="461"/>
      <c r="C81" s="461"/>
      <c r="D81" s="419">
        <f>+M37 + D70 + F70</f>
        <v>5.3674405079146839</v>
      </c>
      <c r="E81" s="419"/>
      <c r="F81" s="419"/>
      <c r="G81" s="419"/>
      <c r="H81" s="419"/>
      <c r="I81" s="402">
        <f>+$J$10</f>
        <v>1</v>
      </c>
      <c r="J81" s="402"/>
      <c r="K81" s="402"/>
      <c r="L81" s="402">
        <f>+D81/I81</f>
        <v>5.3674405079146839</v>
      </c>
      <c r="M81" s="402"/>
      <c r="N81" s="403"/>
    </row>
    <row r="82" spans="1:14" x14ac:dyDescent="0.25">
      <c r="A82" s="462" t="s">
        <v>40</v>
      </c>
      <c r="B82" s="461"/>
      <c r="C82" s="461"/>
      <c r="D82" s="419">
        <f>+M38 + D71 + F71</f>
        <v>2.5645336825272631</v>
      </c>
      <c r="E82" s="419"/>
      <c r="F82" s="419"/>
      <c r="G82" s="419"/>
      <c r="H82" s="419"/>
      <c r="I82" s="402">
        <f>+$J$10</f>
        <v>1</v>
      </c>
      <c r="J82" s="402"/>
      <c r="K82" s="402"/>
      <c r="L82" s="402">
        <f>+D82/I82</f>
        <v>2.5645336825272631</v>
      </c>
      <c r="M82" s="402"/>
      <c r="N82" s="403"/>
    </row>
    <row r="83" spans="1:14" ht="14.5" x14ac:dyDescent="0.25">
      <c r="A83" s="401" t="s">
        <v>152</v>
      </c>
      <c r="B83" s="461"/>
      <c r="C83" s="461"/>
      <c r="D83" s="419">
        <f>+M39 + D72 + F72</f>
        <v>1.5186926135137691</v>
      </c>
      <c r="E83" s="419"/>
      <c r="F83" s="419"/>
      <c r="G83" s="419"/>
      <c r="H83" s="419"/>
      <c r="I83" s="402">
        <f>+$J$10</f>
        <v>1</v>
      </c>
      <c r="J83" s="402"/>
      <c r="K83" s="402"/>
      <c r="L83" s="402">
        <f>+D83/I83</f>
        <v>1.5186926135137691</v>
      </c>
      <c r="M83" s="402"/>
      <c r="N83" s="403"/>
    </row>
    <row r="84" spans="1:14" ht="13" thickBot="1" x14ac:dyDescent="0.3">
      <c r="A84" s="406" t="s">
        <v>41</v>
      </c>
      <c r="B84" s="407"/>
      <c r="C84" s="407"/>
      <c r="D84" s="408">
        <f>+M41</f>
        <v>2.8029068253874212</v>
      </c>
      <c r="E84" s="408"/>
      <c r="F84" s="408"/>
      <c r="G84" s="408"/>
      <c r="H84" s="408"/>
      <c r="I84" s="402">
        <f>+$J$10</f>
        <v>1</v>
      </c>
      <c r="J84" s="402"/>
      <c r="K84" s="402"/>
      <c r="L84" s="402">
        <f>+D84/I84</f>
        <v>2.8029068253874212</v>
      </c>
      <c r="M84" s="402"/>
      <c r="N84" s="403"/>
    </row>
    <row r="85" spans="1:14" x14ac:dyDescent="0.25">
      <c r="A85" s="415" t="s">
        <v>154</v>
      </c>
      <c r="B85" s="416"/>
      <c r="C85" s="416"/>
      <c r="D85" s="416"/>
      <c r="E85" s="416"/>
      <c r="F85" s="416"/>
      <c r="G85" s="416"/>
      <c r="H85" s="416"/>
      <c r="I85" s="416"/>
      <c r="J85" s="416"/>
      <c r="K85" s="416"/>
      <c r="L85" s="416"/>
      <c r="M85" s="416"/>
      <c r="N85" s="416"/>
    </row>
    <row r="86" spans="1:14" x14ac:dyDescent="0.25">
      <c r="C86" s="35"/>
      <c r="D86" s="35"/>
      <c r="E86" s="169"/>
      <c r="F86" s="169"/>
      <c r="G86" s="169"/>
      <c r="H86" s="169"/>
      <c r="I86" s="169"/>
      <c r="J86" s="169"/>
      <c r="K86" s="169"/>
      <c r="L86" s="169"/>
      <c r="M86" s="169"/>
      <c r="N86" s="169"/>
    </row>
    <row r="87" spans="1:14" x14ac:dyDescent="0.25">
      <c r="C87" s="35"/>
      <c r="D87" s="35"/>
      <c r="E87" s="169"/>
      <c r="F87" s="169"/>
      <c r="G87" s="169"/>
      <c r="H87" s="169"/>
      <c r="I87" s="169"/>
      <c r="J87" s="169"/>
      <c r="K87" s="169"/>
      <c r="L87" s="169"/>
      <c r="M87" s="169"/>
      <c r="N87" s="169"/>
    </row>
    <row r="88" spans="1:14" x14ac:dyDescent="0.25">
      <c r="C88" s="35"/>
      <c r="D88" s="35"/>
      <c r="E88" s="169"/>
      <c r="F88" s="169"/>
      <c r="G88" s="169"/>
      <c r="H88" s="169"/>
      <c r="I88" s="169"/>
      <c r="J88" s="169"/>
      <c r="K88" s="169"/>
      <c r="L88" s="169"/>
      <c r="M88" s="169"/>
      <c r="N88" s="169"/>
    </row>
    <row r="89" spans="1:14" x14ac:dyDescent="0.25">
      <c r="C89" s="35"/>
      <c r="D89" s="35"/>
      <c r="E89" s="169"/>
      <c r="F89" s="169"/>
      <c r="G89" s="169"/>
      <c r="H89" s="169"/>
      <c r="I89" s="169"/>
      <c r="J89" s="169"/>
      <c r="K89" s="169"/>
      <c r="L89" s="169"/>
      <c r="M89" s="169"/>
      <c r="N89" s="169"/>
    </row>
    <row r="90" spans="1:14" x14ac:dyDescent="0.25">
      <c r="A90" s="76"/>
      <c r="C90" s="35"/>
      <c r="D90" s="35"/>
      <c r="E90" s="169"/>
      <c r="F90" s="169"/>
      <c r="G90" s="169"/>
      <c r="H90" s="169"/>
      <c r="I90" s="169"/>
      <c r="J90" s="169"/>
      <c r="K90" s="169"/>
      <c r="L90" s="169"/>
      <c r="M90" s="169"/>
      <c r="N90" s="169"/>
    </row>
    <row r="94" spans="1:14" ht="13" x14ac:dyDescent="0.25">
      <c r="A94" s="34"/>
      <c r="B94" s="34"/>
      <c r="C94" s="34"/>
      <c r="D94" s="34"/>
      <c r="E94" s="34"/>
      <c r="F94" s="34"/>
      <c r="G94" s="34"/>
      <c r="H94" s="34"/>
      <c r="I94" s="34"/>
      <c r="J94" s="34"/>
      <c r="K94" s="34"/>
      <c r="L94" s="34"/>
      <c r="M94" s="34"/>
      <c r="N94" s="34"/>
    </row>
    <row r="95" spans="1:14" x14ac:dyDescent="0.25">
      <c r="A95" s="51"/>
      <c r="B95" s="51"/>
      <c r="C95" s="51"/>
      <c r="D95" s="51"/>
      <c r="E95" s="51"/>
      <c r="F95" s="51"/>
      <c r="G95" s="51"/>
      <c r="H95" s="51"/>
      <c r="I95" s="51"/>
      <c r="J95" s="51"/>
      <c r="K95" s="51"/>
      <c r="L95" s="51"/>
      <c r="M95" s="51"/>
      <c r="N95" s="51"/>
    </row>
    <row r="96" spans="1:14" ht="13" x14ac:dyDescent="0.25">
      <c r="A96" s="172"/>
      <c r="B96" s="172"/>
      <c r="C96" s="172"/>
      <c r="D96" s="172"/>
      <c r="E96" s="34"/>
      <c r="F96" s="34"/>
      <c r="G96" s="34"/>
      <c r="H96" s="34"/>
      <c r="I96" s="34"/>
      <c r="J96" s="34"/>
      <c r="K96" s="34"/>
      <c r="L96" s="34"/>
      <c r="M96" s="34"/>
      <c r="N96" s="34"/>
    </row>
    <row r="97" spans="1:14" ht="13" x14ac:dyDescent="0.25">
      <c r="A97" s="172"/>
      <c r="B97" s="172"/>
      <c r="C97" s="172"/>
      <c r="D97" s="172"/>
      <c r="E97" s="51"/>
      <c r="H97" s="51"/>
      <c r="I97" s="51"/>
      <c r="J97" s="51"/>
      <c r="K97" s="34"/>
      <c r="L97" s="34"/>
      <c r="M97" s="51"/>
      <c r="N97" s="51"/>
    </row>
    <row r="98" spans="1:14" x14ac:dyDescent="0.25">
      <c r="A98" s="173"/>
      <c r="B98" s="173"/>
      <c r="C98" s="173"/>
      <c r="D98" s="173"/>
      <c r="E98" s="169"/>
      <c r="F98" s="35"/>
      <c r="G98" s="35"/>
      <c r="H98" s="169"/>
      <c r="I98" s="35"/>
      <c r="J98" s="35"/>
      <c r="K98" s="35"/>
      <c r="L98" s="35"/>
      <c r="M98" s="166"/>
      <c r="N98" s="166"/>
    </row>
    <row r="99" spans="1:14" x14ac:dyDescent="0.25">
      <c r="A99" s="173"/>
      <c r="B99" s="173"/>
      <c r="C99" s="173"/>
      <c r="D99" s="173"/>
      <c r="E99" s="169"/>
      <c r="F99" s="35"/>
      <c r="G99" s="35"/>
      <c r="H99" s="169"/>
      <c r="I99" s="35"/>
      <c r="J99" s="35"/>
      <c r="K99" s="35"/>
      <c r="L99" s="35"/>
      <c r="M99" s="166"/>
      <c r="N99" s="166"/>
    </row>
    <row r="100" spans="1:14" x14ac:dyDescent="0.25">
      <c r="A100" s="173"/>
      <c r="B100" s="173"/>
      <c r="C100" s="173"/>
      <c r="D100" s="173"/>
      <c r="E100" s="169"/>
      <c r="F100" s="35"/>
      <c r="G100" s="35"/>
      <c r="H100" s="169"/>
      <c r="I100" s="35"/>
      <c r="J100" s="35"/>
      <c r="K100" s="35"/>
      <c r="L100" s="35"/>
      <c r="M100" s="166"/>
      <c r="N100" s="166"/>
    </row>
  </sheetData>
  <mergeCells count="254">
    <mergeCell ref="A73:G73"/>
    <mergeCell ref="A70:C70"/>
    <mergeCell ref="D70:E70"/>
    <mergeCell ref="F70:G70"/>
    <mergeCell ref="A71:C71"/>
    <mergeCell ref="D71:E71"/>
    <mergeCell ref="F71:G71"/>
    <mergeCell ref="A72:C72"/>
    <mergeCell ref="D72:E72"/>
    <mergeCell ref="F72:G72"/>
    <mergeCell ref="A64:G64"/>
    <mergeCell ref="A65:C65"/>
    <mergeCell ref="D65:E65"/>
    <mergeCell ref="F65:G65"/>
    <mergeCell ref="A66:C69"/>
    <mergeCell ref="D66:E67"/>
    <mergeCell ref="F66:G67"/>
    <mergeCell ref="D68:E69"/>
    <mergeCell ref="F68:G69"/>
    <mergeCell ref="K4:N4"/>
    <mergeCell ref="A7:C7"/>
    <mergeCell ref="E7:G7"/>
    <mergeCell ref="H7:J7"/>
    <mergeCell ref="K7:N7"/>
    <mergeCell ref="E6:G6"/>
    <mergeCell ref="H6:J6"/>
    <mergeCell ref="K6:N6"/>
    <mergeCell ref="A2:N2"/>
    <mergeCell ref="A3:G3"/>
    <mergeCell ref="H3:N3"/>
    <mergeCell ref="A5:C5"/>
    <mergeCell ref="E5:G5"/>
    <mergeCell ref="H5:J5"/>
    <mergeCell ref="K5:N5"/>
    <mergeCell ref="A4:C4"/>
    <mergeCell ref="E4:G4"/>
    <mergeCell ref="H4:J4"/>
    <mergeCell ref="A9:G9"/>
    <mergeCell ref="H9:I9"/>
    <mergeCell ref="J9:N9"/>
    <mergeCell ref="A6:C6"/>
    <mergeCell ref="A10:G10"/>
    <mergeCell ref="H10:I10"/>
    <mergeCell ref="J10:N10"/>
    <mergeCell ref="A8:G8"/>
    <mergeCell ref="H8:I8"/>
    <mergeCell ref="J8:N8"/>
    <mergeCell ref="H11:I11"/>
    <mergeCell ref="J11:N11"/>
    <mergeCell ref="A13:G13"/>
    <mergeCell ref="H13:I13"/>
    <mergeCell ref="J13:N13"/>
    <mergeCell ref="A12:G12"/>
    <mergeCell ref="H12:I12"/>
    <mergeCell ref="J12:N12"/>
    <mergeCell ref="A11:D11"/>
    <mergeCell ref="A14:G14"/>
    <mergeCell ref="H14:I14"/>
    <mergeCell ref="J14:N14"/>
    <mergeCell ref="A16:G16"/>
    <mergeCell ref="H16:I16"/>
    <mergeCell ref="J16:N16"/>
    <mergeCell ref="A15:G15"/>
    <mergeCell ref="H15:I15"/>
    <mergeCell ref="J15:N15"/>
    <mergeCell ref="A22:N22"/>
    <mergeCell ref="A23:B23"/>
    <mergeCell ref="C23:E23"/>
    <mergeCell ref="F23:G23"/>
    <mergeCell ref="A19:G19"/>
    <mergeCell ref="H19:I19"/>
    <mergeCell ref="J19:N19"/>
    <mergeCell ref="A17:G17"/>
    <mergeCell ref="H17:I17"/>
    <mergeCell ref="J17:N17"/>
    <mergeCell ref="A18:G18"/>
    <mergeCell ref="H18:I18"/>
    <mergeCell ref="J18:N18"/>
    <mergeCell ref="B21:M21"/>
    <mergeCell ref="A28:B28"/>
    <mergeCell ref="C28:E28"/>
    <mergeCell ref="F28:G28"/>
    <mergeCell ref="A27:B27"/>
    <mergeCell ref="C27:E27"/>
    <mergeCell ref="F27:G27"/>
    <mergeCell ref="M26:N26"/>
    <mergeCell ref="M23:N23"/>
    <mergeCell ref="H27:I27"/>
    <mergeCell ref="J27:L27"/>
    <mergeCell ref="M27:N27"/>
    <mergeCell ref="A26:B26"/>
    <mergeCell ref="C26:E26"/>
    <mergeCell ref="F26:G26"/>
    <mergeCell ref="H26:I26"/>
    <mergeCell ref="J26:L26"/>
    <mergeCell ref="A24:B25"/>
    <mergeCell ref="C24:E25"/>
    <mergeCell ref="F24:G25"/>
    <mergeCell ref="H24:I25"/>
    <mergeCell ref="J24:L25"/>
    <mergeCell ref="M24:N25"/>
    <mergeCell ref="H23:I23"/>
    <mergeCell ref="J23:L23"/>
    <mergeCell ref="A33:B33"/>
    <mergeCell ref="C33:E33"/>
    <mergeCell ref="F33:G33"/>
    <mergeCell ref="H33:I33"/>
    <mergeCell ref="J33:K33"/>
    <mergeCell ref="M34:N35"/>
    <mergeCell ref="C35:E35"/>
    <mergeCell ref="J35:K36"/>
    <mergeCell ref="F36:G36"/>
    <mergeCell ref="H36:I36"/>
    <mergeCell ref="M36:N36"/>
    <mergeCell ref="A42:N42"/>
    <mergeCell ref="A46:N46"/>
    <mergeCell ref="A47:B47"/>
    <mergeCell ref="D47:E47"/>
    <mergeCell ref="G47:H47"/>
    <mergeCell ref="J47:K47"/>
    <mergeCell ref="M47:N47"/>
    <mergeCell ref="M39:N39"/>
    <mergeCell ref="H28:I28"/>
    <mergeCell ref="J28:L28"/>
    <mergeCell ref="M28:N28"/>
    <mergeCell ref="M33:N33"/>
    <mergeCell ref="A37:B37"/>
    <mergeCell ref="F37:G37"/>
    <mergeCell ref="H37:I37"/>
    <mergeCell ref="J37:K37"/>
    <mergeCell ref="M37:N37"/>
    <mergeCell ref="A34:B36"/>
    <mergeCell ref="C34:E34"/>
    <mergeCell ref="F34:G35"/>
    <mergeCell ref="H34:I35"/>
    <mergeCell ref="J34:K34"/>
    <mergeCell ref="L34:L36"/>
    <mergeCell ref="A32:N32"/>
    <mergeCell ref="A38:B38"/>
    <mergeCell ref="F38:G38"/>
    <mergeCell ref="H38:I38"/>
    <mergeCell ref="J38:K38"/>
    <mergeCell ref="M38:N38"/>
    <mergeCell ref="M41:N41"/>
    <mergeCell ref="J40:K41"/>
    <mergeCell ref="L40:L41"/>
    <mergeCell ref="M40:N40"/>
    <mergeCell ref="A40:B41"/>
    <mergeCell ref="C40:C41"/>
    <mergeCell ref="D40:D41"/>
    <mergeCell ref="E40:E41"/>
    <mergeCell ref="F40:G41"/>
    <mergeCell ref="H40:I41"/>
    <mergeCell ref="A39:B39"/>
    <mergeCell ref="F39:G39"/>
    <mergeCell ref="H39:I39"/>
    <mergeCell ref="J39:K39"/>
    <mergeCell ref="G60:H60"/>
    <mergeCell ref="J60:K60"/>
    <mergeCell ref="M60:N60"/>
    <mergeCell ref="M55:N55"/>
    <mergeCell ref="M51:N52"/>
    <mergeCell ref="G48:H50"/>
    <mergeCell ref="I48:I50"/>
    <mergeCell ref="J53:K53"/>
    <mergeCell ref="A54:B54"/>
    <mergeCell ref="D54:E54"/>
    <mergeCell ref="G54:H54"/>
    <mergeCell ref="J54:K54"/>
    <mergeCell ref="J48:K50"/>
    <mergeCell ref="M53:N53"/>
    <mergeCell ref="A48:B52"/>
    <mergeCell ref="C48:C50"/>
    <mergeCell ref="D48:E50"/>
    <mergeCell ref="F48:F50"/>
    <mergeCell ref="L51:L52"/>
    <mergeCell ref="L48:L50"/>
    <mergeCell ref="M48:N50"/>
    <mergeCell ref="C51:C52"/>
    <mergeCell ref="G51:H52"/>
    <mergeCell ref="A53:B53"/>
    <mergeCell ref="A57:B57"/>
    <mergeCell ref="D57:E57"/>
    <mergeCell ref="G57:H57"/>
    <mergeCell ref="M57:N57"/>
    <mergeCell ref="A55:B55"/>
    <mergeCell ref="D55:E55"/>
    <mergeCell ref="G55:H55"/>
    <mergeCell ref="J55:K55"/>
    <mergeCell ref="I51:I52"/>
    <mergeCell ref="J51:K52"/>
    <mergeCell ref="D53:E53"/>
    <mergeCell ref="G53:H53"/>
    <mergeCell ref="D51:E52"/>
    <mergeCell ref="F51:F52"/>
    <mergeCell ref="A85:N85"/>
    <mergeCell ref="A77:N77"/>
    <mergeCell ref="A78:C78"/>
    <mergeCell ref="D78:H78"/>
    <mergeCell ref="L83:N83"/>
    <mergeCell ref="L81:N81"/>
    <mergeCell ref="A82:C82"/>
    <mergeCell ref="D82:H82"/>
    <mergeCell ref="I82:K82"/>
    <mergeCell ref="I83:K83"/>
    <mergeCell ref="I78:K78"/>
    <mergeCell ref="L78:N78"/>
    <mergeCell ref="A79:C80"/>
    <mergeCell ref="D79:H79"/>
    <mergeCell ref="I79:K80"/>
    <mergeCell ref="L79:N79"/>
    <mergeCell ref="D80:H80"/>
    <mergeCell ref="I81:K81"/>
    <mergeCell ref="L82:N82"/>
    <mergeCell ref="A84:C84"/>
    <mergeCell ref="D84:H84"/>
    <mergeCell ref="I84:K84"/>
    <mergeCell ref="L84:N84"/>
    <mergeCell ref="L80:N80"/>
    <mergeCell ref="A81:C81"/>
    <mergeCell ref="D81:H81"/>
    <mergeCell ref="A83:C83"/>
    <mergeCell ref="D83:H83"/>
    <mergeCell ref="M54:N54"/>
    <mergeCell ref="A58:B58"/>
    <mergeCell ref="D58:E58"/>
    <mergeCell ref="G58:H58"/>
    <mergeCell ref="J58:K58"/>
    <mergeCell ref="M58:N58"/>
    <mergeCell ref="A59:B59"/>
    <mergeCell ref="D59:E59"/>
    <mergeCell ref="G59:H59"/>
    <mergeCell ref="J59:K59"/>
    <mergeCell ref="J57:K57"/>
    <mergeCell ref="M59:N59"/>
    <mergeCell ref="A60:B60"/>
    <mergeCell ref="D60:E60"/>
    <mergeCell ref="A61:N61"/>
    <mergeCell ref="A56:B56"/>
    <mergeCell ref="D56:E56"/>
    <mergeCell ref="G56:H56"/>
    <mergeCell ref="J56:K56"/>
    <mergeCell ref="M56:N56"/>
    <mergeCell ref="R12:S12"/>
    <mergeCell ref="R17:V19"/>
    <mergeCell ref="R6:V7"/>
    <mergeCell ref="R8:S9"/>
    <mergeCell ref="T8:V8"/>
    <mergeCell ref="R15:S15"/>
    <mergeCell ref="R11:S11"/>
    <mergeCell ref="R16:S16"/>
    <mergeCell ref="R13:S13"/>
    <mergeCell ref="R10:S10"/>
    <mergeCell ref="R14:S14"/>
  </mergeCells>
  <conditionalFormatting sqref="J11:N11">
    <cfRule type="cellIs" dxfId="2" priority="1" stopIfTrue="1" operator="greaterThan">
      <formula>$F$11</formula>
    </cfRule>
  </conditionalFormatting>
  <dataValidations count="11">
    <dataValidation operator="greaterThan" allowBlank="1" showInputMessage="1" showErrorMessage="1" sqref="J9:N9" xr:uid="{00000000-0002-0000-0200-000000000000}"/>
    <dataValidation type="decimal" operator="greaterThan" allowBlank="1" showInputMessage="1" showErrorMessage="1" sqref="J10:N10" xr:uid="{00000000-0002-0000-0200-000001000000}">
      <formula1>0</formula1>
    </dataValidation>
    <dataValidation type="list" allowBlank="1" showInputMessage="1" showErrorMessage="1" sqref="J14:N14" xr:uid="{00000000-0002-0000-0200-000002000000}">
      <formula1>SType</formula1>
    </dataValidation>
    <dataValidation type="list" allowBlank="1" showInputMessage="1" showErrorMessage="1" errorTitle="Input Error" error="Select from the shoulder width options provided.  Refer to p. 11-13 of the HSM for shoulder rounding recommendations." sqref="J13:N13" xr:uid="{00000000-0002-0000-0200-000003000000}">
      <formula1>Shld2</formula1>
    </dataValidation>
    <dataValidation type="list" allowBlank="1" showInputMessage="1" showErrorMessage="1" errorTitle="Input Error" error="Select from the lane width options provided. Refer to p. 11-13 of the HSM for lane width rounding recommendations.  " sqref="J12:N12" xr:uid="{00000000-0002-0000-0200-000004000000}">
      <formula1>LWidth</formula1>
    </dataValidation>
    <dataValidation type="whole" operator="lessThanOrEqual" allowBlank="1" showInputMessage="1" showErrorMessage="1" sqref="J11:N11" xr:uid="{00000000-0002-0000-0200-000005000000}">
      <formula1>89300</formula1>
    </dataValidation>
    <dataValidation type="list" allowBlank="1" showInputMessage="1" showErrorMessage="1" sqref="J17:N17" xr:uid="{00000000-0002-0000-0200-000006000000}">
      <formula1>Lighting</formula1>
    </dataValidation>
    <dataValidation type="list" allowBlank="1" showInputMessage="1" showErrorMessage="1" errorTitle="Invalid" sqref="J18:N18" xr:uid="{00000000-0002-0000-0200-000007000000}">
      <formula1>SpEnforce</formula1>
    </dataValidation>
    <dataValidation type="list" allowBlank="1" showInputMessage="1" showErrorMessage="1" errorTitle="Input Error" error="Please select only median width options shown.  Refer to rounding criteria on p. 11-12 of the HSM for candidate median widths." sqref="J15:N15" xr:uid="{00000000-0002-0000-0200-000008000000}">
      <formula1>MWidth</formula1>
    </dataValidation>
    <dataValidation type="decimal" allowBlank="1" showInputMessage="1" showErrorMessage="1" sqref="J19:N19" xr:uid="{00000000-0002-0000-0200-000009000000}">
      <formula1>0</formula1>
      <formula2>10</formula2>
    </dataValidation>
    <dataValidation type="whole" operator="greaterThan" allowBlank="1" showInputMessage="1" showErrorMessage="1" sqref="K7:N7" xr:uid="{00000000-0002-0000-0200-00000A000000}">
      <formula1>1990</formula1>
    </dataValidation>
  </dataValidations>
  <pageMargins left="0.7" right="0.7" top="0.75" bottom="0.75" header="0.3" footer="0.3"/>
  <pageSetup orientation="portrait" r:id="rId1"/>
  <ignoredErrors>
    <ignoredError sqref="A23 C23 F23 H23 J23 M23 A33 C33 F33 H33 J33 L33:M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B2:G35"/>
  <sheetViews>
    <sheetView zoomScale="90" zoomScaleNormal="90" workbookViewId="0">
      <selection activeCell="C20" sqref="C20"/>
    </sheetView>
  </sheetViews>
  <sheetFormatPr defaultColWidth="8.7265625" defaultRowHeight="14.5" x14ac:dyDescent="0.35"/>
  <cols>
    <col min="1" max="1" width="3.81640625" style="185" customWidth="1"/>
    <col min="2" max="2" width="72.81640625" style="185" customWidth="1"/>
    <col min="3" max="4" width="54.1796875" style="185" customWidth="1"/>
    <col min="5" max="7" width="49.1796875" style="185" customWidth="1"/>
    <col min="8" max="16384" width="8.7265625" style="185"/>
  </cols>
  <sheetData>
    <row r="2" spans="2:4" ht="26" x14ac:dyDescent="0.6">
      <c r="B2" s="190" t="s">
        <v>467</v>
      </c>
    </row>
    <row r="3" spans="2:4" x14ac:dyDescent="0.35">
      <c r="C3" s="187" t="s">
        <v>466</v>
      </c>
      <c r="D3" s="187" t="s">
        <v>465</v>
      </c>
    </row>
    <row r="4" spans="2:4" x14ac:dyDescent="0.35">
      <c r="B4" s="186" t="s">
        <v>51</v>
      </c>
      <c r="C4" s="221">
        <v>1</v>
      </c>
      <c r="D4" s="186">
        <f>C4</f>
        <v>1</v>
      </c>
    </row>
    <row r="5" spans="2:4" x14ac:dyDescent="0.35">
      <c r="B5" s="186" t="s">
        <v>464</v>
      </c>
      <c r="C5" s="221" t="s">
        <v>178</v>
      </c>
      <c r="D5" s="186" t="str">
        <f>C5</f>
        <v>Divided</v>
      </c>
    </row>
    <row r="6" spans="2:4" x14ac:dyDescent="0.35">
      <c r="B6" s="186" t="s">
        <v>463</v>
      </c>
      <c r="C6" s="222">
        <v>50000</v>
      </c>
      <c r="D6" s="222">
        <v>50000</v>
      </c>
    </row>
    <row r="7" spans="2:4" x14ac:dyDescent="0.35">
      <c r="B7" s="186" t="s">
        <v>462</v>
      </c>
      <c r="C7" s="217" t="s">
        <v>662</v>
      </c>
      <c r="D7" s="217" t="s">
        <v>662</v>
      </c>
    </row>
    <row r="8" spans="2:4" x14ac:dyDescent="0.35">
      <c r="B8" s="186" t="s">
        <v>460</v>
      </c>
      <c r="C8" s="217" t="s">
        <v>662</v>
      </c>
      <c r="D8" s="217" t="str">
        <f>C8</f>
        <v>more than 900</v>
      </c>
    </row>
    <row r="9" spans="2:4" x14ac:dyDescent="0.35">
      <c r="B9" s="186" t="s">
        <v>458</v>
      </c>
      <c r="C9" s="218" t="s">
        <v>568</v>
      </c>
      <c r="D9" s="186" t="str">
        <f>C9</f>
        <v>20 or less</v>
      </c>
    </row>
    <row r="10" spans="2:4" x14ac:dyDescent="0.35">
      <c r="B10" s="186" t="s">
        <v>457</v>
      </c>
      <c r="C10" s="218" t="s">
        <v>456</v>
      </c>
      <c r="D10" s="218" t="s">
        <v>456</v>
      </c>
    </row>
    <row r="11" spans="2:4" x14ac:dyDescent="0.35">
      <c r="B11" s="186" t="s">
        <v>455</v>
      </c>
      <c r="C11" s="218" t="s">
        <v>454</v>
      </c>
      <c r="D11" s="218" t="s">
        <v>454</v>
      </c>
    </row>
    <row r="12" spans="2:4" x14ac:dyDescent="0.35">
      <c r="B12" s="186" t="s">
        <v>453</v>
      </c>
      <c r="C12" s="218" t="s">
        <v>452</v>
      </c>
      <c r="D12" s="186" t="str">
        <f>C12</f>
        <v>Straight or gently curving (advisory speed &gt;= 60 mph or curve radius &gt; 2600 ft)</v>
      </c>
    </row>
    <row r="13" spans="2:4" x14ac:dyDescent="0.35">
      <c r="B13" s="186" t="s">
        <v>451</v>
      </c>
      <c r="C13" s="218" t="s">
        <v>450</v>
      </c>
      <c r="D13" s="186" t="str">
        <f>C13</f>
        <v>Not applicable (no horizontal curve present)</v>
      </c>
    </row>
    <row r="14" spans="2:4" x14ac:dyDescent="0.35">
      <c r="B14" s="186" t="s">
        <v>449</v>
      </c>
      <c r="C14" s="218" t="s">
        <v>448</v>
      </c>
      <c r="D14" s="186" t="str">
        <f>C14</f>
        <v>0% to &lt; 7.5%</v>
      </c>
    </row>
    <row r="15" spans="2:4" x14ac:dyDescent="0.35">
      <c r="B15" s="186" t="s">
        <v>447</v>
      </c>
      <c r="C15" s="218" t="s">
        <v>446</v>
      </c>
      <c r="D15" s="218" t="s">
        <v>446</v>
      </c>
    </row>
    <row r="16" spans="2:4" x14ac:dyDescent="0.35">
      <c r="B16" s="186" t="s">
        <v>445</v>
      </c>
      <c r="C16" s="218" t="s">
        <v>415</v>
      </c>
      <c r="D16" s="218" t="s">
        <v>415</v>
      </c>
    </row>
    <row r="17" spans="2:7" x14ac:dyDescent="0.35">
      <c r="B17" s="186" t="s">
        <v>444</v>
      </c>
      <c r="C17" s="218" t="s">
        <v>440</v>
      </c>
      <c r="D17" s="218" t="s">
        <v>440</v>
      </c>
    </row>
    <row r="18" spans="2:7" x14ac:dyDescent="0.35">
      <c r="B18" s="186" t="s">
        <v>425</v>
      </c>
      <c r="C18" s="218" t="s">
        <v>424</v>
      </c>
      <c r="D18" s="218" t="s">
        <v>424</v>
      </c>
    </row>
    <row r="19" spans="2:7" x14ac:dyDescent="0.35">
      <c r="B19" s="186" t="s">
        <v>443</v>
      </c>
      <c r="C19" s="218" t="s">
        <v>417</v>
      </c>
      <c r="D19" s="186" t="str">
        <f>C19</f>
        <v>None</v>
      </c>
    </row>
    <row r="20" spans="2:7" x14ac:dyDescent="0.35">
      <c r="B20" s="186" t="s">
        <v>442</v>
      </c>
      <c r="C20" s="218" t="s">
        <v>771</v>
      </c>
      <c r="D20" s="186" t="str">
        <f>C20</f>
        <v>One side (bicycle facility present)</v>
      </c>
    </row>
    <row r="21" spans="2:7" x14ac:dyDescent="0.35">
      <c r="B21" s="186" t="s">
        <v>416</v>
      </c>
      <c r="C21" s="218" t="s">
        <v>415</v>
      </c>
      <c r="D21" s="218" t="s">
        <v>415</v>
      </c>
    </row>
    <row r="22" spans="2:7" x14ac:dyDescent="0.35">
      <c r="B22" s="186" t="s">
        <v>441</v>
      </c>
      <c r="C22" s="218" t="s">
        <v>440</v>
      </c>
      <c r="D22" s="218" t="s">
        <v>440</v>
      </c>
    </row>
    <row r="24" spans="2:7" ht="26" x14ac:dyDescent="0.6">
      <c r="B24" s="190" t="s">
        <v>439</v>
      </c>
      <c r="C24" s="189" t="s">
        <v>438</v>
      </c>
      <c r="D24" s="220">
        <v>2</v>
      </c>
    </row>
    <row r="25" spans="2:7" x14ac:dyDescent="0.35">
      <c r="C25" s="188" t="s">
        <v>437</v>
      </c>
      <c r="D25" s="188" t="s">
        <v>436</v>
      </c>
      <c r="E25" s="187" t="s">
        <v>435</v>
      </c>
      <c r="F25" s="187" t="s">
        <v>434</v>
      </c>
      <c r="G25" s="187" t="s">
        <v>433</v>
      </c>
    </row>
    <row r="26" spans="2:7" x14ac:dyDescent="0.35">
      <c r="B26" s="186" t="s">
        <v>432</v>
      </c>
      <c r="C26" s="219" t="s">
        <v>431</v>
      </c>
      <c r="D26" s="219" t="s">
        <v>431</v>
      </c>
      <c r="E26" s="219" t="s">
        <v>431</v>
      </c>
      <c r="F26" s="219" t="s">
        <v>431</v>
      </c>
      <c r="G26" s="219" t="s">
        <v>431</v>
      </c>
    </row>
    <row r="27" spans="2:7" x14ac:dyDescent="0.35">
      <c r="B27" s="186" t="s">
        <v>430</v>
      </c>
      <c r="C27" s="218" t="s">
        <v>429</v>
      </c>
      <c r="D27" s="218" t="s">
        <v>429</v>
      </c>
      <c r="E27" s="218" t="s">
        <v>429</v>
      </c>
      <c r="F27" s="218" t="s">
        <v>429</v>
      </c>
      <c r="G27" s="218" t="s">
        <v>429</v>
      </c>
    </row>
    <row r="28" spans="2:7" x14ac:dyDescent="0.35">
      <c r="B28" s="186" t="s">
        <v>428</v>
      </c>
      <c r="C28" s="218" t="s">
        <v>427</v>
      </c>
      <c r="D28" s="218" t="s">
        <v>427</v>
      </c>
      <c r="E28" s="218" t="s">
        <v>426</v>
      </c>
      <c r="F28" s="218" t="s">
        <v>426</v>
      </c>
      <c r="G28" s="218" t="s">
        <v>426</v>
      </c>
    </row>
    <row r="29" spans="2:7" x14ac:dyDescent="0.35">
      <c r="B29" s="186" t="s">
        <v>425</v>
      </c>
      <c r="C29" s="218" t="s">
        <v>424</v>
      </c>
      <c r="D29" s="218" t="s">
        <v>424</v>
      </c>
      <c r="E29" s="218" t="s">
        <v>423</v>
      </c>
      <c r="F29" s="218" t="s">
        <v>423</v>
      </c>
      <c r="G29" s="218" t="s">
        <v>423</v>
      </c>
    </row>
    <row r="30" spans="2:7" x14ac:dyDescent="0.35">
      <c r="B30" s="186" t="s">
        <v>422</v>
      </c>
      <c r="C30" s="218" t="s">
        <v>421</v>
      </c>
      <c r="D30" s="218" t="s">
        <v>421</v>
      </c>
      <c r="E30" s="218" t="s">
        <v>420</v>
      </c>
      <c r="F30" s="218" t="s">
        <v>420</v>
      </c>
      <c r="G30" s="218" t="s">
        <v>420</v>
      </c>
    </row>
    <row r="31" spans="2:7" x14ac:dyDescent="0.35">
      <c r="B31" s="186" t="s">
        <v>419</v>
      </c>
      <c r="C31" s="218" t="s">
        <v>417</v>
      </c>
      <c r="D31" s="218" t="s">
        <v>417</v>
      </c>
      <c r="E31" s="218" t="s">
        <v>417</v>
      </c>
      <c r="F31" s="218" t="s">
        <v>417</v>
      </c>
      <c r="G31" s="218" t="s">
        <v>417</v>
      </c>
    </row>
    <row r="32" spans="2:7" x14ac:dyDescent="0.35">
      <c r="B32" s="186" t="s">
        <v>418</v>
      </c>
      <c r="C32" s="218" t="s">
        <v>417</v>
      </c>
      <c r="D32" s="218" t="s">
        <v>417</v>
      </c>
      <c r="E32" s="218" t="s">
        <v>417</v>
      </c>
      <c r="F32" s="218" t="s">
        <v>417</v>
      </c>
      <c r="G32" s="218" t="s">
        <v>417</v>
      </c>
    </row>
    <row r="33" spans="2:7" x14ac:dyDescent="0.35">
      <c r="B33" s="186" t="s">
        <v>416</v>
      </c>
      <c r="C33" s="218" t="s">
        <v>415</v>
      </c>
      <c r="D33" s="218" t="s">
        <v>415</v>
      </c>
      <c r="E33" s="218" t="s">
        <v>415</v>
      </c>
      <c r="F33" s="218" t="s">
        <v>415</v>
      </c>
      <c r="G33" s="218" t="s">
        <v>415</v>
      </c>
    </row>
    <row r="34" spans="2:7" x14ac:dyDescent="0.35">
      <c r="B34" s="186" t="s">
        <v>414</v>
      </c>
      <c r="C34" s="218" t="s">
        <v>413</v>
      </c>
      <c r="D34" s="218" t="s">
        <v>413</v>
      </c>
      <c r="E34" s="218" t="s">
        <v>412</v>
      </c>
      <c r="F34" s="218" t="s">
        <v>412</v>
      </c>
      <c r="G34" s="218" t="s">
        <v>412</v>
      </c>
    </row>
    <row r="35" spans="2:7" x14ac:dyDescent="0.35">
      <c r="B35" s="186" t="s">
        <v>411</v>
      </c>
      <c r="C35" s="223">
        <v>0</v>
      </c>
      <c r="D35" s="223">
        <v>0</v>
      </c>
      <c r="E35" s="223">
        <v>0</v>
      </c>
      <c r="F35" s="223">
        <v>0</v>
      </c>
      <c r="G35" s="223">
        <v>0</v>
      </c>
    </row>
  </sheetData>
  <dataValidations count="1">
    <dataValidation type="list" allowBlank="1" showInputMessage="1" showErrorMessage="1" sqref="D24" xr:uid="{00000000-0002-0000-0300-000000000000}">
      <formula1>"0,1,2,3,4,5"</formula1>
    </dataValidation>
  </dataValidations>
  <pageMargins left="0.7" right="0.7" top="0.75" bottom="0.75" header="0.51180555555555496" footer="0.51180555555555496"/>
  <pageSetup firstPageNumber="0" orientation="portrait" horizontalDpi="300" verticalDpi="300"/>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300-000001000000}">
          <x14:formula1>
            <xm:f>'Reference Tables (Ped Segment)'!$B$160:$B$161</xm:f>
          </x14:formula1>
          <xm:sqref>C5</xm:sqref>
        </x14:dataValidation>
        <x14:dataValidation type="list" allowBlank="1" showInputMessage="1" showErrorMessage="1" xr:uid="{00000000-0002-0000-0300-000002000000}">
          <x14:formula1>
            <xm:f>'Reference Table (Bike Segment)'!$B$51:$B$55</xm:f>
          </x14:formula1>
          <xm:sqref>C20</xm:sqref>
        </x14:dataValidation>
        <x14:dataValidation type="list" allowBlank="1" showInputMessage="1" showErrorMessage="1" xr:uid="{00000000-0002-0000-0300-000003000000}">
          <x14:formula1>
            <xm:f>'Reference Tables (Ped Segment)'!$B$92:$B$94</xm:f>
          </x14:formula1>
          <xm:sqref>C32:G32</xm:sqref>
        </x14:dataValidation>
        <x14:dataValidation type="list" allowBlank="1" showInputMessage="1" showErrorMessage="1" xr:uid="{00000000-0002-0000-0300-000004000000}">
          <x14:formula1>
            <xm:f>IF($G$27='Reference Tables (Ped Segment)'!$C$22,'Reference Tables (Ped Segment)'!$B$23:$B$32,'Reference Tables (Ped Segment)'!$B$23:$B$30)</xm:f>
          </x14:formula1>
          <xm:sqref>G28</xm:sqref>
        </x14:dataValidation>
        <x14:dataValidation type="list" allowBlank="1" showInputMessage="1" showErrorMessage="1" xr:uid="{00000000-0002-0000-0300-000005000000}">
          <x14:formula1>
            <xm:f>IF($F$27='Reference Tables (Ped Segment)'!$C$22,'Reference Tables (Ped Segment)'!$B$23:$B$32,'Reference Tables (Ped Segment)'!$B$23:$B$30)</xm:f>
          </x14:formula1>
          <xm:sqref>F28</xm:sqref>
        </x14:dataValidation>
        <x14:dataValidation type="list" allowBlank="1" showInputMessage="1" showErrorMessage="1" xr:uid="{00000000-0002-0000-0300-000006000000}">
          <x14:formula1>
            <xm:f>IF($E$27='Reference Tables (Ped Segment)'!$C$22,'Reference Tables (Ped Segment)'!$B$23:$B$32,'Reference Tables (Ped Segment)'!$B$23:$B$30)</xm:f>
          </x14:formula1>
          <xm:sqref>E28</xm:sqref>
        </x14:dataValidation>
        <x14:dataValidation type="list" allowBlank="1" showInputMessage="1" showErrorMessage="1" xr:uid="{00000000-0002-0000-0300-000007000000}">
          <x14:formula1>
            <xm:f>IF($D$27='Reference Tables (Ped Segment)'!$C$22,'Reference Tables (Ped Segment)'!$B$23:$B$32,'Reference Tables (Ped Segment)'!$B$23:$B$30)</xm:f>
          </x14:formula1>
          <xm:sqref>D28</xm:sqref>
        </x14:dataValidation>
        <x14:dataValidation type="list" allowBlank="1" showInputMessage="1" showErrorMessage="1" xr:uid="{00000000-0002-0000-0300-000008000000}">
          <x14:formula1>
            <xm:f>'Reference Tables (Ped Segment)'!$B$102:$B$105</xm:f>
          </x14:formula1>
          <x14:formula2>
            <xm:f>0</xm:f>
          </x14:formula2>
          <xm:sqref>C10:D10</xm:sqref>
        </x14:dataValidation>
        <x14:dataValidation type="list" allowBlank="1" showInputMessage="1" showErrorMessage="1" xr:uid="{00000000-0002-0000-0300-000009000000}">
          <x14:formula1>
            <xm:f>IF($C$27='Reference Tables (Ped Segment)'!$C$22,'Reference Tables (Ped Segment)'!$B$23:$B$32,'Reference Tables (Ped Segment)'!$B$23:$B$30)</xm:f>
          </x14:formula1>
          <xm:sqref>C28</xm:sqref>
        </x14:dataValidation>
        <x14:dataValidation type="list" allowBlank="1" showInputMessage="1" showErrorMessage="1" xr:uid="{00000000-0002-0000-0300-00000A000000}">
          <x14:formula1>
            <xm:f>IF(D22&lt;5,"None",'Reference Tables (Ped Segment)'!$B$147:$B$157)</xm:f>
          </x14:formula1>
          <x14:formula2>
            <xm:f>0</xm:f>
          </x14:formula2>
          <xm:sqref>G26</xm:sqref>
        </x14:dataValidation>
        <x14:dataValidation type="list" allowBlank="1" showInputMessage="1" showErrorMessage="1" xr:uid="{00000000-0002-0000-0300-00000B000000}">
          <x14:formula1>
            <xm:f>IF(D22&lt;4,"None",'Reference Tables (Ped Segment)'!$B$147:$B$157)</xm:f>
          </x14:formula1>
          <x14:formula2>
            <xm:f>0</xm:f>
          </x14:formula2>
          <xm:sqref>F26</xm:sqref>
        </x14:dataValidation>
        <x14:dataValidation type="list" allowBlank="1" showInputMessage="1" showErrorMessage="1" xr:uid="{00000000-0002-0000-0300-00000C000000}">
          <x14:formula1>
            <xm:f>IF(D22&lt;3,"None",'Reference Tables (Ped Segment)'!$B$147:$B$157)</xm:f>
          </x14:formula1>
          <x14:formula2>
            <xm:f>0</xm:f>
          </x14:formula2>
          <xm:sqref>E26</xm:sqref>
        </x14:dataValidation>
        <x14:dataValidation type="list" allowBlank="1" showInputMessage="1" showErrorMessage="1" xr:uid="{00000000-0002-0000-0300-00000D000000}">
          <x14:formula1>
            <xm:f>IF(D22&lt;2,"N/A",'Reference Tables (Ped Segment)'!$B$147:$B$157)</xm:f>
          </x14:formula1>
          <x14:formula2>
            <xm:f>0</xm:f>
          </x14:formula2>
          <xm:sqref>D26</xm:sqref>
        </x14:dataValidation>
        <x14:dataValidation type="list" allowBlank="1" showInputMessage="1" showErrorMessage="1" xr:uid="{00000000-0002-0000-0300-00000E000000}">
          <x14:formula1>
            <xm:f>'Reference Tables (Ped Segment)'!$B$147:$B$157</xm:f>
          </x14:formula1>
          <x14:formula2>
            <xm:f>0</xm:f>
          </x14:formula2>
          <xm:sqref>C7:D7 C26</xm:sqref>
        </x14:dataValidation>
        <x14:dataValidation type="list" allowBlank="1" showInputMessage="1" showErrorMessage="1" xr:uid="{00000000-0002-0000-0300-00000F000000}">
          <x14:formula1>
            <xm:f>'Reference Table (Bike Segment)'!$B$4:$B$12</xm:f>
          </x14:formula1>
          <x14:formula2>
            <xm:f>0</xm:f>
          </x14:formula2>
          <xm:sqref>C22:D22</xm:sqref>
        </x14:dataValidation>
        <x14:dataValidation type="list" allowBlank="1" showInputMessage="1" showErrorMessage="1" xr:uid="{00000000-0002-0000-0300-000010000000}">
          <x14:formula1>
            <xm:f>'Reference Table (Bike Segment)'!$B$89:$B$99</xm:f>
          </x14:formula1>
          <x14:formula2>
            <xm:f>0</xm:f>
          </x14:formula2>
          <xm:sqref>C8:D8</xm:sqref>
        </x14:dataValidation>
        <x14:dataValidation type="list" allowBlank="1" showInputMessage="1" showErrorMessage="1" xr:uid="{00000000-0002-0000-0300-000011000000}">
          <x14:formula1>
            <xm:f>'Reference Tables (Ped Segment)'!$B$3:$B$12</xm:f>
          </x14:formula1>
          <x14:formula2>
            <xm:f>0</xm:f>
          </x14:formula2>
          <xm:sqref>C17:D17</xm:sqref>
        </x14:dataValidation>
        <x14:dataValidation type="list" allowBlank="1" showInputMessage="1" showErrorMessage="1" xr:uid="{00000000-0002-0000-0300-000012000000}">
          <x14:formula1>
            <xm:f>'Reference Tables (Ped Segment)'!$B$16:$B$19</xm:f>
          </x14:formula1>
          <x14:formula2>
            <xm:f>0</xm:f>
          </x14:formula2>
          <xm:sqref>C18:D18 C29:G29</xm:sqref>
        </x14:dataValidation>
        <x14:dataValidation type="list" allowBlank="1" showInputMessage="1" showErrorMessage="1" xr:uid="{00000000-0002-0000-0300-000013000000}">
          <x14:formula1>
            <xm:f>'Reference Tables (Ped Segment)'!$B$38:$B$40</xm:f>
          </x14:formula1>
          <x14:formula2>
            <xm:f>0</xm:f>
          </x14:formula2>
          <xm:sqref>C30:G30</xm:sqref>
        </x14:dataValidation>
        <x14:dataValidation type="list" allowBlank="1" showInputMessage="1" showErrorMessage="1" xr:uid="{00000000-0002-0000-0300-000014000000}">
          <x14:formula1>
            <xm:f>'Reference Tables (Ped Segment)'!$B$44:$B$46</xm:f>
          </x14:formula1>
          <x14:formula2>
            <xm:f>0</xm:f>
          </x14:formula2>
          <xm:sqref>C31:G31</xm:sqref>
        </x14:dataValidation>
        <x14:dataValidation type="list" allowBlank="1" showInputMessage="1" showErrorMessage="1" xr:uid="{00000000-0002-0000-0300-000015000000}">
          <x14:formula1>
            <xm:f>'Reference Tables (Ped Segment)'!$B$50:$B$52</xm:f>
          </x14:formula1>
          <x14:formula2>
            <xm:f>0</xm:f>
          </x14:formula2>
          <xm:sqref>C11:D11</xm:sqref>
        </x14:dataValidation>
        <x14:dataValidation type="list" allowBlank="1" showInputMessage="1" showErrorMessage="1" xr:uid="{00000000-0002-0000-0300-000016000000}">
          <x14:formula1>
            <xm:f>'Reference Tables (Ped Segment)'!$B$56:$B$59</xm:f>
          </x14:formula1>
          <x14:formula2>
            <xm:f>0</xm:f>
          </x14:formula2>
          <xm:sqref>C12</xm:sqref>
        </x14:dataValidation>
        <x14:dataValidation type="list" allowBlank="1" showInputMessage="1" showErrorMessage="1" xr:uid="{00000000-0002-0000-0300-000017000000}">
          <x14:formula1>
            <xm:f>'Reference Tables (Ped Segment)'!$B$63:$B$65</xm:f>
          </x14:formula1>
          <x14:formula2>
            <xm:f>0</xm:f>
          </x14:formula2>
          <xm:sqref>C13</xm:sqref>
        </x14:dataValidation>
        <x14:dataValidation type="list" allowBlank="1" showInputMessage="1" showErrorMessage="1" xr:uid="{00000000-0002-0000-0300-000018000000}">
          <x14:formula1>
            <xm:f>'Reference Tables (Ped Segment)'!$B$69:$B$71</xm:f>
          </x14:formula1>
          <x14:formula2>
            <xm:f>0</xm:f>
          </x14:formula2>
          <xm:sqref>C14</xm:sqref>
        </x14:dataValidation>
        <x14:dataValidation type="list" allowBlank="1" showInputMessage="1" showErrorMessage="1" xr:uid="{00000000-0002-0000-0300-000019000000}">
          <x14:formula1>
            <xm:f>'Reference Tables (Ped Segment)'!$B$75:$B$76</xm:f>
          </x14:formula1>
          <x14:formula2>
            <xm:f>0</xm:f>
          </x14:formula2>
          <xm:sqref>C15:D15</xm:sqref>
        </x14:dataValidation>
        <x14:dataValidation type="list" allowBlank="1" showInputMessage="1" showErrorMessage="1" xr:uid="{00000000-0002-0000-0300-00001A000000}">
          <x14:formula1>
            <xm:f>'Reference Tables (Ped Segment)'!$B$80:$B$81</xm:f>
          </x14:formula1>
          <x14:formula2>
            <xm:f>0</xm:f>
          </x14:formula2>
          <xm:sqref>C16:D16</xm:sqref>
        </x14:dataValidation>
        <x14:dataValidation type="list" allowBlank="1" showInputMessage="1" showErrorMessage="1" xr:uid="{00000000-0002-0000-0300-00001B000000}">
          <x14:formula1>
            <xm:f>'Reference Tables (Ped Segment)'!$B$85:$B$89</xm:f>
          </x14:formula1>
          <x14:formula2>
            <xm:f>0</xm:f>
          </x14:formula2>
          <xm:sqref>E21:G22 D19:G20 C19</xm:sqref>
        </x14:dataValidation>
        <x14:dataValidation type="list" allowBlank="1" showInputMessage="1" showErrorMessage="1" xr:uid="{00000000-0002-0000-0300-00001C000000}">
          <x14:formula1>
            <xm:f>'Reference Tables (Ped Segment)'!$B$97:$B$98</xm:f>
          </x14:formula1>
          <x14:formula2>
            <xm:f>0</xm:f>
          </x14:formula2>
          <xm:sqref>C21:D21 C33:G33</xm:sqref>
        </x14:dataValidation>
        <x14:dataValidation type="list" allowBlank="1" showInputMessage="1" showErrorMessage="1" xr:uid="{00000000-0002-0000-0300-00001D000000}">
          <x14:formula1>
            <xm:f>'Reference Tables (Ped Segment)'!$B$112:$B$118</xm:f>
          </x14:formula1>
          <x14:formula2>
            <xm:f>0</xm:f>
          </x14:formula2>
          <xm:sqref>C34:G34</xm:sqref>
        </x14:dataValidation>
        <x14:dataValidation type="list" allowBlank="1" showInputMessage="1" showErrorMessage="1" xr:uid="{00000000-0002-0000-0300-00001E000000}">
          <x14:formula1>
            <xm:f>'Reference Tables (Ped Segment)'!$B$129:$B$143</xm:f>
          </x14:formula1>
          <x14:formula2>
            <xm:f>0</xm:f>
          </x14:formula2>
          <xm:sqref>C9</xm:sqref>
        </x14:dataValidation>
        <x14:dataValidation type="list" allowBlank="1" showInputMessage="1" showErrorMessage="1" xr:uid="{00000000-0002-0000-0300-00001F000000}">
          <x14:formula1>
            <xm:f>'Reference Tables (Ped Segment)'!$C$22:$E$22</xm:f>
          </x14:formula1>
          <x14:formula2>
            <xm:f>0</xm:f>
          </x14:formula2>
          <xm:sqref>C27:G27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BF92"/>
  <sheetViews>
    <sheetView topLeftCell="A37" zoomScaleNormal="100" workbookViewId="0">
      <selection activeCell="B18" sqref="B18:L18"/>
    </sheetView>
  </sheetViews>
  <sheetFormatPr defaultRowHeight="12.5" x14ac:dyDescent="0.25"/>
  <cols>
    <col min="1" max="1" width="14.26953125" customWidth="1"/>
    <col min="2" max="2" width="15.81640625" customWidth="1"/>
    <col min="3" max="3" width="14.26953125" customWidth="1"/>
    <col min="4" max="4" width="12" customWidth="1"/>
    <col min="5" max="5" width="13.1796875" customWidth="1"/>
    <col min="6" max="6" width="13.26953125" customWidth="1"/>
    <col min="7" max="7" width="12.26953125" customWidth="1"/>
    <col min="8" max="8" width="13.81640625" customWidth="1"/>
    <col min="9" max="9" width="18.453125" customWidth="1"/>
    <col min="10" max="10" width="15.7265625" customWidth="1"/>
    <col min="11" max="11" width="15.54296875" customWidth="1"/>
    <col min="12" max="12" width="17.453125" customWidth="1"/>
    <col min="13" max="13" width="14.54296875" customWidth="1"/>
    <col min="15" max="15" width="61.1796875" customWidth="1"/>
    <col min="16" max="16" width="11.1796875" customWidth="1"/>
    <col min="17" max="17" width="11" customWidth="1"/>
    <col min="18" max="18" width="10.7265625" customWidth="1"/>
    <col min="19" max="19" width="12.1796875" customWidth="1"/>
    <col min="20" max="20" width="10.81640625" customWidth="1"/>
    <col min="21" max="21" width="12" customWidth="1"/>
    <col min="22" max="22" width="10.81640625" customWidth="1"/>
    <col min="25" max="25" width="12.1796875" customWidth="1"/>
    <col min="26" max="26" width="10.81640625" customWidth="1"/>
    <col min="27" max="27" width="11.1796875" customWidth="1"/>
    <col min="28" max="28" width="13" customWidth="1"/>
    <col min="29" max="29" width="10.26953125" customWidth="1"/>
    <col min="30" max="30" width="11.54296875" customWidth="1"/>
    <col min="39" max="39" width="11" customWidth="1"/>
    <col min="40" max="40" width="12.453125" customWidth="1"/>
    <col min="41" max="41" width="10.453125" customWidth="1"/>
    <col min="42" max="42" width="10.7265625" customWidth="1"/>
    <col min="43" max="43" width="12.453125" customWidth="1"/>
    <col min="44" max="44" width="10.453125" customWidth="1"/>
    <col min="45" max="45" width="11.7265625" customWidth="1"/>
    <col min="46" max="46" width="10.453125" customWidth="1"/>
    <col min="49" max="49" width="10.1796875" customWidth="1"/>
  </cols>
  <sheetData>
    <row r="1" spans="1:58" ht="13" thickBot="1" x14ac:dyDescent="0.3">
      <c r="Q1" s="6"/>
      <c r="T1" s="1"/>
      <c r="Z1" s="7"/>
    </row>
    <row r="2" spans="1:58" ht="14.25" customHeight="1" thickTop="1" thickBot="1" x14ac:dyDescent="0.35">
      <c r="A2" s="382" t="s">
        <v>208</v>
      </c>
      <c r="B2" s="383"/>
      <c r="C2" s="383"/>
      <c r="D2" s="592"/>
      <c r="E2" s="592"/>
      <c r="F2" s="592"/>
      <c r="G2" s="592"/>
      <c r="H2" s="592"/>
      <c r="I2" s="592"/>
      <c r="J2" s="592"/>
      <c r="K2" s="592"/>
      <c r="L2" s="592"/>
      <c r="M2" s="592"/>
      <c r="P2" s="56"/>
      <c r="AB2" s="4"/>
      <c r="AC2" s="4"/>
      <c r="AD2" s="4"/>
      <c r="AM2" s="4"/>
      <c r="AW2" s="4"/>
      <c r="AX2" s="4"/>
      <c r="AY2" s="4"/>
      <c r="AZ2" s="4"/>
      <c r="BA2" s="4"/>
      <c r="BB2" s="4"/>
      <c r="BC2" s="4"/>
      <c r="BD2" s="4"/>
      <c r="BE2" s="4"/>
      <c r="BF2" s="4"/>
    </row>
    <row r="3" spans="1:58" ht="13" x14ac:dyDescent="0.3">
      <c r="A3" s="299" t="s">
        <v>0</v>
      </c>
      <c r="B3" s="643"/>
      <c r="C3" s="643"/>
      <c r="D3" s="643"/>
      <c r="E3" s="643"/>
      <c r="F3" s="644"/>
      <c r="G3" s="645" t="s">
        <v>11</v>
      </c>
      <c r="H3" s="646"/>
      <c r="I3" s="646"/>
      <c r="J3" s="646"/>
      <c r="K3" s="646"/>
      <c r="L3" s="646"/>
      <c r="M3" s="646"/>
      <c r="P3" s="1"/>
      <c r="AB3" s="1"/>
      <c r="AC3" s="1"/>
      <c r="AD3" s="1"/>
      <c r="AW3" s="4"/>
      <c r="AX3" s="4"/>
      <c r="AY3" s="4"/>
      <c r="AZ3" s="4"/>
      <c r="BA3" s="4"/>
      <c r="BB3" s="4"/>
      <c r="BC3" s="4"/>
      <c r="BD3" s="4"/>
      <c r="BE3" s="4"/>
      <c r="BF3" s="4"/>
    </row>
    <row r="4" spans="1:58" ht="13" x14ac:dyDescent="0.3">
      <c r="A4" s="650" t="s">
        <v>1</v>
      </c>
      <c r="B4" s="650"/>
      <c r="C4" s="554"/>
      <c r="D4" s="648" t="s">
        <v>371</v>
      </c>
      <c r="E4" s="649"/>
      <c r="F4" s="651"/>
      <c r="G4" s="655" t="s">
        <v>12</v>
      </c>
      <c r="H4" s="650"/>
      <c r="I4" s="554"/>
      <c r="J4" s="648" t="s">
        <v>374</v>
      </c>
      <c r="K4" s="649"/>
      <c r="L4" s="649"/>
      <c r="M4" s="649"/>
      <c r="P4" s="8"/>
      <c r="AB4" s="56"/>
      <c r="AC4" s="56"/>
      <c r="AD4" s="56"/>
      <c r="AM4" s="4"/>
      <c r="AN4" s="4"/>
      <c r="AO4" s="4"/>
      <c r="AP4" s="1"/>
      <c r="AQ4" s="4"/>
      <c r="AR4" s="1"/>
      <c r="AS4" s="1"/>
      <c r="AT4" s="1"/>
      <c r="AW4" s="4"/>
      <c r="AX4" s="4"/>
      <c r="AY4" s="4"/>
      <c r="AZ4" s="4"/>
      <c r="BA4" s="4"/>
      <c r="BB4" s="4"/>
      <c r="BC4" s="4"/>
      <c r="BD4" s="4"/>
      <c r="BE4" s="4"/>
      <c r="BF4" s="4"/>
    </row>
    <row r="5" spans="1:58" ht="13" x14ac:dyDescent="0.3">
      <c r="A5" s="643" t="s">
        <v>2</v>
      </c>
      <c r="B5" s="643"/>
      <c r="C5" s="644"/>
      <c r="D5" s="652" t="s">
        <v>372</v>
      </c>
      <c r="E5" s="653"/>
      <c r="F5" s="654"/>
      <c r="G5" s="657" t="s">
        <v>91</v>
      </c>
      <c r="H5" s="643"/>
      <c r="I5" s="644"/>
      <c r="J5" s="658" t="s">
        <v>377</v>
      </c>
      <c r="K5" s="653"/>
      <c r="L5" s="653"/>
      <c r="M5" s="653"/>
      <c r="AB5" s="4"/>
      <c r="AC5" s="4"/>
      <c r="AD5" s="4"/>
      <c r="AM5" s="4"/>
      <c r="AN5" s="4"/>
      <c r="AO5" s="1"/>
      <c r="AP5" s="1"/>
      <c r="AQ5" s="1"/>
      <c r="AR5" s="1"/>
      <c r="AS5" s="1"/>
      <c r="AT5" s="1"/>
      <c r="AW5" s="4"/>
      <c r="AX5" s="4"/>
      <c r="AY5" s="4"/>
      <c r="AZ5" s="4"/>
      <c r="BA5" s="4"/>
      <c r="BB5" s="4"/>
      <c r="BC5" s="4"/>
      <c r="BD5" s="4"/>
      <c r="BE5" s="4"/>
      <c r="BF5" s="4"/>
    </row>
    <row r="6" spans="1:58" ht="12.75" customHeight="1" x14ac:dyDescent="0.3">
      <c r="A6" s="643" t="s">
        <v>3</v>
      </c>
      <c r="B6" s="643"/>
      <c r="C6" s="644"/>
      <c r="D6" s="656" t="s">
        <v>373</v>
      </c>
      <c r="E6" s="653"/>
      <c r="F6" s="654"/>
      <c r="G6" s="647" t="s">
        <v>14</v>
      </c>
      <c r="H6" s="643"/>
      <c r="I6" s="644"/>
      <c r="J6" s="658" t="s">
        <v>376</v>
      </c>
      <c r="K6" s="653"/>
      <c r="L6" s="653"/>
      <c r="M6" s="653"/>
      <c r="AB6" s="1"/>
      <c r="AC6" s="4"/>
      <c r="AD6" s="1"/>
      <c r="AM6" s="1"/>
      <c r="AN6" s="1"/>
      <c r="AO6" s="1"/>
      <c r="AP6" s="1"/>
      <c r="AQ6" s="82"/>
      <c r="AR6" s="82"/>
      <c r="AS6" s="82"/>
      <c r="AT6" s="82"/>
      <c r="AW6" s="22"/>
      <c r="AX6" s="26"/>
      <c r="AY6" s="26"/>
      <c r="AZ6" s="26"/>
      <c r="BA6" s="26"/>
      <c r="BB6" s="26"/>
      <c r="BC6" s="26"/>
      <c r="BD6" s="26"/>
      <c r="BE6" s="26"/>
      <c r="BF6" s="26"/>
    </row>
    <row r="7" spans="1:58" x14ac:dyDescent="0.25">
      <c r="A7" s="643"/>
      <c r="B7" s="643"/>
      <c r="C7" s="644"/>
      <c r="D7" s="647"/>
      <c r="E7" s="643"/>
      <c r="F7" s="644"/>
      <c r="G7" s="647" t="s">
        <v>15</v>
      </c>
      <c r="H7" s="643"/>
      <c r="I7" s="644"/>
      <c r="J7" s="659">
        <v>2019</v>
      </c>
      <c r="K7" s="660"/>
      <c r="L7" s="660"/>
      <c r="M7" s="660"/>
      <c r="P7" s="45"/>
      <c r="AB7" s="1"/>
      <c r="AC7" s="1"/>
      <c r="AD7" s="1"/>
      <c r="AM7" s="1"/>
      <c r="AN7" s="1"/>
      <c r="AO7" s="1"/>
      <c r="AP7" s="1"/>
      <c r="AQ7" s="83"/>
      <c r="AR7" s="83"/>
      <c r="AS7" s="83"/>
      <c r="AT7" s="83"/>
      <c r="AW7" s="22"/>
      <c r="AX7" s="26"/>
      <c r="AY7" s="26"/>
      <c r="AZ7" s="26"/>
      <c r="BA7" s="26"/>
      <c r="BB7" s="26"/>
      <c r="BC7" s="26"/>
      <c r="BD7" s="26"/>
      <c r="BE7" s="26"/>
      <c r="BF7" s="26"/>
    </row>
    <row r="8" spans="1:58" ht="13" x14ac:dyDescent="0.3">
      <c r="A8" s="633" t="s">
        <v>4</v>
      </c>
      <c r="B8" s="626"/>
      <c r="C8" s="626"/>
      <c r="D8" s="626"/>
      <c r="E8" s="626"/>
      <c r="F8" s="501"/>
      <c r="G8" s="634" t="s">
        <v>16</v>
      </c>
      <c r="H8" s="501"/>
      <c r="I8" s="634" t="s">
        <v>18</v>
      </c>
      <c r="J8" s="626"/>
      <c r="K8" s="626"/>
      <c r="L8" s="626"/>
      <c r="M8" s="626"/>
      <c r="P8" s="8"/>
      <c r="AM8" s="25"/>
      <c r="AN8" s="1"/>
      <c r="AO8" s="49"/>
      <c r="AP8" s="1"/>
      <c r="AQ8" s="81"/>
      <c r="AR8" s="81"/>
      <c r="AS8" s="84"/>
      <c r="AT8" s="84"/>
      <c r="AW8" s="22"/>
      <c r="AX8" s="26"/>
      <c r="AY8" s="26"/>
      <c r="AZ8" s="26"/>
      <c r="BA8" s="26"/>
      <c r="BB8" s="26"/>
      <c r="BC8" s="26"/>
      <c r="BD8" s="26"/>
      <c r="BE8" s="26"/>
      <c r="BF8" s="26"/>
    </row>
    <row r="9" spans="1:58" ht="13.5" thickBot="1" x14ac:dyDescent="0.35">
      <c r="A9" s="625" t="s">
        <v>92</v>
      </c>
      <c r="B9" s="626"/>
      <c r="C9" s="626"/>
      <c r="D9" s="626"/>
      <c r="E9" s="626"/>
      <c r="F9" s="501"/>
      <c r="G9" s="640" t="s">
        <v>17</v>
      </c>
      <c r="H9" s="554"/>
      <c r="I9" s="641" t="s">
        <v>101</v>
      </c>
      <c r="J9" s="642"/>
      <c r="K9" s="642"/>
      <c r="L9" s="642"/>
      <c r="M9" s="642"/>
      <c r="O9" s="126" t="str">
        <f>IF($I$9="3ST","Unsignalized three-leg (stop control on minor-road approaches)",IF($I$9="4ST","Unsignalized four-leg (stop control on minor-road approaches)","Signalized four-leg"))</f>
        <v>Signalized four-leg</v>
      </c>
      <c r="P9" s="7"/>
      <c r="AB9" s="10"/>
      <c r="AC9" s="10"/>
      <c r="AD9" s="10"/>
      <c r="AM9" s="1"/>
      <c r="AN9" s="1"/>
      <c r="AO9" s="1"/>
      <c r="AP9" s="1"/>
      <c r="AQ9" s="81"/>
      <c r="AR9" s="81"/>
      <c r="AS9" s="81"/>
      <c r="AT9" s="81"/>
      <c r="AW9" s="22"/>
      <c r="AX9" s="26"/>
      <c r="AY9" s="26"/>
      <c r="AZ9" s="26"/>
      <c r="BA9" s="26"/>
      <c r="BB9" s="26"/>
      <c r="BC9" s="26"/>
      <c r="BD9" s="26"/>
      <c r="BE9" s="26"/>
      <c r="BF9" s="26"/>
    </row>
    <row r="10" spans="1:58" ht="16" thickBot="1" x14ac:dyDescent="0.45">
      <c r="A10" s="625" t="s">
        <v>93</v>
      </c>
      <c r="B10" s="626"/>
      <c r="C10" s="639"/>
      <c r="D10" s="121" t="s">
        <v>334</v>
      </c>
      <c r="E10" s="122">
        <f>IF($I$9="3ST",78300,IF($I$9="4ST",78300,43500))</f>
        <v>43500</v>
      </c>
      <c r="F10" s="123" t="s">
        <v>335</v>
      </c>
      <c r="G10" s="637" t="s">
        <v>17</v>
      </c>
      <c r="H10" s="501"/>
      <c r="I10" s="525">
        <v>40000</v>
      </c>
      <c r="J10" s="638"/>
      <c r="K10" s="638"/>
      <c r="L10" s="638"/>
      <c r="M10" s="638"/>
      <c r="N10" s="124" t="str">
        <f>IF(I10&gt;E10,"AADT out of range","AADT OK")</f>
        <v>AADT OK</v>
      </c>
      <c r="P10" s="7"/>
      <c r="AB10" s="10"/>
      <c r="AC10" s="10"/>
      <c r="AD10" s="10"/>
      <c r="AM10" s="50"/>
      <c r="AN10" s="35"/>
      <c r="AO10" s="49"/>
      <c r="AP10" s="1"/>
      <c r="AQ10" s="81"/>
      <c r="AR10" s="81"/>
      <c r="AS10" s="84"/>
      <c r="AT10" s="84"/>
      <c r="AW10" s="77"/>
    </row>
    <row r="11" spans="1:58" ht="16" thickBot="1" x14ac:dyDescent="0.45">
      <c r="A11" s="625" t="s">
        <v>94</v>
      </c>
      <c r="B11" s="626"/>
      <c r="C11" s="639"/>
      <c r="D11" s="121" t="s">
        <v>334</v>
      </c>
      <c r="E11" s="122">
        <f>IF($I$9="3ST",23000,IF($I$9="4ST",7400,18500))</f>
        <v>18500</v>
      </c>
      <c r="F11" s="123" t="s">
        <v>335</v>
      </c>
      <c r="G11" s="637" t="s">
        <v>17</v>
      </c>
      <c r="H11" s="501"/>
      <c r="I11" s="525">
        <v>5000</v>
      </c>
      <c r="J11" s="638"/>
      <c r="K11" s="638"/>
      <c r="L11" s="638"/>
      <c r="M11" s="638"/>
      <c r="N11" s="124" t="str">
        <f>IF(I11&gt;E11,"AADT out of range","AADT OK")</f>
        <v>AADT OK</v>
      </c>
      <c r="P11" s="7"/>
      <c r="AB11" s="10"/>
      <c r="AC11" s="10"/>
      <c r="AD11" s="10"/>
      <c r="AM11" s="35"/>
      <c r="AN11" s="35"/>
      <c r="AO11" s="1"/>
      <c r="AP11" s="1"/>
      <c r="AQ11" s="81"/>
      <c r="AR11" s="81"/>
      <c r="AS11" s="81"/>
      <c r="AT11" s="81"/>
    </row>
    <row r="12" spans="1:58" ht="13" x14ac:dyDescent="0.3">
      <c r="A12" s="625" t="s">
        <v>95</v>
      </c>
      <c r="B12" s="626"/>
      <c r="C12" s="626"/>
      <c r="D12" s="626"/>
      <c r="E12" s="626"/>
      <c r="F12" s="501"/>
      <c r="G12" s="552">
        <v>0</v>
      </c>
      <c r="H12" s="501"/>
      <c r="I12" s="525">
        <v>0</v>
      </c>
      <c r="J12" s="526"/>
      <c r="K12" s="526"/>
      <c r="L12" s="526"/>
      <c r="M12" s="526"/>
      <c r="O12" s="127" t="s">
        <v>338</v>
      </c>
      <c r="P12" s="7"/>
      <c r="AB12" s="10"/>
      <c r="AC12" s="10"/>
      <c r="AD12" s="10"/>
      <c r="AM12" s="35"/>
      <c r="AN12" s="35"/>
      <c r="AO12" s="49"/>
      <c r="AP12" s="26"/>
      <c r="AQ12" s="26"/>
      <c r="AR12" s="26"/>
      <c r="AS12" s="26"/>
      <c r="AT12" s="26"/>
    </row>
    <row r="13" spans="1:58" x14ac:dyDescent="0.25">
      <c r="A13" s="625" t="s">
        <v>226</v>
      </c>
      <c r="B13" s="626"/>
      <c r="C13" s="626"/>
      <c r="D13" s="626"/>
      <c r="E13" s="626"/>
      <c r="F13" s="501"/>
      <c r="G13" s="636">
        <v>0</v>
      </c>
      <c r="H13" s="501"/>
      <c r="I13" s="628">
        <v>0</v>
      </c>
      <c r="J13" s="629"/>
      <c r="K13" s="629"/>
      <c r="L13" s="629"/>
      <c r="M13" s="629"/>
      <c r="P13" s="7"/>
      <c r="AB13" s="10"/>
      <c r="AC13" s="10"/>
      <c r="AD13" s="10"/>
      <c r="AM13" s="75"/>
      <c r="AN13" s="75"/>
      <c r="AO13" s="17"/>
      <c r="AP13" s="17"/>
      <c r="AQ13" s="17"/>
      <c r="AR13" s="17"/>
      <c r="AS13" s="17"/>
      <c r="AT13" s="17"/>
    </row>
    <row r="14" spans="1:58" x14ac:dyDescent="0.25">
      <c r="A14" s="625" t="s">
        <v>292</v>
      </c>
      <c r="B14" s="626"/>
      <c r="C14" s="626"/>
      <c r="D14" s="626"/>
      <c r="E14" s="626"/>
      <c r="F14" s="501"/>
      <c r="G14" s="552">
        <v>0</v>
      </c>
      <c r="H14" s="501"/>
      <c r="I14" s="635">
        <v>0</v>
      </c>
      <c r="J14" s="629"/>
      <c r="K14" s="629"/>
      <c r="L14" s="629"/>
      <c r="M14" s="629"/>
      <c r="P14" s="7"/>
      <c r="AB14" s="10"/>
      <c r="AC14" s="10"/>
      <c r="AD14" s="10"/>
      <c r="AM14" s="17"/>
      <c r="AN14" s="17"/>
      <c r="AO14" s="17"/>
      <c r="AP14" s="17"/>
      <c r="AQ14" s="17"/>
      <c r="AR14" s="17"/>
      <c r="AS14" s="17"/>
      <c r="AT14" s="17"/>
      <c r="AW14" s="22"/>
      <c r="BA14" s="26"/>
    </row>
    <row r="15" spans="1:58" x14ac:dyDescent="0.25">
      <c r="A15" s="625" t="s">
        <v>96</v>
      </c>
      <c r="B15" s="626"/>
      <c r="C15" s="626"/>
      <c r="D15" s="626"/>
      <c r="E15" s="626"/>
      <c r="F15" s="501"/>
      <c r="G15" s="627" t="s">
        <v>72</v>
      </c>
      <c r="H15" s="501"/>
      <c r="I15" s="628" t="s">
        <v>72</v>
      </c>
      <c r="J15" s="629"/>
      <c r="K15" s="629"/>
      <c r="L15" s="629"/>
      <c r="M15" s="629"/>
      <c r="P15" s="7"/>
      <c r="AB15" s="10"/>
      <c r="AC15" s="10"/>
      <c r="AD15" s="10"/>
      <c r="AM15" s="17"/>
      <c r="AN15" s="75"/>
      <c r="AO15" s="17"/>
      <c r="AP15" s="17"/>
      <c r="AQ15" s="17"/>
      <c r="AR15" s="17"/>
      <c r="AS15" s="17"/>
      <c r="AT15" s="17"/>
    </row>
    <row r="16" spans="1:58" ht="16" thickBot="1" x14ac:dyDescent="0.45">
      <c r="A16" s="618" t="s">
        <v>97</v>
      </c>
      <c r="B16" s="619"/>
      <c r="C16" s="619"/>
      <c r="D16" s="619"/>
      <c r="E16" s="619"/>
      <c r="F16" s="620"/>
      <c r="G16" s="621">
        <v>1</v>
      </c>
      <c r="H16" s="622"/>
      <c r="I16" s="623">
        <v>1</v>
      </c>
      <c r="J16" s="624"/>
      <c r="K16" s="624"/>
      <c r="L16" s="624"/>
      <c r="M16" s="624"/>
      <c r="P16" s="58"/>
      <c r="AB16" s="10"/>
      <c r="AC16" s="10"/>
      <c r="AD16" s="10"/>
      <c r="AM16" s="17"/>
      <c r="AN16" s="17"/>
      <c r="AO16" s="17"/>
      <c r="AP16" s="17"/>
      <c r="AQ16" s="17"/>
      <c r="AR16" s="17"/>
      <c r="AS16" s="17"/>
      <c r="AT16" s="17"/>
      <c r="AW16" s="22"/>
      <c r="BA16" s="26"/>
    </row>
    <row r="17" spans="1:46" ht="13" thickTop="1" x14ac:dyDescent="0.25">
      <c r="A17" s="21"/>
      <c r="B17" s="21"/>
      <c r="C17" s="21"/>
      <c r="D17" s="21"/>
      <c r="E17" s="21"/>
      <c r="F17" s="21"/>
      <c r="G17" s="27"/>
      <c r="H17" s="28"/>
      <c r="I17" s="29"/>
      <c r="J17" s="21"/>
      <c r="K17" s="21"/>
      <c r="L17" s="21"/>
      <c r="M17" s="21"/>
      <c r="P17" s="57"/>
      <c r="AB17" s="10"/>
      <c r="AC17" s="10"/>
      <c r="AD17" s="10"/>
    </row>
    <row r="18" spans="1:46" ht="20.5" thickBot="1" x14ac:dyDescent="0.45">
      <c r="B18" s="632" t="s">
        <v>894</v>
      </c>
      <c r="C18" s="632"/>
      <c r="D18" s="632"/>
      <c r="E18" s="632"/>
      <c r="F18" s="632"/>
      <c r="G18" s="632"/>
      <c r="H18" s="632"/>
      <c r="I18" s="632"/>
      <c r="J18" s="632"/>
      <c r="K18" s="632"/>
      <c r="L18" s="632"/>
      <c r="P18" s="56"/>
      <c r="AB18" s="1"/>
      <c r="AC18" s="1"/>
      <c r="AD18" s="1"/>
      <c r="AE18" s="1"/>
      <c r="AF18" s="1"/>
      <c r="AG18" s="1"/>
      <c r="AH18" s="1"/>
      <c r="AI18" s="1"/>
      <c r="AJ18" s="1"/>
      <c r="AM18" s="4"/>
      <c r="AN18" s="4"/>
      <c r="AO18" s="4"/>
      <c r="AP18" s="4"/>
      <c r="AQ18" s="4"/>
      <c r="AR18" s="1"/>
      <c r="AS18" s="1"/>
      <c r="AT18" s="1"/>
    </row>
    <row r="19" spans="1:46" ht="14" thickTop="1" thickBot="1" x14ac:dyDescent="0.35">
      <c r="A19" s="333" t="s">
        <v>209</v>
      </c>
      <c r="B19" s="334"/>
      <c r="C19" s="334"/>
      <c r="D19" s="334"/>
      <c r="E19" s="334"/>
      <c r="F19" s="334"/>
      <c r="G19" s="334"/>
      <c r="H19" s="334"/>
      <c r="I19" s="334"/>
      <c r="J19" s="334"/>
      <c r="K19" s="334"/>
      <c r="L19" s="334"/>
      <c r="M19" s="334"/>
      <c r="P19" s="4"/>
      <c r="AB19" s="1"/>
      <c r="AC19" s="1"/>
      <c r="AD19" s="1"/>
      <c r="AE19" s="1"/>
      <c r="AF19" s="1"/>
      <c r="AG19" s="1"/>
      <c r="AH19" s="1"/>
      <c r="AI19" s="1"/>
      <c r="AJ19" s="1"/>
      <c r="AM19" s="4"/>
      <c r="AN19" s="4"/>
      <c r="AO19" s="4"/>
      <c r="AP19" s="4"/>
      <c r="AQ19" s="4"/>
      <c r="AR19" s="1"/>
      <c r="AS19" s="1"/>
      <c r="AT19" s="1"/>
    </row>
    <row r="20" spans="1:46" ht="13" x14ac:dyDescent="0.3">
      <c r="A20" s="630" t="s">
        <v>19</v>
      </c>
      <c r="B20" s="631"/>
      <c r="C20" s="427" t="s">
        <v>20</v>
      </c>
      <c r="D20" s="537"/>
      <c r="E20" s="594"/>
      <c r="F20" s="426" t="s">
        <v>21</v>
      </c>
      <c r="G20" s="566"/>
      <c r="H20" s="427" t="s">
        <v>22</v>
      </c>
      <c r="I20" s="594"/>
      <c r="J20" s="427" t="s">
        <v>23</v>
      </c>
      <c r="K20" s="594"/>
      <c r="L20" s="426" t="s">
        <v>24</v>
      </c>
      <c r="M20" s="567"/>
      <c r="P20" s="8"/>
      <c r="AB20" s="56"/>
      <c r="AC20" s="56"/>
      <c r="AD20" s="56"/>
      <c r="AE20" s="56"/>
      <c r="AF20" s="56"/>
      <c r="AG20" s="56"/>
      <c r="AH20" s="56"/>
      <c r="AI20" s="56"/>
      <c r="AJ20" s="56"/>
      <c r="AM20" s="4"/>
      <c r="AN20" s="4"/>
      <c r="AO20" s="4"/>
      <c r="AP20" s="1"/>
      <c r="AQ20" s="4"/>
      <c r="AR20" s="1"/>
      <c r="AS20" s="1"/>
      <c r="AT20" s="1"/>
    </row>
    <row r="21" spans="1:46" ht="15.5" x14ac:dyDescent="0.4">
      <c r="A21" s="604" t="s">
        <v>36</v>
      </c>
      <c r="B21" s="605"/>
      <c r="C21" s="541" t="s">
        <v>211</v>
      </c>
      <c r="D21" s="595"/>
      <c r="E21" s="596"/>
      <c r="F21" s="538" t="s">
        <v>105</v>
      </c>
      <c r="G21" s="539"/>
      <c r="H21" s="541" t="s">
        <v>106</v>
      </c>
      <c r="I21" s="542"/>
      <c r="J21" s="541" t="s">
        <v>33</v>
      </c>
      <c r="K21" s="542"/>
      <c r="L21" s="532" t="s">
        <v>290</v>
      </c>
      <c r="M21" s="533"/>
      <c r="AB21" s="42"/>
      <c r="AC21" s="42"/>
      <c r="AD21" s="42"/>
      <c r="AE21" s="42"/>
      <c r="AF21" s="42"/>
      <c r="AG21" s="42"/>
      <c r="AH21" s="42"/>
      <c r="AI21" s="42"/>
      <c r="AJ21" s="42"/>
      <c r="AM21" s="4"/>
      <c r="AN21" s="4"/>
      <c r="AO21" s="1"/>
      <c r="AP21" s="1"/>
      <c r="AQ21" s="1"/>
      <c r="AR21" s="1"/>
      <c r="AS21" s="1"/>
      <c r="AT21" s="1"/>
    </row>
    <row r="22" spans="1:46" ht="15.5" x14ac:dyDescent="0.4">
      <c r="A22" s="535"/>
      <c r="B22" s="598"/>
      <c r="C22" s="532" t="s">
        <v>212</v>
      </c>
      <c r="D22" s="533"/>
      <c r="E22" s="597"/>
      <c r="F22" s="538" t="s">
        <v>287</v>
      </c>
      <c r="G22" s="539"/>
      <c r="H22" s="541" t="s">
        <v>288</v>
      </c>
      <c r="I22" s="542"/>
      <c r="J22" s="541" t="s">
        <v>289</v>
      </c>
      <c r="K22" s="542"/>
      <c r="L22" s="534"/>
      <c r="M22" s="535"/>
      <c r="AB22" s="42"/>
      <c r="AC22" s="42"/>
      <c r="AD22" s="42"/>
      <c r="AE22" s="42"/>
      <c r="AF22" s="42"/>
      <c r="AG22" s="42"/>
      <c r="AH22" s="42"/>
      <c r="AI22" s="42"/>
      <c r="AJ22" s="42"/>
      <c r="AM22" s="1"/>
      <c r="AN22" s="1"/>
      <c r="AO22" s="1"/>
      <c r="AP22" s="1"/>
      <c r="AQ22" s="82"/>
      <c r="AR22" s="82"/>
      <c r="AS22" s="82"/>
      <c r="AT22" s="82"/>
    </row>
    <row r="23" spans="1:46" ht="13" x14ac:dyDescent="0.25">
      <c r="A23" s="606"/>
      <c r="B23" s="607"/>
      <c r="C23" s="534"/>
      <c r="D23" s="535"/>
      <c r="E23" s="598"/>
      <c r="F23" s="538" t="s">
        <v>329</v>
      </c>
      <c r="G23" s="539"/>
      <c r="H23" s="541" t="s">
        <v>330</v>
      </c>
      <c r="I23" s="542"/>
      <c r="J23" s="541" t="s">
        <v>291</v>
      </c>
      <c r="K23" s="542"/>
      <c r="L23" s="602" t="s">
        <v>210</v>
      </c>
      <c r="M23" s="603"/>
      <c r="AB23" s="60"/>
      <c r="AC23" s="60"/>
      <c r="AD23" s="60"/>
      <c r="AE23" s="60"/>
      <c r="AF23" s="60"/>
      <c r="AG23" s="60"/>
      <c r="AH23" s="60"/>
      <c r="AI23" s="60"/>
      <c r="AJ23" s="60"/>
      <c r="AM23" s="1"/>
      <c r="AN23" s="1"/>
      <c r="AO23" s="1"/>
      <c r="AP23" s="1"/>
      <c r="AQ23" s="83"/>
      <c r="AR23" s="83"/>
      <c r="AS23" s="83"/>
      <c r="AT23" s="83"/>
    </row>
    <row r="24" spans="1:46" ht="13" x14ac:dyDescent="0.25">
      <c r="A24" s="609" t="s">
        <v>39</v>
      </c>
      <c r="B24" s="610"/>
      <c r="C24" s="540" t="str">
        <f>IF($I$9="4SG","--",IF($I$9="3ST",(((0.016*$I$12)/(0.98+0.016*$I$12))+1),(((0.053*$I$12)/(1.43+0.053*$I$12))+1)))</f>
        <v>--</v>
      </c>
      <c r="D24" s="608"/>
      <c r="E24" s="608"/>
      <c r="F24" s="540" t="str">
        <f>IF($I$9="4SG","--",IF($I$13=0,1,IF($I$9="3ST",0.56,(IF($I$13=1,0.72,0.52)))))</f>
        <v>--</v>
      </c>
      <c r="G24" s="540"/>
      <c r="H24" s="540" t="str">
        <f>IF($I$9="4SG","--",IF($I$14=0,1,IF($I$9="3ST",0.86,(IF($I$14=1,0.86,0.74)))))</f>
        <v>--</v>
      </c>
      <c r="I24" s="540"/>
      <c r="J24" s="540" t="str">
        <f>IF($I$9="4SG","--",(IF(($I$15="Not Present"),1,(1-0.38*(IF($I$9="3ST",(IF('Reference Tables (Intersection)'!D40="No",'Reference Tables (Intersection)'!G44,'Reference Tables (Intersection)'!K44)),(IF('Reference Tables (Intersection)'!D40="No",'Reference Tables (Intersection)'!G45,'Reference Tables (Intersection)'!K45))))))))</f>
        <v>--</v>
      </c>
      <c r="K24" s="593"/>
      <c r="L24" s="540">
        <f>IF($I$9="4SG",1,C24*F24*H24*J24)</f>
        <v>1</v>
      </c>
      <c r="M24" s="601"/>
      <c r="P24" s="45"/>
      <c r="AB24" s="61"/>
      <c r="AC24" s="61"/>
      <c r="AD24" s="61"/>
      <c r="AE24" s="61"/>
      <c r="AF24" s="61"/>
      <c r="AG24" s="61"/>
      <c r="AH24" s="61"/>
      <c r="AI24" s="61"/>
      <c r="AJ24" s="61"/>
      <c r="AM24" s="25"/>
      <c r="AN24" s="1"/>
      <c r="AO24" s="49"/>
      <c r="AP24" s="1"/>
      <c r="AQ24" s="81"/>
      <c r="AR24" s="81"/>
      <c r="AS24" s="84"/>
      <c r="AT24" s="84"/>
    </row>
    <row r="25" spans="1:46" ht="13.5" thickBot="1" x14ac:dyDescent="0.35">
      <c r="A25" s="506" t="s">
        <v>40</v>
      </c>
      <c r="B25" s="507"/>
      <c r="C25" s="508" t="str">
        <f>IF($I$9="4SG","--",IF($I$9="3ST",(((0.017*$I$12)/(0.52+0.017*$I$12))+1),(((0.048*$I$12)/(0.72+0.048*$I$12))+1)))</f>
        <v>--</v>
      </c>
      <c r="D25" s="509"/>
      <c r="E25" s="509"/>
      <c r="F25" s="508" t="str">
        <f>IF($I$9="4SG","--",IF($I$13=0,1,IF($I$9="3ST",0.45,(IF($I$13=1,0.65,0.42)))))</f>
        <v>--</v>
      </c>
      <c r="G25" s="508"/>
      <c r="H25" s="508" t="str">
        <f>IF($I$9="4SG","--",IF($I$14=0,1,IF($I$9="3ST",0.77,(IF($I$14=1,0.77,0.59)))))</f>
        <v>--</v>
      </c>
      <c r="I25" s="508"/>
      <c r="J25" s="508" t="str">
        <f>IF($I$9="4SG","--",(IF(($I$15="Not Present"),1,(1-0.38*(IF($I$9="3ST",(IF('Reference Tables (Intersection)'!$D$40="No",'Reference Tables (Intersection)'!$G$44,'Reference Tables (Intersection)'!$K$44)),(IF('Reference Tables (Intersection)'!$D$40="No",'Reference Tables (Intersection)'!$G$45,'Reference Tables (Intersection)'!$K$45))))))))</f>
        <v>--</v>
      </c>
      <c r="K25" s="513"/>
      <c r="L25" s="508">
        <f>IF($I$9="4SG",1,C25*F25*H25*J25)</f>
        <v>1</v>
      </c>
      <c r="M25" s="543"/>
      <c r="P25" s="4"/>
      <c r="AB25" s="4"/>
      <c r="AC25" s="1"/>
      <c r="AD25" s="1"/>
      <c r="AE25" s="1"/>
      <c r="AF25" s="1"/>
      <c r="AG25" s="1"/>
      <c r="AH25" s="1"/>
      <c r="AI25" s="1"/>
      <c r="AJ25" s="1"/>
      <c r="AM25" s="1"/>
      <c r="AN25" s="1"/>
      <c r="AO25" s="1"/>
      <c r="AP25" s="1"/>
      <c r="AQ25" s="81"/>
      <c r="AR25" s="81"/>
      <c r="AS25" s="81"/>
      <c r="AT25" s="81"/>
    </row>
    <row r="26" spans="1:46" ht="13" x14ac:dyDescent="0.3">
      <c r="A26" s="599" t="s">
        <v>308</v>
      </c>
      <c r="B26" s="600"/>
      <c r="C26" s="600"/>
      <c r="D26" s="600"/>
      <c r="E26" s="600"/>
      <c r="F26" s="600"/>
      <c r="G26" s="600"/>
      <c r="H26" s="600"/>
      <c r="I26" s="600"/>
      <c r="J26" s="600"/>
      <c r="K26" s="600"/>
      <c r="L26" s="600"/>
      <c r="M26" s="600"/>
      <c r="P26" s="4"/>
      <c r="AB26" s="4"/>
      <c r="AC26" s="1"/>
      <c r="AD26" s="1"/>
      <c r="AE26" s="1"/>
      <c r="AF26" s="1"/>
      <c r="AG26" s="1"/>
      <c r="AH26" s="1"/>
      <c r="AI26" s="1"/>
      <c r="AJ26" s="1"/>
      <c r="AM26" s="1"/>
      <c r="AN26" s="1"/>
      <c r="AO26" s="1"/>
      <c r="AP26" s="1"/>
      <c r="AQ26" s="81"/>
      <c r="AR26" s="81"/>
      <c r="AS26" s="81"/>
      <c r="AT26" s="81"/>
    </row>
    <row r="27" spans="1:46" ht="13" x14ac:dyDescent="0.3">
      <c r="A27" s="26"/>
      <c r="B27" s="26"/>
      <c r="C27" s="26"/>
      <c r="D27" s="26"/>
      <c r="E27" s="26"/>
      <c r="F27" s="26"/>
      <c r="G27" s="26"/>
      <c r="I27" s="26"/>
      <c r="J27" s="30"/>
      <c r="K27" s="30"/>
      <c r="P27" s="4"/>
      <c r="AB27" s="4"/>
      <c r="AC27" s="1"/>
      <c r="AD27" s="1"/>
      <c r="AE27" s="1"/>
      <c r="AF27" s="1"/>
      <c r="AG27" s="1"/>
      <c r="AH27" s="1"/>
      <c r="AI27" s="1"/>
      <c r="AJ27" s="1"/>
      <c r="AM27" s="1"/>
      <c r="AN27" s="1"/>
      <c r="AO27" s="1"/>
      <c r="AP27" s="1"/>
      <c r="AQ27" s="81"/>
      <c r="AR27" s="81"/>
      <c r="AS27" s="81"/>
      <c r="AT27" s="81"/>
    </row>
    <row r="28" spans="1:46" ht="13" thickBot="1" x14ac:dyDescent="0.3">
      <c r="A28" s="22"/>
      <c r="G28" s="26"/>
      <c r="H28" s="30"/>
      <c r="I28" s="26"/>
      <c r="P28" s="57"/>
      <c r="AB28" s="10"/>
      <c r="AC28" s="10"/>
      <c r="AD28" s="10"/>
      <c r="AE28" s="10"/>
      <c r="AF28" s="10"/>
      <c r="AG28" s="10"/>
      <c r="AH28" s="10"/>
      <c r="AI28" s="10"/>
      <c r="AJ28" s="10"/>
      <c r="AM28" s="50"/>
      <c r="AN28" s="35"/>
      <c r="AO28" s="49"/>
      <c r="AP28" s="1"/>
      <c r="AQ28" s="81"/>
      <c r="AR28" s="81"/>
      <c r="AS28" s="84"/>
      <c r="AT28" s="84"/>
    </row>
    <row r="29" spans="1:46" ht="14" thickTop="1" thickBot="1" x14ac:dyDescent="0.3">
      <c r="A29" s="382" t="s">
        <v>849</v>
      </c>
      <c r="B29" s="383"/>
      <c r="C29" s="383"/>
      <c r="D29" s="383"/>
      <c r="E29" s="383"/>
      <c r="F29" s="383"/>
      <c r="G29" s="383"/>
      <c r="H29" s="383"/>
      <c r="I29" s="592"/>
      <c r="J29" s="592"/>
      <c r="K29" s="592"/>
      <c r="L29" s="592"/>
      <c r="M29" s="592"/>
      <c r="P29" s="57"/>
      <c r="AB29" s="10"/>
      <c r="AC29" s="10"/>
      <c r="AD29" s="10"/>
      <c r="AE29" s="10"/>
      <c r="AF29" s="10"/>
      <c r="AG29" s="10"/>
      <c r="AH29" s="10"/>
      <c r="AI29" s="10"/>
      <c r="AJ29" s="10"/>
      <c r="AM29" s="35"/>
      <c r="AN29" s="35"/>
      <c r="AO29" s="1"/>
      <c r="AP29" s="1"/>
      <c r="AQ29" s="81"/>
      <c r="AR29" s="81"/>
      <c r="AS29" s="81"/>
      <c r="AT29" s="81"/>
    </row>
    <row r="30" spans="1:46" x14ac:dyDescent="0.25">
      <c r="A30" s="420" t="s">
        <v>19</v>
      </c>
      <c r="B30" s="421"/>
      <c r="C30" s="510" t="s">
        <v>20</v>
      </c>
      <c r="D30" s="510"/>
      <c r="E30" s="421"/>
      <c r="F30" s="514" t="s">
        <v>21</v>
      </c>
      <c r="G30" s="515"/>
      <c r="H30" s="590" t="s">
        <v>22</v>
      </c>
      <c r="I30" s="591"/>
      <c r="J30" s="2" t="s">
        <v>23</v>
      </c>
      <c r="K30" s="2" t="s">
        <v>24</v>
      </c>
      <c r="L30" s="536" t="s">
        <v>25</v>
      </c>
      <c r="M30" s="537"/>
      <c r="P30" s="57"/>
      <c r="AB30" s="10"/>
      <c r="AC30" s="10"/>
      <c r="AD30" s="10"/>
      <c r="AE30" s="10"/>
      <c r="AF30" s="10"/>
      <c r="AG30" s="10"/>
      <c r="AH30" s="10"/>
      <c r="AI30" s="10"/>
      <c r="AJ30" s="10"/>
      <c r="AM30" s="35"/>
      <c r="AN30" s="35"/>
      <c r="AO30" s="49"/>
      <c r="AP30" s="26"/>
      <c r="AQ30" s="26"/>
      <c r="AR30" s="26"/>
      <c r="AS30" s="26"/>
      <c r="AT30" s="26"/>
    </row>
    <row r="31" spans="1:46" ht="12.75" customHeight="1" x14ac:dyDescent="0.25">
      <c r="A31" s="520" t="s">
        <v>36</v>
      </c>
      <c r="B31" s="502"/>
      <c r="C31" s="581" t="s">
        <v>144</v>
      </c>
      <c r="D31" s="582"/>
      <c r="E31" s="582"/>
      <c r="F31" s="521" t="s">
        <v>213</v>
      </c>
      <c r="G31" s="522"/>
      <c r="H31" s="553" t="s">
        <v>37</v>
      </c>
      <c r="I31" s="554"/>
      <c r="J31" s="18" t="s">
        <v>38</v>
      </c>
      <c r="K31" s="511" t="s">
        <v>216</v>
      </c>
      <c r="L31" s="544" t="s">
        <v>217</v>
      </c>
      <c r="M31" s="545"/>
      <c r="P31" s="57"/>
      <c r="AB31" s="10"/>
      <c r="AC31" s="10"/>
      <c r="AD31" s="10"/>
      <c r="AE31" s="10"/>
      <c r="AF31" s="10"/>
      <c r="AG31" s="10"/>
      <c r="AH31" s="10"/>
      <c r="AI31" s="10"/>
      <c r="AJ31" s="10"/>
      <c r="AM31" s="75"/>
      <c r="AN31" s="75"/>
      <c r="AO31" s="17"/>
      <c r="AP31" s="17"/>
      <c r="AQ31" s="17"/>
      <c r="AR31" s="17"/>
      <c r="AS31" s="17"/>
      <c r="AT31" s="17"/>
    </row>
    <row r="32" spans="1:46" ht="15" customHeight="1" x14ac:dyDescent="0.25">
      <c r="A32" s="501"/>
      <c r="B32" s="502"/>
      <c r="C32" s="583" t="s">
        <v>331</v>
      </c>
      <c r="D32" s="512"/>
      <c r="E32" s="512"/>
      <c r="F32" s="523"/>
      <c r="G32" s="523"/>
      <c r="H32" s="555"/>
      <c r="I32" s="556"/>
      <c r="J32" s="584" t="s">
        <v>215</v>
      </c>
      <c r="K32" s="512"/>
      <c r="L32" s="546"/>
      <c r="M32" s="547"/>
      <c r="P32" s="57"/>
      <c r="AB32" s="10"/>
      <c r="AC32" s="10"/>
      <c r="AD32" s="10"/>
      <c r="AE32" s="10"/>
      <c r="AF32" s="10"/>
      <c r="AG32" s="10"/>
      <c r="AH32" s="10"/>
      <c r="AI32" s="10"/>
      <c r="AJ32" s="10"/>
      <c r="AM32" s="9"/>
      <c r="AN32" s="17"/>
      <c r="AO32" s="17"/>
      <c r="AP32" s="17"/>
      <c r="AQ32" s="17"/>
      <c r="AR32" s="17"/>
      <c r="AS32" s="17"/>
      <c r="AT32" s="17"/>
    </row>
    <row r="33" spans="1:54" ht="13.5" customHeight="1" x14ac:dyDescent="0.25">
      <c r="A33" s="501"/>
      <c r="B33" s="502"/>
      <c r="C33" s="52" t="s">
        <v>145</v>
      </c>
      <c r="D33" s="52" t="s">
        <v>146</v>
      </c>
      <c r="E33" s="52" t="s">
        <v>229</v>
      </c>
      <c r="F33" s="355" t="s">
        <v>214</v>
      </c>
      <c r="G33" s="354"/>
      <c r="H33" s="470" t="s">
        <v>331</v>
      </c>
      <c r="I33" s="501"/>
      <c r="J33" s="529"/>
      <c r="K33" s="512"/>
      <c r="L33" s="551" t="s">
        <v>151</v>
      </c>
      <c r="M33" s="550"/>
      <c r="P33" s="57"/>
      <c r="AB33" s="10"/>
      <c r="AC33" s="10"/>
      <c r="AD33" s="10"/>
      <c r="AE33" s="10"/>
      <c r="AF33" s="10"/>
      <c r="AG33" s="10"/>
      <c r="AH33" s="10"/>
      <c r="AI33" s="10"/>
      <c r="AJ33" s="10"/>
      <c r="AM33" s="85"/>
      <c r="AN33" s="75"/>
      <c r="AO33" s="17"/>
      <c r="AP33" s="17"/>
      <c r="AQ33" s="17"/>
      <c r="AR33" s="17"/>
      <c r="AS33" s="17"/>
      <c r="AT33" s="17"/>
    </row>
    <row r="34" spans="1:54" x14ac:dyDescent="0.25">
      <c r="A34" s="501" t="s">
        <v>39</v>
      </c>
      <c r="B34" s="502"/>
      <c r="C34" s="3">
        <f>IF($I$9="3ST",-12.526,(IF($I$9="4ST",-10.008,-7.182)))</f>
        <v>-7.1820000000000004</v>
      </c>
      <c r="D34" s="3">
        <f>IF($I$9="3ST",1.204,(IF($I$9="4ST",0.848,0.722)))</f>
        <v>0.72199999999999998</v>
      </c>
      <c r="E34" s="3">
        <f>IF($I$9="3ST",0.236,(IF($I$9="4ST",0.448,0.337)))</f>
        <v>0.33700000000000002</v>
      </c>
      <c r="F34" s="432">
        <f>EXP($C$34+$D$34*LN($I$10)+$E$34*LN($I$11))</f>
        <v>28.192736752540419</v>
      </c>
      <c r="G34" s="518"/>
      <c r="H34" s="504">
        <f>IF($I$9="3ST",0.46,(IF($I$9="4ST",0.494,0.277)))</f>
        <v>0.27700000000000002</v>
      </c>
      <c r="I34" s="519"/>
      <c r="J34" s="13">
        <f>+$L$24</f>
        <v>1</v>
      </c>
      <c r="K34" s="12">
        <f>+$I$16</f>
        <v>1</v>
      </c>
      <c r="L34" s="432">
        <f>+$F$34*$J$34*$K$34</f>
        <v>28.192736752540419</v>
      </c>
      <c r="M34" s="550"/>
      <c r="P34" s="57"/>
      <c r="AB34" s="10"/>
      <c r="AC34" s="10"/>
      <c r="AD34" s="10"/>
      <c r="AE34" s="10"/>
      <c r="AF34" s="10"/>
      <c r="AG34" s="10"/>
      <c r="AH34" s="10"/>
      <c r="AI34" s="10"/>
      <c r="AJ34" s="10"/>
      <c r="AM34" s="17"/>
      <c r="AN34" s="17"/>
      <c r="AO34" s="17"/>
      <c r="AP34" s="17"/>
      <c r="AQ34" s="17"/>
      <c r="AR34" s="17"/>
      <c r="AS34" s="17"/>
      <c r="AT34" s="17"/>
    </row>
    <row r="35" spans="1:54" ht="13" x14ac:dyDescent="0.3">
      <c r="A35" s="501" t="s">
        <v>40</v>
      </c>
      <c r="B35" s="502"/>
      <c r="C35" s="3">
        <f>IF($I$9="3ST",-12.664,(IF($I$9="4ST",-11.554,-6.393)))</f>
        <v>-6.3929999999999998</v>
      </c>
      <c r="D35" s="3">
        <f>IF($I$9="3ST",1.107,(IF($I$9="4ST",0.888,0.638)))</f>
        <v>0.63800000000000001</v>
      </c>
      <c r="E35" s="3">
        <f>IF($I$9="3ST",0.272,(IF($I$9="4ST",0.525,0.232)))</f>
        <v>0.23200000000000001</v>
      </c>
      <c r="F35" s="432">
        <f>EXP($C$35+$D$35*LN($I$10)+$E$35*LN($I$11))</f>
        <v>10.419111668250272</v>
      </c>
      <c r="G35" s="518"/>
      <c r="H35" s="504">
        <f>IF($I$9="3ST",0.569,(IF($I$9="4ST",0.742,0.218)))</f>
        <v>0.218</v>
      </c>
      <c r="I35" s="519"/>
      <c r="J35" s="13">
        <f>+$L$25</f>
        <v>1</v>
      </c>
      <c r="K35" s="12">
        <f>+$I$16</f>
        <v>1</v>
      </c>
      <c r="L35" s="432">
        <f>+$F$35*$J$35*$K$35</f>
        <v>10.419111668250272</v>
      </c>
      <c r="M35" s="550"/>
      <c r="P35" s="56"/>
      <c r="AB35" s="4"/>
      <c r="AC35" s="4"/>
      <c r="AD35" s="4"/>
      <c r="AE35" s="4"/>
      <c r="AF35" s="4"/>
      <c r="AG35" s="4"/>
      <c r="AH35" s="4"/>
      <c r="AI35" s="4"/>
      <c r="AJ35" s="4"/>
      <c r="AM35" s="17"/>
      <c r="AN35" s="17"/>
      <c r="AO35" s="17"/>
      <c r="AP35" s="17"/>
      <c r="AQ35" s="17"/>
      <c r="AR35" s="17"/>
      <c r="AS35" s="17"/>
      <c r="AT35" s="17"/>
    </row>
    <row r="36" spans="1:54" ht="14.5" x14ac:dyDescent="0.25">
      <c r="A36" s="424" t="s">
        <v>152</v>
      </c>
      <c r="B36" s="502"/>
      <c r="C36" s="3">
        <f>IF($I$9="3ST",-11.989,(IF($I$9="4ST",-10.734,-12.011)))</f>
        <v>-12.010999999999999</v>
      </c>
      <c r="D36" s="3" t="str">
        <f>IF($I$9="3ST",1.013,(IF($I$9="4ST",0.828,"--")))</f>
        <v>--</v>
      </c>
      <c r="E36" s="3">
        <f>IF($I$9="3ST",0.228,(IF($I$9="4ST",0.412,1.279)))</f>
        <v>1.2789999999999999</v>
      </c>
      <c r="F36" s="432">
        <f>IF(I9="4SG",(EXP(C36+E36*LN(I10+I11))),(EXP($C$36+$D$36*LN($I$10)+$E$36*LN($I$11))))</f>
        <v>5.4343522173754994</v>
      </c>
      <c r="G36" s="518"/>
      <c r="H36" s="504">
        <f>IF($I$9="3ST",0.566,(IF($I$9="4ST",0.655,0.566)))</f>
        <v>0.56599999999999995</v>
      </c>
      <c r="I36" s="519"/>
      <c r="J36" s="13">
        <f>+$L$25</f>
        <v>1</v>
      </c>
      <c r="K36" s="12">
        <f>+$I$16</f>
        <v>1</v>
      </c>
      <c r="L36" s="432">
        <f>+$F$36*$J$36*$K$36</f>
        <v>5.4343522173754994</v>
      </c>
      <c r="M36" s="550"/>
      <c r="P36" s="57"/>
      <c r="AB36" s="10"/>
      <c r="AC36" s="10"/>
      <c r="AD36" s="10"/>
      <c r="AE36" s="10"/>
      <c r="AF36" s="10"/>
      <c r="AG36" s="10"/>
      <c r="AH36" s="10"/>
      <c r="AI36" s="10"/>
      <c r="AJ36" s="10"/>
      <c r="AM36" s="17"/>
      <c r="AN36" s="17"/>
      <c r="AO36" s="17"/>
      <c r="AP36" s="17"/>
      <c r="AQ36" s="17"/>
      <c r="AR36" s="17"/>
      <c r="AS36" s="17"/>
      <c r="AT36" s="17"/>
    </row>
    <row r="37" spans="1:54" ht="16.5" customHeight="1" x14ac:dyDescent="0.4">
      <c r="A37" s="423" t="s">
        <v>41</v>
      </c>
      <c r="B37" s="395"/>
      <c r="C37" s="442" t="s">
        <v>17</v>
      </c>
      <c r="D37" s="442" t="s">
        <v>17</v>
      </c>
      <c r="E37" s="442" t="s">
        <v>17</v>
      </c>
      <c r="F37" s="361" t="s">
        <v>17</v>
      </c>
      <c r="G37" s="362"/>
      <c r="H37" s="367" t="s">
        <v>17</v>
      </c>
      <c r="I37" s="368"/>
      <c r="J37" s="367" t="s">
        <v>17</v>
      </c>
      <c r="K37" s="442" t="s">
        <v>17</v>
      </c>
      <c r="L37" s="551" t="s">
        <v>153</v>
      </c>
      <c r="M37" s="550"/>
      <c r="P37" s="57"/>
      <c r="AB37" s="59"/>
      <c r="AC37" s="10"/>
      <c r="AD37" s="10"/>
      <c r="AE37" s="10"/>
      <c r="AF37" s="10"/>
      <c r="AG37" s="10"/>
      <c r="AH37" s="10"/>
      <c r="AI37" s="10"/>
      <c r="AJ37" s="10"/>
      <c r="AM37" s="42"/>
      <c r="AN37" s="36"/>
      <c r="AO37" s="36"/>
      <c r="AP37" s="36"/>
      <c r="AQ37" s="36"/>
      <c r="AR37" s="36"/>
      <c r="AS37" s="65"/>
    </row>
    <row r="38" spans="1:54" ht="15.75" customHeight="1" thickBot="1" x14ac:dyDescent="0.3">
      <c r="A38" s="455"/>
      <c r="B38" s="418"/>
      <c r="C38" s="443"/>
      <c r="D38" s="443"/>
      <c r="E38" s="443"/>
      <c r="F38" s="363"/>
      <c r="G38" s="364"/>
      <c r="H38" s="369"/>
      <c r="I38" s="370"/>
      <c r="J38" s="369"/>
      <c r="K38" s="443"/>
      <c r="L38" s="548">
        <f>+$L$34-$L$35</f>
        <v>17.773625084290146</v>
      </c>
      <c r="M38" s="549"/>
      <c r="P38" s="57"/>
      <c r="AB38" s="59"/>
      <c r="AC38" s="10"/>
      <c r="AD38" s="10"/>
      <c r="AE38" s="10"/>
      <c r="AF38" s="10"/>
      <c r="AG38" s="10"/>
      <c r="AH38" s="10"/>
      <c r="AI38" s="10"/>
      <c r="AJ38" s="10"/>
      <c r="AM38" s="42"/>
      <c r="AN38" s="36"/>
      <c r="AO38" s="36"/>
      <c r="AP38" s="36"/>
      <c r="AQ38" s="36"/>
      <c r="AR38" s="36"/>
      <c r="AS38" s="65"/>
    </row>
    <row r="39" spans="1:54" ht="13" x14ac:dyDescent="0.25">
      <c r="A39" s="568" t="s">
        <v>154</v>
      </c>
      <c r="B39" s="569"/>
      <c r="C39" s="569"/>
      <c r="D39" s="569"/>
      <c r="E39" s="569"/>
      <c r="F39" s="569"/>
      <c r="G39" s="569"/>
      <c r="H39" s="569"/>
      <c r="I39" s="569"/>
      <c r="J39" s="569"/>
      <c r="K39" s="569"/>
      <c r="L39" s="569"/>
      <c r="M39" s="569"/>
      <c r="N39" s="43"/>
      <c r="P39" s="57"/>
      <c r="AB39" s="59"/>
      <c r="AC39" s="10"/>
      <c r="AD39" s="10"/>
      <c r="AE39" s="10"/>
      <c r="AF39" s="10"/>
      <c r="AG39" s="10"/>
      <c r="AH39" s="10"/>
      <c r="AI39" s="10"/>
      <c r="AJ39" s="10"/>
      <c r="AM39" s="42"/>
      <c r="AN39" s="36"/>
      <c r="AO39" s="36"/>
      <c r="AP39" s="36"/>
      <c r="AQ39" s="36"/>
      <c r="AR39" s="36"/>
      <c r="AS39" s="65"/>
    </row>
    <row r="40" spans="1:54" ht="13.5" customHeight="1" x14ac:dyDescent="0.3">
      <c r="A40" s="32"/>
      <c r="B40" s="32"/>
      <c r="C40" s="80"/>
      <c r="D40" s="80"/>
      <c r="E40" s="32"/>
      <c r="F40" s="32"/>
      <c r="G40" s="32"/>
      <c r="H40" s="33"/>
      <c r="I40" s="1"/>
      <c r="J40" s="32"/>
      <c r="K40" s="32"/>
      <c r="L40" s="32"/>
      <c r="M40" s="32"/>
      <c r="P40" s="57"/>
      <c r="AB40" s="10"/>
      <c r="AC40" s="10"/>
      <c r="AD40" s="10"/>
      <c r="AE40" s="10"/>
      <c r="AF40" s="10"/>
      <c r="AG40" s="10"/>
      <c r="AH40" s="10"/>
      <c r="AI40" s="10"/>
      <c r="AJ40" s="10"/>
      <c r="AM40" s="36"/>
      <c r="AN40" s="36"/>
      <c r="AO40" s="36"/>
      <c r="AP40" s="36"/>
      <c r="AQ40" s="36"/>
      <c r="AR40" s="36"/>
      <c r="AS40" s="65"/>
      <c r="AT40" s="44"/>
      <c r="AU40" s="44"/>
      <c r="AV40" s="44"/>
      <c r="AW40" s="44"/>
      <c r="AX40" s="44"/>
      <c r="AY40" s="44"/>
      <c r="AZ40" s="44"/>
      <c r="BA40" s="44"/>
      <c r="BB40" s="44"/>
    </row>
    <row r="41" spans="1:54" ht="13.5" thickBot="1" x14ac:dyDescent="0.35">
      <c r="A41" s="36"/>
      <c r="B41" s="36"/>
      <c r="C41" s="36"/>
      <c r="D41" s="36"/>
      <c r="E41" s="36"/>
      <c r="F41" s="36"/>
      <c r="G41" s="36"/>
      <c r="H41" s="36"/>
      <c r="I41" s="36"/>
      <c r="J41" s="36"/>
      <c r="K41" s="36"/>
      <c r="L41" s="36"/>
      <c r="M41" s="37"/>
      <c r="P41" s="57"/>
      <c r="AB41" s="10"/>
      <c r="AC41" s="10"/>
      <c r="AD41" s="10"/>
      <c r="AE41" s="10"/>
      <c r="AF41" s="10"/>
      <c r="AG41" s="10"/>
      <c r="AH41" s="10"/>
      <c r="AI41" s="10"/>
      <c r="AJ41" s="10"/>
      <c r="AM41" s="34"/>
      <c r="AP41" s="4"/>
      <c r="AT41" s="1"/>
      <c r="AY41" s="1"/>
      <c r="AZ41" s="1"/>
      <c r="BA41" s="1"/>
      <c r="BB41" s="1"/>
    </row>
    <row r="42" spans="1:54" ht="14" thickTop="1" thickBot="1" x14ac:dyDescent="0.35">
      <c r="A42" s="382" t="s">
        <v>850</v>
      </c>
      <c r="B42" s="383"/>
      <c r="C42" s="383"/>
      <c r="D42" s="383"/>
      <c r="E42" s="383"/>
      <c r="F42" s="383"/>
      <c r="G42" s="383"/>
      <c r="H42" s="612"/>
      <c r="I42" s="612"/>
      <c r="J42" s="612"/>
      <c r="K42" s="612"/>
      <c r="L42" s="612"/>
      <c r="M42" s="612"/>
      <c r="P42" s="57"/>
      <c r="AB42" s="10"/>
      <c r="AC42" s="10"/>
      <c r="AD42" s="10"/>
      <c r="AE42" s="10"/>
      <c r="AF42" s="10"/>
      <c r="AG42" s="10"/>
      <c r="AH42" s="10"/>
      <c r="AI42" s="10"/>
      <c r="AJ42" s="10"/>
      <c r="AM42" s="45"/>
      <c r="AN42" s="43"/>
      <c r="AO42" s="1"/>
      <c r="AP42" s="8"/>
      <c r="AQ42" s="4"/>
      <c r="AR42" s="44"/>
      <c r="AT42" s="4"/>
      <c r="AY42" s="4"/>
      <c r="AZ42" s="4"/>
      <c r="BA42" s="4"/>
    </row>
    <row r="43" spans="1:54" ht="12.75" customHeight="1" x14ac:dyDescent="0.3">
      <c r="A43" s="611" t="s">
        <v>19</v>
      </c>
      <c r="B43" s="591"/>
      <c r="C43" s="5" t="s">
        <v>20</v>
      </c>
      <c r="D43" s="590" t="s">
        <v>21</v>
      </c>
      <c r="E43" s="420"/>
      <c r="F43" s="54" t="s">
        <v>22</v>
      </c>
      <c r="G43" s="516" t="s">
        <v>23</v>
      </c>
      <c r="H43" s="517"/>
      <c r="I43" s="54" t="s">
        <v>24</v>
      </c>
      <c r="J43" s="20" t="s">
        <v>25</v>
      </c>
      <c r="K43" s="54" t="s">
        <v>26</v>
      </c>
      <c r="L43" s="530" t="s">
        <v>27</v>
      </c>
      <c r="M43" s="531"/>
      <c r="P43" s="57"/>
      <c r="AB43" s="10"/>
      <c r="AC43" s="10"/>
      <c r="AD43" s="10"/>
      <c r="AE43" s="10"/>
      <c r="AF43" s="10"/>
      <c r="AG43" s="10"/>
      <c r="AH43" s="10"/>
      <c r="AI43" s="10"/>
      <c r="AJ43" s="10"/>
      <c r="AM43" s="25"/>
      <c r="AN43" s="1"/>
      <c r="AP43" s="46"/>
      <c r="AQ43" s="1"/>
      <c r="AR43" s="46"/>
      <c r="AS43" s="46"/>
      <c r="AY43" s="4"/>
      <c r="AZ43" s="4"/>
      <c r="BA43" s="4"/>
    </row>
    <row r="44" spans="1:54" ht="13.5" customHeight="1" x14ac:dyDescent="0.3">
      <c r="A44" s="520" t="s">
        <v>42</v>
      </c>
      <c r="B44" s="511"/>
      <c r="C44" s="511" t="s">
        <v>44</v>
      </c>
      <c r="D44" s="511" t="s">
        <v>109</v>
      </c>
      <c r="E44" s="502"/>
      <c r="F44" s="511" t="s">
        <v>43</v>
      </c>
      <c r="G44" s="511" t="s">
        <v>110</v>
      </c>
      <c r="H44" s="511"/>
      <c r="I44" s="511" t="s">
        <v>158</v>
      </c>
      <c r="J44" s="527" t="s">
        <v>220</v>
      </c>
      <c r="K44" s="511" t="s">
        <v>159</v>
      </c>
      <c r="L44" s="511" t="s">
        <v>222</v>
      </c>
      <c r="M44" s="617"/>
      <c r="P44" s="57"/>
      <c r="AB44" s="10"/>
      <c r="AC44" s="10"/>
      <c r="AD44" s="10"/>
      <c r="AE44" s="10"/>
      <c r="AF44" s="10"/>
      <c r="AG44" s="10"/>
      <c r="AH44" s="10"/>
      <c r="AI44" s="10"/>
      <c r="AJ44" s="10"/>
      <c r="AM44" s="25"/>
      <c r="AN44" s="1"/>
      <c r="AP44" s="46"/>
      <c r="AQ44" s="1"/>
      <c r="AR44" s="46"/>
      <c r="AS44" s="46"/>
      <c r="AY44" s="4"/>
      <c r="AZ44" s="4"/>
      <c r="BA44" s="8"/>
    </row>
    <row r="45" spans="1:54" x14ac:dyDescent="0.25">
      <c r="A45" s="520"/>
      <c r="B45" s="511"/>
      <c r="C45" s="512"/>
      <c r="D45" s="502"/>
      <c r="E45" s="502"/>
      <c r="F45" s="512"/>
      <c r="G45" s="512"/>
      <c r="H45" s="512"/>
      <c r="I45" s="512"/>
      <c r="J45" s="528"/>
      <c r="K45" s="512"/>
      <c r="L45" s="512"/>
      <c r="M45" s="552"/>
      <c r="AM45" s="25"/>
      <c r="AN45" s="1"/>
      <c r="AP45" s="33"/>
      <c r="AQ45" s="1"/>
      <c r="AR45" s="46"/>
      <c r="AS45" s="46"/>
      <c r="AY45" s="1"/>
      <c r="AZ45" s="9"/>
      <c r="BA45" s="6"/>
    </row>
    <row r="46" spans="1:54" x14ac:dyDescent="0.25">
      <c r="A46" s="519"/>
      <c r="B46" s="512"/>
      <c r="C46" s="512"/>
      <c r="D46" s="502"/>
      <c r="E46" s="502"/>
      <c r="F46" s="512"/>
      <c r="G46" s="512"/>
      <c r="H46" s="512"/>
      <c r="I46" s="512"/>
      <c r="J46" s="529"/>
      <c r="K46" s="512"/>
      <c r="L46" s="512"/>
      <c r="M46" s="552"/>
    </row>
    <row r="47" spans="1:54" ht="16.5" customHeight="1" x14ac:dyDescent="0.25">
      <c r="A47" s="519"/>
      <c r="B47" s="512"/>
      <c r="C47" s="439" t="s">
        <v>332</v>
      </c>
      <c r="D47" s="440" t="s">
        <v>218</v>
      </c>
      <c r="E47" s="441"/>
      <c r="F47" s="439" t="s">
        <v>333</v>
      </c>
      <c r="G47" s="440" t="s">
        <v>219</v>
      </c>
      <c r="H47" s="441"/>
      <c r="I47" s="439" t="s">
        <v>332</v>
      </c>
      <c r="J47" s="588" t="s">
        <v>221</v>
      </c>
      <c r="K47" s="439" t="s">
        <v>332</v>
      </c>
      <c r="L47" s="440" t="s">
        <v>223</v>
      </c>
      <c r="M47" s="446"/>
    </row>
    <row r="48" spans="1:54" x14ac:dyDescent="0.25">
      <c r="A48" s="519"/>
      <c r="B48" s="512"/>
      <c r="C48" s="512"/>
      <c r="D48" s="512"/>
      <c r="E48" s="512"/>
      <c r="F48" s="512"/>
      <c r="G48" s="512"/>
      <c r="H48" s="512"/>
      <c r="I48" s="512"/>
      <c r="J48" s="589"/>
      <c r="K48" s="512"/>
      <c r="L48" s="512"/>
      <c r="M48" s="552"/>
    </row>
    <row r="49" spans="1:14" x14ac:dyDescent="0.25">
      <c r="A49" s="501" t="s">
        <v>39</v>
      </c>
      <c r="B49" s="502"/>
      <c r="C49" s="3">
        <f>IF('Reference Tables (Intersection)'!$D$7="No",IF($I$9="3ST",SUM('Reference Tables (Intersection)'!$E$10:$E$15),IF($I$9="4ST",SUM('Reference Tables (Intersection)'!$E$18:$E$23),SUM('Reference Tables (Intersection)'!$E$26:$E$31))),IF($I$9="3ST",SUM('Reference Tables (Intersection)'!$I$10:$I$15),IF($I$9="4ST",SUM('Reference Tables (Intersection)'!$I$18:$I$23),SUM('Reference Tables (Intersection)'!$I$26:$I$31))))</f>
        <v>1</v>
      </c>
      <c r="D49" s="504">
        <f>+L34</f>
        <v>28.192736752540419</v>
      </c>
      <c r="E49" s="505"/>
      <c r="F49" s="3">
        <f>IF('Reference Tables (Intersection)'!$D$7="No",IF($I$9="3ST",SUM('Reference Tables (Intersection)'!$F$10:$F$15),IF($I$9="4ST",SUM('Reference Tables (Intersection)'!$F$18:$F$23),SUM('Reference Tables (Intersection)'!$F$26:$F$31))),IF($I$9="3ST",SUM('Reference Tables (Intersection)'!$J$10:$J$15),IF($I$9="4ST",SUM('Reference Tables (Intersection)'!$J$18:$J$23),SUM('Reference Tables (Intersection)'!$J$26:$J$31))))</f>
        <v>1</v>
      </c>
      <c r="G49" s="504">
        <f>+L35</f>
        <v>10.419111668250272</v>
      </c>
      <c r="H49" s="505"/>
      <c r="I49" s="3">
        <f>IF('Reference Tables (Intersection)'!$D$7="No",IF($I$9="3ST",SUM('Reference Tables (Intersection)'!$G$10:$G$15),IF($I$9="4ST",SUM('Reference Tables (Intersection)'!$G$18:$G$23),SUM('Reference Tables (Intersection)'!$G$26:$G$31))),IF($I$9="3ST",SUM('Reference Tables (Intersection)'!$K$10:$K$15),IF($I$9="4ST",SUM('Reference Tables (Intersection)'!$K$18:$K$23),SUM('Reference Tables (Intersection)'!$K$26:$K$31))))</f>
        <v>1</v>
      </c>
      <c r="J49" s="53">
        <f>+L36</f>
        <v>5.4343522173754994</v>
      </c>
      <c r="K49" s="3">
        <f>IF('Reference Tables (Intersection)'!$D$7="No",IF($I$9="3ST",SUM('Reference Tables (Intersection)'!$H$10:$H$15),IF($I$9="4ST",SUM('Reference Tables (Intersection)'!$H$18:$H$23),SUM('Reference Tables (Intersection)'!$H$26:$H$31))),IF($I$9="3ST",SUM('Reference Tables (Intersection)'!$L$10:$L$15),IF($I$9="4ST",SUM('Reference Tables (Intersection)'!$L$18:$L$23),SUM('Reference Tables (Intersection)'!$L$26:$L$31))))</f>
        <v>0.99999999999999989</v>
      </c>
      <c r="L49" s="504">
        <f>+L38</f>
        <v>17.773625084290146</v>
      </c>
      <c r="M49" s="524"/>
    </row>
    <row r="50" spans="1:14" ht="16" x14ac:dyDescent="0.4">
      <c r="A50" s="613"/>
      <c r="B50" s="614"/>
      <c r="C50" s="12"/>
      <c r="D50" s="615" t="s">
        <v>165</v>
      </c>
      <c r="E50" s="614"/>
      <c r="F50" s="12"/>
      <c r="G50" s="616" t="s">
        <v>166</v>
      </c>
      <c r="H50" s="502"/>
      <c r="I50" s="12"/>
      <c r="J50" s="52" t="s">
        <v>167</v>
      </c>
      <c r="K50" s="12"/>
      <c r="L50" s="615" t="s">
        <v>168</v>
      </c>
      <c r="M50" s="552"/>
    </row>
    <row r="51" spans="1:14" x14ac:dyDescent="0.25">
      <c r="A51" s="585" t="s">
        <v>46</v>
      </c>
      <c r="B51" s="502"/>
      <c r="C51" s="3">
        <f>IF('Reference Tables (Intersection)'!$D$7="No",(IF($I$9="3ST",'Reference Tables (Intersection)'!E10,(IF($I$9="4ST",'Reference Tables (Intersection)'!E18,'Reference Tables (Intersection)'!E26)))),(IF($I$9="3ST",'Reference Tables (Intersection)'!I10,(IF($I$9="4ST",'Reference Tables (Intersection)'!I18,'Reference Tables (Intersection)'!I26)))))</f>
        <v>5.3999999999999999E-2</v>
      </c>
      <c r="D51" s="504">
        <f t="shared" ref="D51:D56" si="0">+C51*$D$49</f>
        <v>1.5224077846371826</v>
      </c>
      <c r="E51" s="505"/>
      <c r="F51" s="3">
        <f>IF('Reference Tables (Intersection)'!$D$7="No",(IF($I$9="3ST",'Reference Tables (Intersection)'!F10,(IF($I$9="4ST",'Reference Tables (Intersection)'!F18,'Reference Tables (Intersection)'!F26)))),(IF($I$9="3ST",'Reference Tables (Intersection)'!J10,(IF($I$9="4ST",'Reference Tables (Intersection)'!J18,'Reference Tables (Intersection)'!J26)))))</f>
        <v>8.3000000000000004E-2</v>
      </c>
      <c r="G51" s="504">
        <f t="shared" ref="G51:G56" si="1">+F51*$G$49</f>
        <v>0.86478626846477258</v>
      </c>
      <c r="H51" s="505"/>
      <c r="I51" s="3">
        <f>IF('Reference Tables (Intersection)'!$D$7="No",(IF($I$9="3ST",'Reference Tables (Intersection)'!G10,(IF($I$9="4ST",'Reference Tables (Intersection)'!G18,'Reference Tables (Intersection)'!G26)))),(IF($I$9="3ST",'Reference Tables (Intersection)'!K10,(IF($I$9="4ST",'Reference Tables (Intersection)'!K18,'Reference Tables (Intersection)'!K26)))))</f>
        <v>9.2999999999999999E-2</v>
      </c>
      <c r="J51" s="53">
        <f t="shared" ref="J51:J56" si="2">+I51*$J$49</f>
        <v>0.50539475621592145</v>
      </c>
      <c r="K51" s="3">
        <f>IF('Reference Tables (Intersection)'!$D$7="No",(IF($I$9="3ST",'Reference Tables (Intersection)'!H10,(IF($I$9="4ST",'Reference Tables (Intersection)'!H18,'Reference Tables (Intersection)'!H26)))),(IF($I$9="3ST",'Reference Tables (Intersection)'!L10,(IF($I$9="4ST",'Reference Tables (Intersection)'!L18,'Reference Tables (Intersection)'!L26)))))</f>
        <v>3.4000000000000002E-2</v>
      </c>
      <c r="L51" s="504">
        <f t="shared" ref="L51:L56" si="3">+K51*$L$49</f>
        <v>0.60430325286586495</v>
      </c>
      <c r="M51" s="524"/>
    </row>
    <row r="52" spans="1:14" x14ac:dyDescent="0.25">
      <c r="A52" s="585" t="s">
        <v>48</v>
      </c>
      <c r="B52" s="502"/>
      <c r="C52" s="3">
        <f>IF('Reference Tables (Intersection)'!$D$7="No",(IF($I$9="3ST",'Reference Tables (Intersection)'!E11,(IF($I$9="4ST",'Reference Tables (Intersection)'!E19,'Reference Tables (Intersection)'!E27)))),(IF($I$9="3ST",'Reference Tables (Intersection)'!I11,(IF($I$9="4ST",'Reference Tables (Intersection)'!I19,'Reference Tables (Intersection)'!I27)))))</f>
        <v>0.106</v>
      </c>
      <c r="D52" s="504">
        <f t="shared" si="0"/>
        <v>2.9884300957692842</v>
      </c>
      <c r="E52" s="505"/>
      <c r="F52" s="3">
        <f>IF('Reference Tables (Intersection)'!$D$7="No",(IF($I$9="3ST",'Reference Tables (Intersection)'!F11,(IF($I$9="4ST",'Reference Tables (Intersection)'!F19,'Reference Tables (Intersection)'!F27)))),(IF($I$9="3ST",'Reference Tables (Intersection)'!J11,(IF($I$9="4ST",'Reference Tables (Intersection)'!J19,'Reference Tables (Intersection)'!J27)))))</f>
        <v>4.7E-2</v>
      </c>
      <c r="G52" s="504">
        <f t="shared" si="1"/>
        <v>0.48969824840776277</v>
      </c>
      <c r="H52" s="505"/>
      <c r="I52" s="3">
        <f>IF('Reference Tables (Intersection)'!$D$7="No",(IF($I$9="3ST",'Reference Tables (Intersection)'!G11,(IF($I$9="4ST",'Reference Tables (Intersection)'!G19,'Reference Tables (Intersection)'!G27)))),(IF($I$9="3ST",'Reference Tables (Intersection)'!K11,(IF($I$9="4ST",'Reference Tables (Intersection)'!K19,'Reference Tables (Intersection)'!K27)))))</f>
        <v>3.9E-2</v>
      </c>
      <c r="J52" s="53">
        <f t="shared" si="2"/>
        <v>0.21193973647764447</v>
      </c>
      <c r="K52" s="3">
        <f>IF('Reference Tables (Intersection)'!$D$7="No",(IF($I$9="3ST",'Reference Tables (Intersection)'!H11,(IF($I$9="4ST",'Reference Tables (Intersection)'!H19,'Reference Tables (Intersection)'!H27)))),(IF($I$9="3ST",'Reference Tables (Intersection)'!L11,(IF($I$9="4ST",'Reference Tables (Intersection)'!L19,'Reference Tables (Intersection)'!L27)))))</f>
        <v>0.14699999999999999</v>
      </c>
      <c r="L52" s="504">
        <f t="shared" si="3"/>
        <v>2.6127228873906514</v>
      </c>
      <c r="M52" s="524"/>
    </row>
    <row r="53" spans="1:14" x14ac:dyDescent="0.25">
      <c r="A53" s="503" t="s">
        <v>47</v>
      </c>
      <c r="B53" s="502"/>
      <c r="C53" s="3">
        <f>IF('Reference Tables (Intersection)'!$D$7="No",(IF($I$9="3ST",'Reference Tables (Intersection)'!E12,(IF($I$9="4ST",'Reference Tables (Intersection)'!E20,'Reference Tables (Intersection)'!E28)))),(IF($I$9="3ST",'Reference Tables (Intersection)'!I12,(IF($I$9="4ST",'Reference Tables (Intersection)'!I20,'Reference Tables (Intersection)'!I28)))))</f>
        <v>0.49199999999999999</v>
      </c>
      <c r="D53" s="504">
        <f t="shared" si="0"/>
        <v>13.870826482249885</v>
      </c>
      <c r="E53" s="505"/>
      <c r="F53" s="3">
        <f>IF('Reference Tables (Intersection)'!$D$7="No",(IF($I$9="3ST",'Reference Tables (Intersection)'!F12,(IF($I$9="4ST",'Reference Tables (Intersection)'!F20,'Reference Tables (Intersection)'!F28)))),(IF($I$9="3ST",'Reference Tables (Intersection)'!J12,(IF($I$9="4ST",'Reference Tables (Intersection)'!J20,'Reference Tables (Intersection)'!J28)))))</f>
        <v>0.47199999999999998</v>
      </c>
      <c r="G53" s="504">
        <f t="shared" si="1"/>
        <v>4.917820707414128</v>
      </c>
      <c r="H53" s="505"/>
      <c r="I53" s="3">
        <f>IF('Reference Tables (Intersection)'!$D$7="No",(IF($I$9="3ST",'Reference Tables (Intersection)'!G12,(IF($I$9="4ST",'Reference Tables (Intersection)'!G20,'Reference Tables (Intersection)'!G28)))),(IF($I$9="3ST",'Reference Tables (Intersection)'!K12,(IF($I$9="4ST",'Reference Tables (Intersection)'!K20,'Reference Tables (Intersection)'!K28)))))</f>
        <v>0.314</v>
      </c>
      <c r="J53" s="53">
        <f t="shared" si="2"/>
        <v>1.7063865962559068</v>
      </c>
      <c r="K53" s="3">
        <f>IF('Reference Tables (Intersection)'!$D$7="No",(IF($I$9="3ST",'Reference Tables (Intersection)'!H12,(IF($I$9="4ST",'Reference Tables (Intersection)'!H20,'Reference Tables (Intersection)'!H28)))),(IF($I$9="3ST",'Reference Tables (Intersection)'!L12,(IF($I$9="4ST",'Reference Tables (Intersection)'!L20,'Reference Tables (Intersection)'!L28)))))</f>
        <v>0.505</v>
      </c>
      <c r="L53" s="504">
        <f t="shared" si="3"/>
        <v>8.9756806675665235</v>
      </c>
      <c r="M53" s="524"/>
    </row>
    <row r="54" spans="1:14" x14ac:dyDescent="0.25">
      <c r="A54" s="585" t="s">
        <v>45</v>
      </c>
      <c r="B54" s="502"/>
      <c r="C54" s="3">
        <f>IF('Reference Tables (Intersection)'!$D$7="No",(IF($I$9="3ST",'Reference Tables (Intersection)'!E13,(IF($I$9="4ST",'Reference Tables (Intersection)'!E21,'Reference Tables (Intersection)'!E29)))),(IF($I$9="3ST",'Reference Tables (Intersection)'!I13,(IF($I$9="4ST",'Reference Tables (Intersection)'!I21,'Reference Tables (Intersection)'!I29)))))</f>
        <v>0.25600000000000001</v>
      </c>
      <c r="D54" s="504">
        <f t="shared" si="0"/>
        <v>7.2173406086503471</v>
      </c>
      <c r="E54" s="505"/>
      <c r="F54" s="3">
        <f>IF('Reference Tables (Intersection)'!$D$7="No",(IF($I$9="3ST",'Reference Tables (Intersection)'!F13,(IF($I$9="4ST",'Reference Tables (Intersection)'!F21,'Reference Tables (Intersection)'!F29)))),(IF($I$9="3ST",'Reference Tables (Intersection)'!J13,(IF($I$9="4ST",'Reference Tables (Intersection)'!J21,'Reference Tables (Intersection)'!J29)))))</f>
        <v>0.315</v>
      </c>
      <c r="G54" s="504">
        <f t="shared" si="1"/>
        <v>3.2820201754988356</v>
      </c>
      <c r="H54" s="505"/>
      <c r="I54" s="3">
        <f>IF('Reference Tables (Intersection)'!$D$7="No",(IF($I$9="3ST",'Reference Tables (Intersection)'!G13,(IF($I$9="4ST",'Reference Tables (Intersection)'!G21,'Reference Tables (Intersection)'!G29)))),(IF($I$9="3ST",'Reference Tables (Intersection)'!K13,(IF($I$9="4ST",'Reference Tables (Intersection)'!K21,'Reference Tables (Intersection)'!K29)))))</f>
        <v>0.40699999999999997</v>
      </c>
      <c r="J54" s="53">
        <f t="shared" si="2"/>
        <v>2.2117813524718279</v>
      </c>
      <c r="K54" s="3">
        <f>IF('Reference Tables (Intersection)'!$D$7="No",(IF($I$9="3ST",'Reference Tables (Intersection)'!H13,(IF($I$9="4ST",'Reference Tables (Intersection)'!H21,'Reference Tables (Intersection)'!H29)))),(IF($I$9="3ST",'Reference Tables (Intersection)'!L13,(IF($I$9="4ST",'Reference Tables (Intersection)'!L21,'Reference Tables (Intersection)'!L29)))))</f>
        <v>0.215</v>
      </c>
      <c r="L54" s="504">
        <f t="shared" si="3"/>
        <v>3.8213293931223813</v>
      </c>
      <c r="M54" s="524"/>
    </row>
    <row r="55" spans="1:14" x14ac:dyDescent="0.25">
      <c r="A55" s="585" t="s">
        <v>169</v>
      </c>
      <c r="B55" s="502"/>
      <c r="C55" s="3">
        <f>IF('Reference Tables (Intersection)'!$D$7="No",(IF($I$9="3ST",'Reference Tables (Intersection)'!E14,(IF($I$9="4ST",'Reference Tables (Intersection)'!E22,'Reference Tables (Intersection)'!E30)))),(IF($I$9="3ST",'Reference Tables (Intersection)'!I14,(IF($I$9="4ST",'Reference Tables (Intersection)'!I22,'Reference Tables (Intersection)'!I30)))))</f>
        <v>6.2E-2</v>
      </c>
      <c r="D55" s="504">
        <f t="shared" si="0"/>
        <v>1.7479496786575059</v>
      </c>
      <c r="E55" s="505"/>
      <c r="F55" s="3">
        <f>IF('Reference Tables (Intersection)'!$D$7="No",(IF($I$9="3ST",'Reference Tables (Intersection)'!F14,(IF($I$9="4ST",'Reference Tables (Intersection)'!F22,'Reference Tables (Intersection)'!F30)))),(IF($I$9="3ST",'Reference Tables (Intersection)'!J14,(IF($I$9="4ST",'Reference Tables (Intersection)'!J22,'Reference Tables (Intersection)'!J30)))))</f>
        <v>4.1000000000000002E-2</v>
      </c>
      <c r="G55" s="504">
        <f t="shared" si="1"/>
        <v>0.42718357839826115</v>
      </c>
      <c r="H55" s="505"/>
      <c r="I55" s="3">
        <f>IF('Reference Tables (Intersection)'!$D$7="No",(IF($I$9="3ST",'Reference Tables (Intersection)'!G14,(IF($I$9="4ST",'Reference Tables (Intersection)'!G22,'Reference Tables (Intersection)'!G30)))),(IF($I$9="3ST",'Reference Tables (Intersection)'!K14,(IF($I$9="4ST",'Reference Tables (Intersection)'!K22,'Reference Tables (Intersection)'!K30)))))</f>
        <v>7.8E-2</v>
      </c>
      <c r="J55" s="53">
        <f t="shared" si="2"/>
        <v>0.42387947295528894</v>
      </c>
      <c r="K55" s="3">
        <f>IF('Reference Tables (Intersection)'!$D$7="No",(IF($I$9="3ST",'Reference Tables (Intersection)'!H14,(IF($I$9="4ST",'Reference Tables (Intersection)'!H22,'Reference Tables (Intersection)'!H30)))),(IF($I$9="3ST",'Reference Tables (Intersection)'!L14,(IF($I$9="4ST",'Reference Tables (Intersection)'!L22,'Reference Tables (Intersection)'!L30)))))</f>
        <v>7.6999999999999999E-2</v>
      </c>
      <c r="L55" s="504">
        <f t="shared" si="3"/>
        <v>1.3685691314903412</v>
      </c>
      <c r="M55" s="524"/>
    </row>
    <row r="56" spans="1:14" ht="13" thickBot="1" x14ac:dyDescent="0.3">
      <c r="A56" s="586" t="s">
        <v>170</v>
      </c>
      <c r="B56" s="587"/>
      <c r="C56" s="3">
        <f>IF('Reference Tables (Intersection)'!$D$7="No",(IF($I$9="3ST",'Reference Tables (Intersection)'!E15,(IF($I$9="4ST",'Reference Tables (Intersection)'!E23,'Reference Tables (Intersection)'!E31)))),(IF($I$9="3ST",'Reference Tables (Intersection)'!I15,(IF($I$9="4ST",'Reference Tables (Intersection)'!I23,'Reference Tables (Intersection)'!I31)))))</f>
        <v>0.03</v>
      </c>
      <c r="D56" s="504">
        <f t="shared" si="0"/>
        <v>0.84578210257621256</v>
      </c>
      <c r="E56" s="505"/>
      <c r="F56" s="3">
        <f>IF('Reference Tables (Intersection)'!$D$7="No",(IF($I$9="3ST",'Reference Tables (Intersection)'!F15,(IF($I$9="4ST",'Reference Tables (Intersection)'!F23,'Reference Tables (Intersection)'!F31)))),(IF($I$9="3ST",'Reference Tables (Intersection)'!J15,(IF($I$9="4ST",'Reference Tables (Intersection)'!J23,'Reference Tables (Intersection)'!J31)))))</f>
        <v>4.2000000000000003E-2</v>
      </c>
      <c r="G56" s="504">
        <f t="shared" si="1"/>
        <v>0.43760269006651148</v>
      </c>
      <c r="H56" s="505"/>
      <c r="I56" s="3">
        <f>IF('Reference Tables (Intersection)'!$D$7="No",(IF($I$9="3ST",'Reference Tables (Intersection)'!G15,(IF($I$9="4ST",'Reference Tables (Intersection)'!G23,'Reference Tables (Intersection)'!G31)))),(IF($I$9="3ST",'Reference Tables (Intersection)'!K15,(IF($I$9="4ST",'Reference Tables (Intersection)'!K23,'Reference Tables (Intersection)'!K31)))))</f>
        <v>6.9000000000000006E-2</v>
      </c>
      <c r="J56" s="53">
        <f t="shared" si="2"/>
        <v>0.37497030299890949</v>
      </c>
      <c r="K56" s="3">
        <f>IF('Reference Tables (Intersection)'!$D$7="No",(IF($I$9="3ST",'Reference Tables (Intersection)'!H15,(IF($I$9="4ST",'Reference Tables (Intersection)'!H23,'Reference Tables (Intersection)'!H31)))),(IF($I$9="3ST",'Reference Tables (Intersection)'!L15,(IF($I$9="4ST",'Reference Tables (Intersection)'!L23,'Reference Tables (Intersection)'!L31)))))</f>
        <v>2.1999999999999999E-2</v>
      </c>
      <c r="L56" s="504">
        <f t="shared" si="3"/>
        <v>0.3910197518543832</v>
      </c>
      <c r="M56" s="524"/>
    </row>
    <row r="57" spans="1:14" x14ac:dyDescent="0.25">
      <c r="A57" s="568" t="s">
        <v>154</v>
      </c>
      <c r="B57" s="569"/>
      <c r="C57" s="569"/>
      <c r="D57" s="569"/>
      <c r="E57" s="569"/>
      <c r="F57" s="569"/>
      <c r="G57" s="569"/>
      <c r="H57" s="569"/>
      <c r="I57" s="569"/>
      <c r="J57" s="569"/>
      <c r="K57" s="569"/>
      <c r="L57" s="569"/>
      <c r="M57" s="569"/>
      <c r="N57" s="43"/>
    </row>
    <row r="58" spans="1:14" x14ac:dyDescent="0.25">
      <c r="C58" s="33"/>
      <c r="D58" s="33"/>
      <c r="E58" s="33"/>
      <c r="F58" s="33"/>
      <c r="G58" s="1"/>
      <c r="H58" s="33"/>
      <c r="I58" s="33"/>
      <c r="J58" s="33"/>
      <c r="K58" s="1"/>
      <c r="L58" s="33"/>
      <c r="M58" s="33"/>
    </row>
    <row r="59" spans="1:14" x14ac:dyDescent="0.25">
      <c r="C59" s="33"/>
      <c r="D59" s="33"/>
      <c r="E59" s="33"/>
      <c r="F59" s="33"/>
      <c r="G59" s="1"/>
      <c r="H59" s="33"/>
      <c r="I59" s="33"/>
      <c r="J59" s="33"/>
      <c r="K59" s="1"/>
      <c r="L59" s="33"/>
      <c r="M59" s="33"/>
    </row>
    <row r="60" spans="1:14" ht="13" thickBot="1" x14ac:dyDescent="0.3">
      <c r="C60" s="33"/>
      <c r="D60" s="33"/>
      <c r="E60" s="33"/>
      <c r="F60" s="33"/>
      <c r="G60" s="1"/>
      <c r="H60" s="33"/>
      <c r="I60" s="33"/>
      <c r="J60" s="33"/>
      <c r="K60" s="1"/>
      <c r="L60" s="33"/>
      <c r="M60" s="33"/>
    </row>
    <row r="61" spans="1:14" ht="14" thickTop="1" thickBot="1" x14ac:dyDescent="0.3">
      <c r="C61" s="382" t="s">
        <v>851</v>
      </c>
      <c r="D61" s="382"/>
      <c r="E61" s="382"/>
      <c r="F61" s="382"/>
      <c r="G61" s="382"/>
      <c r="H61" s="382"/>
      <c r="I61" s="382"/>
      <c r="J61" s="33"/>
      <c r="K61" s="1"/>
      <c r="L61" s="33"/>
      <c r="M61" s="33"/>
    </row>
    <row r="62" spans="1:14" x14ac:dyDescent="0.25">
      <c r="C62" s="420"/>
      <c r="D62" s="421"/>
      <c r="E62" s="421"/>
      <c r="F62" s="426"/>
      <c r="G62" s="427"/>
      <c r="H62" s="426"/>
      <c r="I62" s="427"/>
      <c r="J62" s="33"/>
      <c r="K62" s="1"/>
      <c r="L62" s="33"/>
      <c r="M62" s="33"/>
    </row>
    <row r="63" spans="1:14" x14ac:dyDescent="0.25">
      <c r="C63" s="422" t="s">
        <v>36</v>
      </c>
      <c r="D63" s="395"/>
      <c r="E63" s="395"/>
      <c r="F63" s="379" t="s">
        <v>838</v>
      </c>
      <c r="G63" s="428"/>
      <c r="H63" s="379" t="s">
        <v>839</v>
      </c>
      <c r="I63" s="428"/>
      <c r="J63" s="33"/>
      <c r="K63" s="1"/>
      <c r="L63" s="33"/>
      <c r="M63" s="33"/>
    </row>
    <row r="64" spans="1:14" x14ac:dyDescent="0.25">
      <c r="C64" s="423"/>
      <c r="D64" s="395"/>
      <c r="E64" s="395"/>
      <c r="F64" s="379"/>
      <c r="G64" s="428"/>
      <c r="H64" s="379"/>
      <c r="I64" s="428"/>
      <c r="J64" s="33"/>
      <c r="K64" s="1"/>
      <c r="L64" s="33"/>
      <c r="M64" s="33"/>
    </row>
    <row r="65" spans="1:13" ht="12.65" customHeight="1" x14ac:dyDescent="0.25">
      <c r="C65" s="423"/>
      <c r="D65" s="395"/>
      <c r="E65" s="395"/>
      <c r="F65" s="429" t="s">
        <v>852</v>
      </c>
      <c r="G65" s="430"/>
      <c r="H65" s="429" t="s">
        <v>852</v>
      </c>
      <c r="I65" s="430"/>
      <c r="J65" s="33"/>
      <c r="K65" s="1"/>
      <c r="L65" s="33"/>
      <c r="M65" s="33"/>
    </row>
    <row r="66" spans="1:13" x14ac:dyDescent="0.25">
      <c r="C66" s="423"/>
      <c r="D66" s="395"/>
      <c r="E66" s="395"/>
      <c r="F66" s="431"/>
      <c r="G66" s="430"/>
      <c r="H66" s="431"/>
      <c r="I66" s="430"/>
      <c r="J66" s="33"/>
      <c r="K66" s="1"/>
      <c r="L66" s="33"/>
      <c r="M66" s="33"/>
    </row>
    <row r="67" spans="1:13" x14ac:dyDescent="0.25">
      <c r="C67" s="424" t="s">
        <v>39</v>
      </c>
      <c r="D67" s="425"/>
      <c r="E67" s="425"/>
      <c r="F67" s="432">
        <f>'Ped&amp;Bike (Intersection Results)'!C80</f>
        <v>2.0010285157499998E-2</v>
      </c>
      <c r="G67" s="433"/>
      <c r="H67" s="432">
        <f>'Ped&amp;Bike (Intersection Results)'!F80</f>
        <v>1.9624250156343027E-3</v>
      </c>
      <c r="I67" s="433"/>
      <c r="J67" s="33"/>
      <c r="K67" s="1"/>
      <c r="L67" s="33"/>
      <c r="M67" s="33"/>
    </row>
    <row r="68" spans="1:13" x14ac:dyDescent="0.25">
      <c r="C68" s="425" t="s">
        <v>262</v>
      </c>
      <c r="D68" s="425"/>
      <c r="E68" s="425"/>
      <c r="F68" s="409">
        <f>+F67</f>
        <v>2.0010285157499998E-2</v>
      </c>
      <c r="G68" s="409"/>
      <c r="H68" s="409">
        <f>+H67</f>
        <v>1.9624250156343027E-3</v>
      </c>
      <c r="I68" s="409"/>
      <c r="J68" s="33"/>
      <c r="K68" s="1"/>
      <c r="L68" s="33"/>
      <c r="M68" s="33"/>
    </row>
    <row r="69" spans="1:13" ht="15" thickBot="1" x14ac:dyDescent="0.3">
      <c r="C69" s="410" t="s">
        <v>152</v>
      </c>
      <c r="D69" s="411"/>
      <c r="E69" s="411"/>
      <c r="F69" s="413">
        <f>'Ped&amp;Bike (Intersection Results)'!C81+'Ped&amp;Bike (Intersection Results)'!C82+'Ped&amp;Bike (Intersection Results)'!C83</f>
        <v>7.5038569340624989E-3</v>
      </c>
      <c r="G69" s="414"/>
      <c r="H69" s="414">
        <f>'Ped&amp;Bike (Intersection Results)'!F81+'Ped&amp;Bike (Intersection Results)'!F82+'Ped&amp;Bike (Intersection Results)'!F83</f>
        <v>1.8113182894304615E-3</v>
      </c>
      <c r="I69" s="414"/>
      <c r="J69" s="33"/>
      <c r="K69" s="1"/>
      <c r="L69" s="33"/>
      <c r="M69" s="33"/>
    </row>
    <row r="70" spans="1:13" x14ac:dyDescent="0.25">
      <c r="C70" s="412" t="s">
        <v>154</v>
      </c>
      <c r="D70" s="412"/>
      <c r="E70" s="412"/>
      <c r="F70" s="412"/>
      <c r="G70" s="412"/>
      <c r="H70" s="412"/>
      <c r="I70" s="412"/>
      <c r="J70" s="33"/>
      <c r="K70" s="1"/>
      <c r="L70" s="33"/>
      <c r="M70" s="33"/>
    </row>
    <row r="71" spans="1:13" x14ac:dyDescent="0.25">
      <c r="C71" s="33"/>
      <c r="D71" s="33"/>
      <c r="E71" s="33"/>
      <c r="F71" s="33"/>
      <c r="G71" s="1"/>
      <c r="H71" s="33"/>
      <c r="I71" s="33"/>
      <c r="J71" s="33"/>
      <c r="K71" s="1"/>
      <c r="L71" s="33"/>
      <c r="M71" s="33"/>
    </row>
    <row r="72" spans="1:13" ht="13" x14ac:dyDescent="0.3">
      <c r="A72" s="4"/>
      <c r="B72" s="1"/>
      <c r="C72" s="1"/>
      <c r="D72" s="1"/>
      <c r="E72" s="1"/>
      <c r="F72" s="1"/>
      <c r="G72" s="1"/>
    </row>
    <row r="73" spans="1:13" ht="13" thickBot="1" x14ac:dyDescent="0.3"/>
    <row r="74" spans="1:13" ht="14" thickTop="1" thickBot="1" x14ac:dyDescent="0.3">
      <c r="C74" s="333" t="s">
        <v>224</v>
      </c>
      <c r="D74" s="333"/>
      <c r="E74" s="333"/>
      <c r="F74" s="333"/>
      <c r="G74" s="333"/>
      <c r="H74" s="333"/>
      <c r="I74" s="333"/>
      <c r="J74" s="333"/>
      <c r="K74" s="34"/>
      <c r="L74" s="34"/>
      <c r="M74" s="34"/>
    </row>
    <row r="75" spans="1:13" x14ac:dyDescent="0.25">
      <c r="C75" s="565" t="s">
        <v>19</v>
      </c>
      <c r="D75" s="514"/>
      <c r="E75" s="514"/>
      <c r="F75" s="515"/>
      <c r="G75" s="426" t="s">
        <v>20</v>
      </c>
      <c r="H75" s="566"/>
      <c r="I75" s="566"/>
      <c r="J75" s="567"/>
      <c r="K75" s="1"/>
      <c r="L75" s="1"/>
      <c r="M75" s="1"/>
    </row>
    <row r="76" spans="1:13" ht="13" x14ac:dyDescent="0.3">
      <c r="C76" s="573" t="s">
        <v>49</v>
      </c>
      <c r="D76" s="521"/>
      <c r="E76" s="521"/>
      <c r="F76" s="521"/>
      <c r="G76" s="576" t="s">
        <v>111</v>
      </c>
      <c r="H76" s="576"/>
      <c r="I76" s="576"/>
      <c r="J76" s="577"/>
      <c r="K76" s="4"/>
      <c r="L76" s="4"/>
      <c r="M76" s="4"/>
    </row>
    <row r="77" spans="1:13" ht="25.5" customHeight="1" x14ac:dyDescent="0.25">
      <c r="C77" s="574"/>
      <c r="D77" s="575"/>
      <c r="E77" s="575"/>
      <c r="F77" s="575"/>
      <c r="G77" s="578" t="s">
        <v>853</v>
      </c>
      <c r="H77" s="579"/>
      <c r="I77" s="579"/>
      <c r="J77" s="580"/>
      <c r="K77" s="31"/>
    </row>
    <row r="78" spans="1:13" ht="15.65" customHeight="1" x14ac:dyDescent="0.25">
      <c r="C78" s="559" t="s">
        <v>39</v>
      </c>
      <c r="D78" s="560"/>
      <c r="E78" s="560"/>
      <c r="F78" s="523"/>
      <c r="G78" s="561">
        <f>+L34 + F67 + H67</f>
        <v>28.214709462713554</v>
      </c>
      <c r="H78" s="562"/>
      <c r="I78" s="562"/>
      <c r="J78" s="562"/>
      <c r="K78" s="10"/>
      <c r="L78" s="10"/>
      <c r="M78" s="10"/>
    </row>
    <row r="79" spans="1:13" x14ac:dyDescent="0.25">
      <c r="C79" s="559" t="s">
        <v>40</v>
      </c>
      <c r="D79" s="560"/>
      <c r="E79" s="560"/>
      <c r="F79" s="523"/>
      <c r="G79" s="561">
        <f>+L35 + F68 + H68</f>
        <v>10.441084378423406</v>
      </c>
      <c r="H79" s="562"/>
      <c r="I79" s="562"/>
      <c r="J79" s="562"/>
      <c r="K79" s="10"/>
      <c r="L79" s="10"/>
      <c r="M79" s="10"/>
    </row>
    <row r="80" spans="1:13" ht="14.5" x14ac:dyDescent="0.25">
      <c r="C80" s="570" t="s">
        <v>152</v>
      </c>
      <c r="D80" s="571"/>
      <c r="E80" s="571"/>
      <c r="F80" s="572"/>
      <c r="G80" s="561">
        <f>+L36 + F69 + H69</f>
        <v>5.443667392598992</v>
      </c>
      <c r="H80" s="562"/>
      <c r="I80" s="562"/>
      <c r="J80" s="562"/>
      <c r="K80" s="10"/>
      <c r="L80" s="10"/>
      <c r="M80" s="10"/>
    </row>
    <row r="81" spans="1:14" ht="13" thickBot="1" x14ac:dyDescent="0.3">
      <c r="C81" s="557" t="s">
        <v>41</v>
      </c>
      <c r="D81" s="558"/>
      <c r="E81" s="558"/>
      <c r="F81" s="513"/>
      <c r="G81" s="563">
        <f>+L38</f>
        <v>17.773625084290146</v>
      </c>
      <c r="H81" s="564"/>
      <c r="I81" s="564"/>
      <c r="J81" s="564"/>
      <c r="K81" s="10"/>
      <c r="L81" s="10"/>
      <c r="M81" s="10"/>
    </row>
    <row r="82" spans="1:14" x14ac:dyDescent="0.25">
      <c r="C82" s="568" t="s">
        <v>154</v>
      </c>
      <c r="D82" s="569"/>
      <c r="E82" s="569"/>
      <c r="F82" s="569"/>
      <c r="G82" s="569"/>
      <c r="H82" s="569"/>
      <c r="I82" s="569"/>
      <c r="J82" s="569"/>
      <c r="K82" s="43"/>
      <c r="L82" s="43"/>
      <c r="M82" s="43"/>
      <c r="N82" s="43"/>
    </row>
    <row r="87" spans="1:14" x14ac:dyDescent="0.25">
      <c r="A87" s="31"/>
      <c r="B87" s="31"/>
      <c r="C87" s="31"/>
      <c r="D87" s="31"/>
      <c r="E87" s="31"/>
      <c r="F87" s="31"/>
      <c r="G87" s="31"/>
      <c r="H87" s="31"/>
      <c r="I87" s="31"/>
      <c r="J87" s="31"/>
      <c r="K87" s="31"/>
      <c r="L87" s="31"/>
      <c r="M87" s="31"/>
    </row>
    <row r="88" spans="1:14" ht="13" x14ac:dyDescent="0.25">
      <c r="A88" s="41"/>
      <c r="B88" s="41"/>
      <c r="K88" s="42"/>
      <c r="L88" s="42"/>
      <c r="M88" s="42"/>
    </row>
    <row r="89" spans="1:14" ht="13" x14ac:dyDescent="0.25">
      <c r="A89" s="41"/>
      <c r="B89" s="41"/>
      <c r="K89" s="42"/>
      <c r="L89" s="31"/>
      <c r="M89" s="31"/>
    </row>
    <row r="90" spans="1:14" x14ac:dyDescent="0.25">
      <c r="A90" s="43"/>
      <c r="B90" s="43"/>
      <c r="K90" s="1"/>
      <c r="L90" s="10"/>
      <c r="M90" s="10"/>
    </row>
    <row r="91" spans="1:14" x14ac:dyDescent="0.25">
      <c r="A91" s="43"/>
      <c r="B91" s="43"/>
      <c r="K91" s="1"/>
      <c r="L91" s="10"/>
      <c r="M91" s="10"/>
    </row>
    <row r="92" spans="1:14" x14ac:dyDescent="0.25">
      <c r="A92" s="43"/>
      <c r="B92" s="43"/>
      <c r="K92" s="1"/>
      <c r="L92" s="10"/>
      <c r="M92" s="10"/>
    </row>
  </sheetData>
  <mergeCells count="210">
    <mergeCell ref="C70:I70"/>
    <mergeCell ref="C67:E67"/>
    <mergeCell ref="F67:G67"/>
    <mergeCell ref="H67:I67"/>
    <mergeCell ref="C68:E68"/>
    <mergeCell ref="F68:G68"/>
    <mergeCell ref="H68:I68"/>
    <mergeCell ref="C69:E69"/>
    <mergeCell ref="F69:G69"/>
    <mergeCell ref="H69:I69"/>
    <mergeCell ref="C61:I61"/>
    <mergeCell ref="C62:E62"/>
    <mergeCell ref="F62:G62"/>
    <mergeCell ref="H62:I62"/>
    <mergeCell ref="C63:E66"/>
    <mergeCell ref="F63:G64"/>
    <mergeCell ref="H63:I64"/>
    <mergeCell ref="F65:G66"/>
    <mergeCell ref="H65:I66"/>
    <mergeCell ref="A2:M2"/>
    <mergeCell ref="A3:F3"/>
    <mergeCell ref="G3:M3"/>
    <mergeCell ref="A7:C7"/>
    <mergeCell ref="D7:F7"/>
    <mergeCell ref="G7:I7"/>
    <mergeCell ref="J4:M4"/>
    <mergeCell ref="A6:C6"/>
    <mergeCell ref="A4:C4"/>
    <mergeCell ref="D4:F4"/>
    <mergeCell ref="A5:C5"/>
    <mergeCell ref="D5:F5"/>
    <mergeCell ref="G4:I4"/>
    <mergeCell ref="D6:F6"/>
    <mergeCell ref="G6:I6"/>
    <mergeCell ref="G5:I5"/>
    <mergeCell ref="J5:M5"/>
    <mergeCell ref="J7:M7"/>
    <mergeCell ref="J6:M6"/>
    <mergeCell ref="A8:F8"/>
    <mergeCell ref="G8:H8"/>
    <mergeCell ref="I8:M8"/>
    <mergeCell ref="A14:F14"/>
    <mergeCell ref="G14:H14"/>
    <mergeCell ref="I14:M14"/>
    <mergeCell ref="A13:F13"/>
    <mergeCell ref="G13:H13"/>
    <mergeCell ref="I13:M13"/>
    <mergeCell ref="G12:H12"/>
    <mergeCell ref="G10:H10"/>
    <mergeCell ref="I10:M10"/>
    <mergeCell ref="A12:F12"/>
    <mergeCell ref="A11:C11"/>
    <mergeCell ref="A9:F9"/>
    <mergeCell ref="G9:H9"/>
    <mergeCell ref="I9:M9"/>
    <mergeCell ref="A10:C10"/>
    <mergeCell ref="G11:H11"/>
    <mergeCell ref="I11:M11"/>
    <mergeCell ref="A19:M19"/>
    <mergeCell ref="L20:M20"/>
    <mergeCell ref="A16:F16"/>
    <mergeCell ref="G16:H16"/>
    <mergeCell ref="I16:M16"/>
    <mergeCell ref="A15:F15"/>
    <mergeCell ref="G15:H15"/>
    <mergeCell ref="I15:M15"/>
    <mergeCell ref="A20:B20"/>
    <mergeCell ref="C20:E20"/>
    <mergeCell ref="B18:L18"/>
    <mergeCell ref="L33:M33"/>
    <mergeCell ref="L34:M34"/>
    <mergeCell ref="A43:B43"/>
    <mergeCell ref="D43:E43"/>
    <mergeCell ref="A42:M42"/>
    <mergeCell ref="A37:B38"/>
    <mergeCell ref="C37:C38"/>
    <mergeCell ref="A36:B36"/>
    <mergeCell ref="A50:B50"/>
    <mergeCell ref="D50:E50"/>
    <mergeCell ref="G50:H50"/>
    <mergeCell ref="L50:M50"/>
    <mergeCell ref="A49:B49"/>
    <mergeCell ref="D49:E49"/>
    <mergeCell ref="G49:H49"/>
    <mergeCell ref="L49:M49"/>
    <mergeCell ref="F36:G36"/>
    <mergeCell ref="H36:I36"/>
    <mergeCell ref="C44:C46"/>
    <mergeCell ref="D44:E46"/>
    <mergeCell ref="L44:M46"/>
    <mergeCell ref="A39:M39"/>
    <mergeCell ref="K37:K38"/>
    <mergeCell ref="J37:J38"/>
    <mergeCell ref="H30:I30"/>
    <mergeCell ref="A29:M29"/>
    <mergeCell ref="J22:K22"/>
    <mergeCell ref="J23:K23"/>
    <mergeCell ref="J24:K24"/>
    <mergeCell ref="F20:G20"/>
    <mergeCell ref="F21:G21"/>
    <mergeCell ref="F22:G22"/>
    <mergeCell ref="J20:K20"/>
    <mergeCell ref="H20:I20"/>
    <mergeCell ref="H22:I22"/>
    <mergeCell ref="H21:I21"/>
    <mergeCell ref="C21:E21"/>
    <mergeCell ref="C22:E23"/>
    <mergeCell ref="A26:M26"/>
    <mergeCell ref="L24:M24"/>
    <mergeCell ref="L23:M23"/>
    <mergeCell ref="J21:K21"/>
    <mergeCell ref="A21:B23"/>
    <mergeCell ref="C24:E24"/>
    <mergeCell ref="A24:B24"/>
    <mergeCell ref="C82:J82"/>
    <mergeCell ref="F37:G38"/>
    <mergeCell ref="H37:I38"/>
    <mergeCell ref="G51:H51"/>
    <mergeCell ref="G47:H48"/>
    <mergeCell ref="I47:I48"/>
    <mergeCell ref="A52:B52"/>
    <mergeCell ref="D52:E52"/>
    <mergeCell ref="A51:B51"/>
    <mergeCell ref="D51:E51"/>
    <mergeCell ref="A44:B48"/>
    <mergeCell ref="C47:C48"/>
    <mergeCell ref="D47:E48"/>
    <mergeCell ref="A54:B54"/>
    <mergeCell ref="D54:E54"/>
    <mergeCell ref="D37:D38"/>
    <mergeCell ref="E37:E38"/>
    <mergeCell ref="A56:B56"/>
    <mergeCell ref="D56:E56"/>
    <mergeCell ref="G56:H56"/>
    <mergeCell ref="A55:B55"/>
    <mergeCell ref="D55:E55"/>
    <mergeCell ref="G55:H55"/>
    <mergeCell ref="J47:J48"/>
    <mergeCell ref="H31:I32"/>
    <mergeCell ref="C81:F81"/>
    <mergeCell ref="C78:F78"/>
    <mergeCell ref="G78:J78"/>
    <mergeCell ref="G81:J81"/>
    <mergeCell ref="L54:M54"/>
    <mergeCell ref="C79:F79"/>
    <mergeCell ref="G79:J79"/>
    <mergeCell ref="C75:F75"/>
    <mergeCell ref="G75:J75"/>
    <mergeCell ref="L56:M56"/>
    <mergeCell ref="L55:M55"/>
    <mergeCell ref="A57:M57"/>
    <mergeCell ref="C80:F80"/>
    <mergeCell ref="C74:J74"/>
    <mergeCell ref="C76:F77"/>
    <mergeCell ref="G76:J76"/>
    <mergeCell ref="G77:J77"/>
    <mergeCell ref="G80:J80"/>
    <mergeCell ref="G54:H54"/>
    <mergeCell ref="A34:B34"/>
    <mergeCell ref="C31:E31"/>
    <mergeCell ref="C32:E32"/>
    <mergeCell ref="J32:J33"/>
    <mergeCell ref="F31:G32"/>
    <mergeCell ref="L51:M51"/>
    <mergeCell ref="G52:H52"/>
    <mergeCell ref="L52:M52"/>
    <mergeCell ref="G53:H53"/>
    <mergeCell ref="L53:M53"/>
    <mergeCell ref="I12:M12"/>
    <mergeCell ref="J44:J46"/>
    <mergeCell ref="L43:M43"/>
    <mergeCell ref="I44:I46"/>
    <mergeCell ref="K44:K46"/>
    <mergeCell ref="L21:M22"/>
    <mergeCell ref="L30:M30"/>
    <mergeCell ref="F23:G23"/>
    <mergeCell ref="F24:G24"/>
    <mergeCell ref="H23:I23"/>
    <mergeCell ref="H24:I24"/>
    <mergeCell ref="L25:M25"/>
    <mergeCell ref="L31:M32"/>
    <mergeCell ref="L38:M38"/>
    <mergeCell ref="L35:M35"/>
    <mergeCell ref="L37:M37"/>
    <mergeCell ref="L47:M48"/>
    <mergeCell ref="L36:M36"/>
    <mergeCell ref="A35:B35"/>
    <mergeCell ref="A53:B53"/>
    <mergeCell ref="D53:E53"/>
    <mergeCell ref="A25:B25"/>
    <mergeCell ref="C25:E25"/>
    <mergeCell ref="C30:E30"/>
    <mergeCell ref="K31:K33"/>
    <mergeCell ref="F25:G25"/>
    <mergeCell ref="H25:I25"/>
    <mergeCell ref="J25:K25"/>
    <mergeCell ref="H33:I33"/>
    <mergeCell ref="F30:G30"/>
    <mergeCell ref="A30:B30"/>
    <mergeCell ref="G43:H43"/>
    <mergeCell ref="F44:F46"/>
    <mergeCell ref="G44:H46"/>
    <mergeCell ref="F47:F48"/>
    <mergeCell ref="F34:G34"/>
    <mergeCell ref="H34:I34"/>
    <mergeCell ref="K47:K48"/>
    <mergeCell ref="F35:G35"/>
    <mergeCell ref="H35:I35"/>
    <mergeCell ref="F33:G33"/>
    <mergeCell ref="A31:B33"/>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1">
    <dataValidation type="list" allowBlank="1" showInputMessage="1" showErrorMessage="1" sqref="AO42" xr:uid="{00000000-0002-0000-0400-000000000000}">
      <formula1>Local</formula1>
    </dataValidation>
    <dataValidation type="list" allowBlank="1" showInputMessage="1" showErrorMessage="1" sqref="I15:M15" xr:uid="{00000000-0002-0000-0400-000001000000}">
      <formula1>ILight</formula1>
    </dataValidation>
    <dataValidation type="list" allowBlank="1" showInputMessage="1" showErrorMessage="1" sqref="I13:M13" xr:uid="{00000000-0002-0000-0400-000002000000}">
      <formula1>IApproach</formula1>
    </dataValidation>
    <dataValidation allowBlank="1" showInputMessage="1" showErrorMessage="1" errorTitle="Invalid" sqref="L27:M27" xr:uid="{00000000-0002-0000-0400-000003000000}"/>
    <dataValidation type="whole" allowBlank="1" showInputMessage="1" showErrorMessage="1" sqref="I11:M11" xr:uid="{00000000-0002-0000-0400-000004000000}">
      <formula1>0</formula1>
      <formula2>23000</formula2>
    </dataValidation>
    <dataValidation type="list" operator="greaterThan" allowBlank="1" showInputMessage="1" showErrorMessage="1" sqref="I9:M9" xr:uid="{00000000-0002-0000-0400-000005000000}">
      <formula1>IType</formula1>
    </dataValidation>
    <dataValidation type="whole" allowBlank="1" showInputMessage="1" showErrorMessage="1" sqref="I12:M12" xr:uid="{00000000-0002-0000-0400-000006000000}">
      <formula1>0</formula1>
      <formula2>90</formula2>
    </dataValidation>
    <dataValidation type="whole" allowBlank="1" showInputMessage="1" showErrorMessage="1" sqref="I10:M10" xr:uid="{00000000-0002-0000-0400-000007000000}">
      <formula1>0</formula1>
      <formula2>78300</formula2>
    </dataValidation>
    <dataValidation type="whole" operator="greaterThan" allowBlank="1" showInputMessage="1" showErrorMessage="1" sqref="J7:M7" xr:uid="{00000000-0002-0000-0400-000008000000}">
      <formula1>1990</formula1>
    </dataValidation>
    <dataValidation type="decimal" allowBlank="1" showInputMessage="1" showErrorMessage="1" sqref="I16:M16" xr:uid="{00000000-0002-0000-0400-000009000000}">
      <formula1>0</formula1>
      <formula2>10</formula2>
    </dataValidation>
    <dataValidation type="list" allowBlank="1" showInputMessage="1" showErrorMessage="1" sqref="I14:M14" xr:uid="{00000000-0002-0000-0400-00000A000000}">
      <formula1>RtApproach</formula1>
    </dataValidation>
  </dataValidations>
  <pageMargins left="0.7" right="0.7" top="0.75" bottom="0.75" header="0.3" footer="0.3"/>
  <pageSetup orientation="portrait" r:id="rId1"/>
  <ignoredErrors>
    <ignoredError sqref="A20 C20 F20 H20 J20 L20 A30 C30 F30 H30 J30:L30 A43 C43:D43 F43:G43 I43:L43 C75 G7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2:F55"/>
  <sheetViews>
    <sheetView zoomScale="80" zoomScaleNormal="80" workbookViewId="0">
      <selection activeCell="D9" sqref="D9"/>
    </sheetView>
  </sheetViews>
  <sheetFormatPr defaultColWidth="8.7265625" defaultRowHeight="14.5" x14ac:dyDescent="0.35"/>
  <cols>
    <col min="1" max="1" width="8.7265625" style="185"/>
    <col min="2" max="2" width="68.54296875" style="185" customWidth="1"/>
    <col min="3" max="3" width="55.54296875" style="185" customWidth="1"/>
    <col min="4" max="4" width="49.1796875" style="185" customWidth="1"/>
    <col min="5" max="5" width="55.54296875" style="185" customWidth="1"/>
    <col min="6" max="6" width="49.1796875" style="185" customWidth="1"/>
    <col min="7" max="15" width="8.7265625" style="185"/>
    <col min="16" max="16" width="68.54296875" style="185" customWidth="1"/>
    <col min="17" max="16384" width="8.7265625" style="185"/>
  </cols>
  <sheetData>
    <row r="2" spans="2:6" ht="26" x14ac:dyDescent="0.6">
      <c r="B2" s="190" t="s">
        <v>577</v>
      </c>
      <c r="C2" s="203"/>
      <c r="D2" s="193"/>
    </row>
    <row r="3" spans="2:6" ht="21" x14ac:dyDescent="0.5">
      <c r="B3" s="202" t="s">
        <v>576</v>
      </c>
      <c r="C3" s="218" t="s">
        <v>655</v>
      </c>
    </row>
    <row r="4" spans="2:6" ht="29.25" customHeight="1" x14ac:dyDescent="0.5">
      <c r="B4" s="248" t="s">
        <v>85</v>
      </c>
      <c r="C4" s="249" t="s">
        <v>897</v>
      </c>
    </row>
    <row r="5" spans="2:6" ht="21" x14ac:dyDescent="0.5">
      <c r="B5" s="201" t="s">
        <v>574</v>
      </c>
      <c r="C5" s="200" t="s">
        <v>573</v>
      </c>
      <c r="D5" s="200" t="s">
        <v>572</v>
      </c>
      <c r="E5" s="200" t="s">
        <v>571</v>
      </c>
      <c r="F5" s="200" t="s">
        <v>570</v>
      </c>
    </row>
    <row r="6" spans="2:6" x14ac:dyDescent="0.35">
      <c r="B6" s="186" t="s">
        <v>569</v>
      </c>
      <c r="C6" s="224">
        <v>40000</v>
      </c>
      <c r="D6" s="221">
        <v>40000</v>
      </c>
      <c r="E6" s="221">
        <v>10000</v>
      </c>
      <c r="F6" s="221">
        <v>10000</v>
      </c>
    </row>
    <row r="7" spans="2:6" x14ac:dyDescent="0.35">
      <c r="B7" s="186" t="s">
        <v>458</v>
      </c>
      <c r="C7" s="225">
        <v>35</v>
      </c>
      <c r="D7" s="218">
        <v>35</v>
      </c>
      <c r="E7" s="218" t="s">
        <v>568</v>
      </c>
      <c r="F7" s="218" t="s">
        <v>568</v>
      </c>
    </row>
    <row r="8" spans="2:6" x14ac:dyDescent="0.35">
      <c r="B8" s="186" t="s">
        <v>416</v>
      </c>
      <c r="C8" s="225" t="s">
        <v>415</v>
      </c>
      <c r="D8" s="218" t="s">
        <v>415</v>
      </c>
      <c r="E8" s="218" t="s">
        <v>415</v>
      </c>
      <c r="F8" s="218" t="s">
        <v>415</v>
      </c>
    </row>
    <row r="9" spans="2:6" x14ac:dyDescent="0.35">
      <c r="B9" s="186" t="s">
        <v>567</v>
      </c>
      <c r="C9" s="225" t="s">
        <v>687</v>
      </c>
      <c r="D9" s="225" t="s">
        <v>566</v>
      </c>
      <c r="E9" s="225" t="s">
        <v>456</v>
      </c>
      <c r="F9" s="225" t="s">
        <v>456</v>
      </c>
    </row>
    <row r="11" spans="2:6" ht="21" x14ac:dyDescent="0.5">
      <c r="B11" s="201" t="s">
        <v>565</v>
      </c>
    </row>
    <row r="12" spans="2:6" x14ac:dyDescent="0.35">
      <c r="B12" s="186" t="s">
        <v>564</v>
      </c>
      <c r="C12" s="225" t="s">
        <v>563</v>
      </c>
      <c r="D12" s="218" t="s">
        <v>563</v>
      </c>
      <c r="E12" s="218" t="s">
        <v>563</v>
      </c>
      <c r="F12" s="218" t="s">
        <v>563</v>
      </c>
    </row>
    <row r="13" spans="2:6" x14ac:dyDescent="0.35">
      <c r="B13" s="186" t="s">
        <v>414</v>
      </c>
      <c r="C13" s="225" t="s">
        <v>413</v>
      </c>
      <c r="D13" s="218" t="s">
        <v>413</v>
      </c>
      <c r="E13" s="218" t="s">
        <v>413</v>
      </c>
      <c r="F13" s="218" t="s">
        <v>413</v>
      </c>
    </row>
    <row r="14" spans="2:6" x14ac:dyDescent="0.35">
      <c r="B14" s="186" t="s">
        <v>425</v>
      </c>
      <c r="C14" s="225" t="s">
        <v>424</v>
      </c>
      <c r="D14" s="218" t="s">
        <v>424</v>
      </c>
      <c r="E14" s="218" t="s">
        <v>424</v>
      </c>
      <c r="F14" s="218" t="s">
        <v>424</v>
      </c>
    </row>
    <row r="15" spans="2:6" x14ac:dyDescent="0.35">
      <c r="B15" s="186" t="s">
        <v>430</v>
      </c>
      <c r="C15" s="225" t="s">
        <v>429</v>
      </c>
      <c r="D15" s="218" t="s">
        <v>429</v>
      </c>
      <c r="E15" s="218" t="s">
        <v>429</v>
      </c>
      <c r="F15" s="218" t="s">
        <v>429</v>
      </c>
    </row>
    <row r="16" spans="2:6" x14ac:dyDescent="0.35">
      <c r="B16" s="186" t="s">
        <v>428</v>
      </c>
      <c r="C16" s="225" t="s">
        <v>562</v>
      </c>
      <c r="D16" s="218" t="s">
        <v>562</v>
      </c>
      <c r="E16" s="218" t="s">
        <v>562</v>
      </c>
      <c r="F16" s="218" t="s">
        <v>562</v>
      </c>
    </row>
    <row r="17" spans="2:6" x14ac:dyDescent="0.35">
      <c r="B17" s="186" t="s">
        <v>561</v>
      </c>
      <c r="C17" s="225" t="s">
        <v>420</v>
      </c>
      <c r="D17" s="218" t="s">
        <v>420</v>
      </c>
      <c r="E17" s="218" t="s">
        <v>420</v>
      </c>
      <c r="F17" s="218" t="s">
        <v>420</v>
      </c>
    </row>
    <row r="18" spans="2:6" x14ac:dyDescent="0.35">
      <c r="B18" s="186" t="s">
        <v>419</v>
      </c>
      <c r="C18" s="225" t="s">
        <v>417</v>
      </c>
      <c r="D18" s="218" t="s">
        <v>417</v>
      </c>
      <c r="E18" s="218" t="s">
        <v>417</v>
      </c>
      <c r="F18" s="218" t="s">
        <v>417</v>
      </c>
    </row>
    <row r="19" spans="2:6" x14ac:dyDescent="0.35">
      <c r="B19" s="186" t="s">
        <v>418</v>
      </c>
      <c r="C19" s="225" t="s">
        <v>417</v>
      </c>
      <c r="D19" s="218" t="s">
        <v>417</v>
      </c>
      <c r="E19" s="218" t="s">
        <v>417</v>
      </c>
      <c r="F19" s="218" t="s">
        <v>417</v>
      </c>
    </row>
    <row r="20" spans="2:6" x14ac:dyDescent="0.35">
      <c r="B20" s="186" t="s">
        <v>411</v>
      </c>
      <c r="C20" s="224">
        <v>0</v>
      </c>
      <c r="D20" s="221">
        <v>0</v>
      </c>
      <c r="E20" s="221">
        <v>0</v>
      </c>
      <c r="F20" s="221">
        <v>0</v>
      </c>
    </row>
    <row r="22" spans="2:6" ht="21" x14ac:dyDescent="0.5">
      <c r="B22" s="201" t="s">
        <v>560</v>
      </c>
      <c r="C22" s="200" t="s">
        <v>559</v>
      </c>
      <c r="E22" s="200" t="s">
        <v>558</v>
      </c>
    </row>
    <row r="23" spans="2:6" x14ac:dyDescent="0.35">
      <c r="B23" s="199" t="s">
        <v>557</v>
      </c>
      <c r="C23" s="218" t="s">
        <v>556</v>
      </c>
      <c r="E23" s="218" t="s">
        <v>556</v>
      </c>
    </row>
    <row r="24" spans="2:6" x14ac:dyDescent="0.35">
      <c r="B24" s="199" t="s">
        <v>555</v>
      </c>
      <c r="C24" s="218" t="s">
        <v>417</v>
      </c>
      <c r="E24" s="218" t="s">
        <v>417</v>
      </c>
    </row>
    <row r="25" spans="2:6" x14ac:dyDescent="0.35">
      <c r="B25" s="199" t="s">
        <v>554</v>
      </c>
      <c r="C25" s="218" t="s">
        <v>553</v>
      </c>
      <c r="E25" s="218" t="s">
        <v>417</v>
      </c>
    </row>
    <row r="26" spans="2:6" x14ac:dyDescent="0.35">
      <c r="B26" s="199" t="s">
        <v>552</v>
      </c>
      <c r="C26" s="218" t="s">
        <v>551</v>
      </c>
      <c r="E26" s="218" t="s">
        <v>551</v>
      </c>
    </row>
    <row r="27" spans="2:6" x14ac:dyDescent="0.35">
      <c r="B27" s="199" t="s">
        <v>550</v>
      </c>
      <c r="C27" s="218" t="s">
        <v>549</v>
      </c>
      <c r="E27" s="218" t="s">
        <v>549</v>
      </c>
    </row>
    <row r="28" spans="2:6" x14ac:dyDescent="0.35">
      <c r="B28" s="199" t="s">
        <v>548</v>
      </c>
      <c r="C28" s="218" t="s">
        <v>415</v>
      </c>
      <c r="E28" s="218" t="s">
        <v>415</v>
      </c>
    </row>
    <row r="55" ht="15" customHeight="1" x14ac:dyDescent="0.35"/>
  </sheetData>
  <pageMargins left="0.7" right="0.7" top="0.75" bottom="0.75" header="0.51180555555555496" footer="0.51180555555555496"/>
  <pageSetup firstPageNumber="0" orientation="portrait" horizontalDpi="300" verticalDpi="300"/>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500-000000000000}">
          <x14:formula1>
            <xm:f>'Reference Table (Ped Intersct)'!$B$84:$B$93</xm:f>
          </x14:formula1>
          <xm:sqref>C3</xm:sqref>
        </x14:dataValidation>
        <x14:dataValidation type="list" allowBlank="1" showInputMessage="1" showErrorMessage="1" xr:uid="{00000000-0002-0000-0500-000001000000}">
          <x14:formula1>
            <xm:f>'Reference Table (Ped Intersct)'!$B$64:$B$70</xm:f>
          </x14:formula1>
          <xm:sqref>C9:F9</xm:sqref>
        </x14:dataValidation>
        <x14:dataValidation type="list" allowBlank="1" showInputMessage="1" showErrorMessage="1" xr:uid="{00000000-0002-0000-0500-000002000000}">
          <x14:formula1>
            <xm:f>'Reference Table (Bike Intersct)'!$B$4:$B$12</xm:f>
          </x14:formula1>
          <x14:formula2>
            <xm:f>0</xm:f>
          </x14:formula2>
          <xm:sqref>C24:C25 E24:E25</xm:sqref>
        </x14:dataValidation>
        <x14:dataValidation type="list" allowBlank="1" showInputMessage="1" showErrorMessage="1" xr:uid="{00000000-0002-0000-0500-000003000000}">
          <x14:formula1>
            <xm:f>'Reference Table (Bike Intersct)'!$B$93:$B$103</xm:f>
          </x14:formula1>
          <x14:formula2>
            <xm:f>0</xm:f>
          </x14:formula2>
          <xm:sqref>C23 E23</xm:sqref>
        </x14:dataValidation>
        <x14:dataValidation type="list" allowBlank="1" showInputMessage="1" showErrorMessage="1" xr:uid="{00000000-0002-0000-0500-000004000000}">
          <x14:formula1>
            <xm:f>'Reference Table (Bike Intersct)'!$B$39:$B$41</xm:f>
          </x14:formula1>
          <x14:formula2>
            <xm:f>0</xm:f>
          </x14:formula2>
          <xm:sqref>C27 E27</xm:sqref>
        </x14:dataValidation>
        <x14:dataValidation type="list" allowBlank="1" showInputMessage="1" showErrorMessage="1" xr:uid="{00000000-0002-0000-0500-000005000000}">
          <x14:formula1>
            <xm:f>'Reference Table (Bike Intersct)'!$B$45:$B$46</xm:f>
          </x14:formula1>
          <x14:formula2>
            <xm:f>0</xm:f>
          </x14:formula2>
          <xm:sqref>C28 E28</xm:sqref>
        </x14:dataValidation>
        <x14:dataValidation type="list" allowBlank="1" showInputMessage="1" showErrorMessage="1" xr:uid="{00000000-0002-0000-0500-000006000000}">
          <x14:formula1>
            <xm:f>'Reference Table (Bike Intersct)'!$B$16:$B$22</xm:f>
          </x14:formula1>
          <x14:formula2>
            <xm:f>0</xm:f>
          </x14:formula2>
          <xm:sqref>C26 E26</xm:sqref>
        </x14:dataValidation>
        <x14:dataValidation type="list" allowBlank="1" showInputMessage="1" showErrorMessage="1" xr:uid="{00000000-0002-0000-0500-000007000000}">
          <x14:formula1>
            <xm:f>'Reference Table (Ped Intersct)'!$B$104:$B$114</xm:f>
          </x14:formula1>
          <x14:formula2>
            <xm:f>0</xm:f>
          </x14:formula2>
          <xm:sqref>C12:F12</xm:sqref>
        </x14:dataValidation>
        <x14:dataValidation type="list" allowBlank="1" showInputMessage="1" showErrorMessage="1" xr:uid="{00000000-0002-0000-0500-000008000000}">
          <x14:formula1>
            <xm:f>'Reference Tables (Ped Segment)'!$B$97:$B$98</xm:f>
          </x14:formula1>
          <x14:formula2>
            <xm:f>0</xm:f>
          </x14:formula2>
          <xm:sqref>D13 D15:D16</xm:sqref>
        </x14:dataValidation>
        <x14:dataValidation type="list" allowBlank="1" showInputMessage="1" showErrorMessage="1" xr:uid="{00000000-0002-0000-0500-000009000000}">
          <x14:formula1>
            <xm:f>'Reference Table (Ped Intersct)'!$B$59:$B$60</xm:f>
          </x14:formula1>
          <x14:formula2>
            <xm:f>0</xm:f>
          </x14:formula2>
          <xm:sqref>C8:F8</xm:sqref>
        </x14:dataValidation>
        <x14:dataValidation type="list" allowBlank="1" showInputMessage="1" showErrorMessage="1" xr:uid="{00000000-0002-0000-0500-00000A000000}">
          <x14:formula1>
            <xm:f>'Reference Table (Ped Intersct)'!$B$3:$B$17</xm:f>
          </x14:formula1>
          <x14:formula2>
            <xm:f>0</xm:f>
          </x14:formula2>
          <xm:sqref>C7:F7</xm:sqref>
        </x14:dataValidation>
        <x14:dataValidation type="list" allowBlank="1" showInputMessage="1" showErrorMessage="1" xr:uid="{00000000-0002-0000-0500-00000B000000}">
          <x14:formula1>
            <xm:f>'Reference Table (Ped Intersct)'!$B$20:$B$23</xm:f>
          </x14:formula1>
          <x14:formula2>
            <xm:f>0</xm:f>
          </x14:formula2>
          <xm:sqref>C14:F14</xm:sqref>
        </x14:dataValidation>
        <x14:dataValidation type="list" allowBlank="1" showInputMessage="1" showErrorMessage="1" xr:uid="{00000000-0002-0000-0500-00000C000000}">
          <x14:formula1>
            <xm:f>'Reference Table (Ped Intersct)'!$B$28:$B$37</xm:f>
          </x14:formula1>
          <x14:formula2>
            <xm:f>0</xm:f>
          </x14:formula2>
          <xm:sqref>C16 E16:F16</xm:sqref>
        </x14:dataValidation>
        <x14:dataValidation type="list" allowBlank="1" showInputMessage="1" showErrorMessage="1" xr:uid="{00000000-0002-0000-0500-00000D000000}">
          <x14:formula1>
            <xm:f>'Reference Table (Ped Intersct)'!$C$27:$E$27</xm:f>
          </x14:formula1>
          <x14:formula2>
            <xm:f>0</xm:f>
          </x14:formula2>
          <xm:sqref>C15 E15:F15</xm:sqref>
        </x14:dataValidation>
        <x14:dataValidation type="list" allowBlank="1" showInputMessage="1" showErrorMessage="1" xr:uid="{00000000-0002-0000-0500-00000E000000}">
          <x14:formula1>
            <xm:f>'Reference Table (Ped Intersct)'!$B$41:$B$43</xm:f>
          </x14:formula1>
          <x14:formula2>
            <xm:f>0</xm:f>
          </x14:formula2>
          <xm:sqref>C17:F17</xm:sqref>
        </x14:dataValidation>
        <x14:dataValidation type="list" allowBlank="1" showInputMessage="1" showErrorMessage="1" xr:uid="{00000000-0002-0000-0500-00000F000000}">
          <x14:formula1>
            <xm:f>'Reference Table (Ped Intersct)'!$B$47:$B$49</xm:f>
          </x14:formula1>
          <x14:formula2>
            <xm:f>0</xm:f>
          </x14:formula2>
          <xm:sqref>C18:F18</xm:sqref>
        </x14:dataValidation>
        <x14:dataValidation type="list" allowBlank="1" showInputMessage="1" showErrorMessage="1" xr:uid="{00000000-0002-0000-0500-000010000000}">
          <x14:formula1>
            <xm:f>'Reference Table (Ped Intersct)'!$B$53:$B$55</xm:f>
          </x14:formula1>
          <x14:formula2>
            <xm:f>0</xm:f>
          </x14:formula2>
          <xm:sqref>C19:F19</xm:sqref>
        </x14:dataValidation>
        <x14:dataValidation type="list" allowBlank="1" showInputMessage="1" showErrorMessage="1" xr:uid="{00000000-0002-0000-0500-000011000000}">
          <x14:formula1>
            <xm:f>'Reference Table (Ped Intersct)'!$B$74:$B$80</xm:f>
          </x14:formula1>
          <x14:formula2>
            <xm:f>0</xm:f>
          </x14:formula2>
          <xm:sqref>C13 E13:F13</xm:sqref>
        </x14:dataValidation>
        <x14:dataValidation type="list" allowBlank="1" showInputMessage="1" showErrorMessage="1" xr:uid="{00000000-0002-0000-0500-000012000000}">
          <x14:formula1>
            <xm:f>'Reference Table (Ped Intersct)'!$B$118:$B$120</xm:f>
          </x14:formula1>
          <xm:sqref>C4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B2:O56"/>
  <sheetViews>
    <sheetView zoomScaleNormal="100" workbookViewId="0">
      <selection activeCell="D45" sqref="D45"/>
    </sheetView>
  </sheetViews>
  <sheetFormatPr defaultColWidth="8.7265625" defaultRowHeight="14.5" x14ac:dyDescent="0.35"/>
  <cols>
    <col min="1" max="1" width="3" style="185" customWidth="1"/>
    <col min="2" max="2" width="41.54296875" style="185" customWidth="1"/>
    <col min="3" max="3" width="30.1796875" style="185" customWidth="1"/>
    <col min="4" max="4" width="46.7265625" style="185" customWidth="1"/>
    <col min="5" max="7" width="19" style="185" customWidth="1"/>
    <col min="8" max="8" width="8.7265625" style="185"/>
    <col min="9" max="9" width="49.1796875" style="185" customWidth="1"/>
    <col min="10" max="10" width="26.54296875" style="185" customWidth="1"/>
    <col min="11" max="11" width="8.7265625" style="185"/>
    <col min="12" max="12" width="17.453125" style="185" customWidth="1"/>
    <col min="13" max="13" width="30.7265625" style="185" customWidth="1"/>
    <col min="14" max="14" width="23.26953125" style="185" customWidth="1"/>
    <col min="15" max="15" width="27.54296875" style="185" customWidth="1"/>
    <col min="16" max="16384" width="8.7265625" style="185"/>
  </cols>
  <sheetData>
    <row r="2" spans="2:15" ht="30" customHeight="1" x14ac:dyDescent="0.6">
      <c r="B2" s="190" t="s">
        <v>547</v>
      </c>
      <c r="I2" s="190" t="s">
        <v>546</v>
      </c>
      <c r="M2" s="661" t="s">
        <v>545</v>
      </c>
      <c r="N2" s="662"/>
      <c r="O2" s="663"/>
    </row>
    <row r="3" spans="2:15" x14ac:dyDescent="0.35">
      <c r="B3" s="187" t="s">
        <v>544</v>
      </c>
      <c r="C3" s="197" t="s">
        <v>541</v>
      </c>
      <c r="D3" s="187" t="s">
        <v>543</v>
      </c>
      <c r="E3" s="197" t="s">
        <v>541</v>
      </c>
      <c r="I3" s="187" t="s">
        <v>542</v>
      </c>
      <c r="J3" s="197" t="s">
        <v>541</v>
      </c>
      <c r="L3" s="198"/>
      <c r="M3" s="197" t="s">
        <v>85</v>
      </c>
      <c r="N3" s="197" t="s">
        <v>540</v>
      </c>
      <c r="O3" s="197" t="s">
        <v>539</v>
      </c>
    </row>
    <row r="4" spans="2:15" ht="16.5" x14ac:dyDescent="0.45">
      <c r="B4" s="186" t="s">
        <v>538</v>
      </c>
      <c r="C4" s="228">
        <f>VLOOKUP('Ped&amp;Bike (Segments)'!C17,'Reference Tables (Ped Segment)'!B3:C12,2,0)</f>
        <v>200</v>
      </c>
      <c r="D4" s="186" t="s">
        <v>538</v>
      </c>
      <c r="E4" s="228">
        <f>VLOOKUP('Ped&amp;Bike (Segments)'!D17,'Reference Tables (Ped Segment)'!B3:C12,2,0)</f>
        <v>200</v>
      </c>
      <c r="I4" s="186" t="s">
        <v>537</v>
      </c>
      <c r="J4" s="228">
        <f>AVERAGE(VLOOKUP('Ped&amp;Bike (Segments)'!C22,'Reference Table (Bike Segment)'!B4:C12,2,0),VLOOKUP('Ped&amp;Bike (Segments)'!D22,'Reference Table (Bike Segment)'!B4:C12,2,0))</f>
        <v>170</v>
      </c>
      <c r="M4" s="196" t="s">
        <v>179</v>
      </c>
      <c r="N4" s="229">
        <v>1</v>
      </c>
      <c r="O4" s="229">
        <v>1</v>
      </c>
    </row>
    <row r="5" spans="2:15" ht="16.5" x14ac:dyDescent="0.45">
      <c r="B5" s="186" t="s">
        <v>536</v>
      </c>
      <c r="C5" s="228">
        <f>VLOOKUP('Ped&amp;Bike (Segments)'!C17,'Reference Tables (Ped Segment)'!B3:D12,3,0)</f>
        <v>90</v>
      </c>
      <c r="D5" s="186" t="s">
        <v>536</v>
      </c>
      <c r="E5" s="228">
        <f>VLOOKUP('Ped&amp;Bike (Segments)'!D17,'Reference Tables (Ped Segment)'!B3:D12,3,0)</f>
        <v>90</v>
      </c>
      <c r="I5" s="186" t="s">
        <v>535</v>
      </c>
      <c r="J5" s="228">
        <f>AVERAGE(VLOOKUP('Ped&amp;Bike (Segments)'!C22,'Reference Table (Bike Segment)'!B4:D12,3,0),VLOOKUP('Ped&amp;Bike (Segments)'!D22,'Reference Table (Bike Segment)'!B4:D12,3,0))</f>
        <v>90</v>
      </c>
      <c r="M5" s="196" t="s">
        <v>178</v>
      </c>
      <c r="N5" s="229">
        <v>1</v>
      </c>
      <c r="O5" s="229">
        <v>1</v>
      </c>
    </row>
    <row r="6" spans="2:15" ht="16.5" x14ac:dyDescent="0.45">
      <c r="B6" s="186" t="s">
        <v>534</v>
      </c>
      <c r="C6" s="228">
        <f>VLOOKUP('Ped&amp;Bike (Segments)'!C18,'Reference Tables (Ped Segment)'!B16:C19,2,0)</f>
        <v>1</v>
      </c>
      <c r="D6" s="186" t="s">
        <v>534</v>
      </c>
      <c r="E6" s="228">
        <f>VLOOKUP('Ped&amp;Bike (Segments)'!D18,'Reference Tables (Ped Segment)'!B16:C19,2,0)</f>
        <v>1</v>
      </c>
      <c r="I6" s="186" t="s">
        <v>533</v>
      </c>
      <c r="J6" s="228">
        <f>AVERAGE(VLOOKUP('Ped&amp;Bike (Segments)'!C11,'Reference Table (Bike Segment)'!B16:C18,2,0),VLOOKUP('Ped&amp;Bike (Segments)'!D11,'Reference Table (Bike Segment)'!B16:C18,2,0))</f>
        <v>1</v>
      </c>
      <c r="N6" s="230"/>
      <c r="O6" s="230"/>
    </row>
    <row r="7" spans="2:15" ht="16.5" x14ac:dyDescent="0.45">
      <c r="B7" s="186" t="s">
        <v>532</v>
      </c>
      <c r="C7" s="228">
        <f>VLOOKUP('Ped&amp;Bike (Segments)'!C11,'Reference Tables (Ped Segment)'!B50:C52,2,0)</f>
        <v>1</v>
      </c>
      <c r="D7" s="186" t="s">
        <v>532</v>
      </c>
      <c r="E7" s="228">
        <f>VLOOKUP('Ped&amp;Bike (Segments)'!D11,'Reference Tables (Ped Segment)'!B50:C52,2,0)</f>
        <v>1</v>
      </c>
      <c r="I7" s="186" t="s">
        <v>531</v>
      </c>
      <c r="J7" s="228">
        <f>VLOOKUP('Ped&amp;Bike (Segments)'!C12,'Reference Table (Bike Segment)'!B22:C25,2,0)</f>
        <v>1</v>
      </c>
      <c r="N7" s="230"/>
      <c r="O7" s="230"/>
    </row>
    <row r="8" spans="2:15" ht="16.5" x14ac:dyDescent="0.45">
      <c r="B8" s="186" t="s">
        <v>530</v>
      </c>
      <c r="C8" s="228">
        <f>VLOOKUP('Ped&amp;Bike (Segments)'!C12,'Reference Tables (Ped Segment)'!B56:C59,2,0)</f>
        <v>1</v>
      </c>
      <c r="D8" s="186" t="s">
        <v>530</v>
      </c>
      <c r="E8" s="228">
        <f>VLOOKUP('Ped&amp;Bike (Segments)'!D12,'Reference Tables (Ped Segment)'!B56:C59,2,0)</f>
        <v>1</v>
      </c>
      <c r="I8" s="186" t="s">
        <v>529</v>
      </c>
      <c r="J8" s="228">
        <f>VLOOKUP('Ped&amp;Bike (Segments)'!C13,'Reference Table (Bike Segment)'!B29:C31,2,0)</f>
        <v>1</v>
      </c>
      <c r="N8" s="230"/>
      <c r="O8" s="230"/>
    </row>
    <row r="9" spans="2:15" ht="16.5" x14ac:dyDescent="0.45">
      <c r="B9" s="186" t="s">
        <v>528</v>
      </c>
      <c r="C9" s="228">
        <f>VLOOKUP('Ped&amp;Bike (Segments)'!C13,'Reference Tables (Ped Segment)'!B63:C65,2,0)</f>
        <v>1</v>
      </c>
      <c r="D9" s="186" t="s">
        <v>528</v>
      </c>
      <c r="E9" s="228">
        <f>VLOOKUP('Ped&amp;Bike (Segments)'!D13,'Reference Tables (Ped Segment)'!B63:C65,2,0)</f>
        <v>1</v>
      </c>
      <c r="I9" s="186" t="s">
        <v>527</v>
      </c>
      <c r="J9" s="228">
        <f>VLOOKUP('Ped&amp;Bike (Segments)'!C14,'Reference Table (Bike Segment)'!B35:C37,2,0)</f>
        <v>1</v>
      </c>
      <c r="N9" s="230"/>
      <c r="O9" s="230"/>
    </row>
    <row r="10" spans="2:15" ht="16.5" x14ac:dyDescent="0.45">
      <c r="B10" s="186" t="s">
        <v>526</v>
      </c>
      <c r="C10" s="228">
        <f>VLOOKUP('Ped&amp;Bike (Segments)'!C14,'Reference Tables (Ped Segment)'!B69:C71,2,0)</f>
        <v>1</v>
      </c>
      <c r="D10" s="186" t="s">
        <v>526</v>
      </c>
      <c r="E10" s="228">
        <f>VLOOKUP('Ped&amp;Bike (Segments)'!D14,'Reference Tables (Ped Segment)'!B69:C71,2,0)</f>
        <v>1</v>
      </c>
      <c r="I10" s="186" t="s">
        <v>525</v>
      </c>
      <c r="J10" s="228">
        <f>AVERAGE(VLOOKUP('Ped&amp;Bike (Segments)'!C15,'Reference Table (Bike Segment)'!B41:C42,2,0),VLOOKUP('Ped&amp;Bike (Segments)'!D15,'Reference Table (Bike Segment)'!B41:C42,2,0))</f>
        <v>1</v>
      </c>
      <c r="N10" s="230"/>
      <c r="O10" s="230"/>
    </row>
    <row r="11" spans="2:15" ht="16.5" x14ac:dyDescent="0.45">
      <c r="B11" s="186" t="s">
        <v>524</v>
      </c>
      <c r="C11" s="228">
        <f>VLOOKUP('Ped&amp;Bike (Segments)'!C15,'Reference Tables (Ped Segment)'!B75:C76,2,0)</f>
        <v>1</v>
      </c>
      <c r="D11" s="186" t="s">
        <v>524</v>
      </c>
      <c r="E11" s="228">
        <f>VLOOKUP('Ped&amp;Bike (Segments)'!D15,'Reference Tables (Ped Segment)'!B75:C76,2,0)</f>
        <v>1</v>
      </c>
      <c r="I11" s="186" t="s">
        <v>523</v>
      </c>
      <c r="J11" s="228">
        <f>AVERAGE(VLOOKUP('Ped&amp;Bike (Segments)'!C16,'Reference Table (Bike Segment)'!B46:C47,2,0),VLOOKUP('Ped&amp;Bike (Segments)'!D16,'Reference Table (Bike Segment)'!B46:C47,2,0))</f>
        <v>1.25</v>
      </c>
      <c r="N11" s="230"/>
      <c r="O11" s="230"/>
    </row>
    <row r="12" spans="2:15" ht="16.5" x14ac:dyDescent="0.45">
      <c r="B12" s="186" t="s">
        <v>522</v>
      </c>
      <c r="C12" s="228">
        <f>VLOOKUP('Ped&amp;Bike (Segments)'!C16,'Reference Tables (Ped Segment)'!B80:C81,2,0)</f>
        <v>1.25</v>
      </c>
      <c r="D12" s="186" t="s">
        <v>522</v>
      </c>
      <c r="E12" s="228">
        <f>VLOOKUP('Ped&amp;Bike (Segments)'!D16,'Reference Tables (Ped Segment)'!B80:C81,2,0)</f>
        <v>1.25</v>
      </c>
      <c r="I12" s="186" t="s">
        <v>521</v>
      </c>
      <c r="J12" s="228">
        <f>VLOOKUP('Ped&amp;Bike (Segments)'!C20,'Reference Table (Bike Segment)'!B51:C55,2,0)</f>
        <v>1</v>
      </c>
    </row>
    <row r="13" spans="2:15" ht="16.5" x14ac:dyDescent="0.45">
      <c r="B13" s="186" t="s">
        <v>520</v>
      </c>
      <c r="C13" s="228">
        <f>VLOOKUP('Ped&amp;Bike (Segments)'!C19,'Reference Tables (Ped Segment)'!B85:C89,2,0)</f>
        <v>1</v>
      </c>
      <c r="D13" s="186" t="s">
        <v>520</v>
      </c>
      <c r="E13" s="228">
        <f>VLOOKUP('Ped&amp;Bike (Segments)'!D19,'Reference Tables (Ped Segment)'!B85:C89,2,0)</f>
        <v>1</v>
      </c>
      <c r="I13" s="186" t="s">
        <v>519</v>
      </c>
      <c r="J13" s="228">
        <f>AVERAGE(VLOOKUP('Ped&amp;Bike (Segments)'!C21,'Reference Table (Bike Segment)'!B59:C60,2,0),VLOOKUP('Ped&amp;Bike (Segments)'!D21,'Reference Table (Bike Segment)'!B59:C60,2,0))</f>
        <v>1.25</v>
      </c>
    </row>
    <row r="14" spans="2:15" ht="16.5" x14ac:dyDescent="0.45">
      <c r="B14" s="186" t="s">
        <v>518</v>
      </c>
      <c r="C14" s="228">
        <f>VLOOKUP('Ped&amp;Bike (Segments)'!C21,'Reference Tables (Ped Segment)'!B97:C98,2,0)</f>
        <v>1.25</v>
      </c>
      <c r="D14" s="186" t="s">
        <v>518</v>
      </c>
      <c r="E14" s="228">
        <f>VLOOKUP('Ped&amp;Bike (Segments)'!D21,'Reference Tables (Ped Segment)'!B97:C98,2,0)</f>
        <v>1.25</v>
      </c>
      <c r="I14" s="186" t="s">
        <v>517</v>
      </c>
      <c r="J14" s="228">
        <f>0.1*J4*J6*J7*J8*J9*J10*J11*J12*J13</f>
        <v>26.5625</v>
      </c>
    </row>
    <row r="15" spans="2:15" ht="16.5" x14ac:dyDescent="0.45">
      <c r="B15" s="186" t="s">
        <v>516</v>
      </c>
      <c r="C15" s="228">
        <f>0.075*C4*C6*C7*C8*C9*C10*C11*C12*C13*C14</f>
        <v>23.4375</v>
      </c>
      <c r="D15" s="186" t="s">
        <v>515</v>
      </c>
      <c r="E15" s="228">
        <f>0.075*E4*E6*E7*E8*E9*E10*E11*E12*E13*E14</f>
        <v>23.4375</v>
      </c>
      <c r="I15" s="186" t="s">
        <v>514</v>
      </c>
      <c r="J15" s="228">
        <f>J5</f>
        <v>90</v>
      </c>
    </row>
    <row r="16" spans="2:15" ht="16.5" x14ac:dyDescent="0.45">
      <c r="B16" s="186" t="s">
        <v>513</v>
      </c>
      <c r="C16" s="228">
        <f>C5</f>
        <v>90</v>
      </c>
      <c r="D16" s="186" t="s">
        <v>512</v>
      </c>
      <c r="E16" s="228">
        <f>E5</f>
        <v>90</v>
      </c>
      <c r="I16" s="186" t="s">
        <v>511</v>
      </c>
      <c r="J16" s="228">
        <f>VLOOKUP('Ped&amp;Bike (Segments)'!C9,'Reference Table (Bike Segment)'!B71:C85,2,0)</f>
        <v>1.0999999999999999E-2</v>
      </c>
    </row>
    <row r="17" spans="2:10" ht="16.5" x14ac:dyDescent="0.45">
      <c r="B17" s="186" t="s">
        <v>490</v>
      </c>
      <c r="C17" s="228">
        <f>VLOOKUP('Ped&amp;Bike (Segments)'!C9,'Reference Tables (Ped Segment)'!B129:C143,2,0)</f>
        <v>1.7000000000000001E-2</v>
      </c>
      <c r="D17" s="186" t="s">
        <v>490</v>
      </c>
      <c r="E17" s="228">
        <f>VLOOKUP('Ped&amp;Bike (Segments)'!C9,'Reference Tables (Ped Segment)'!B129:C143,2,0)</f>
        <v>1.7000000000000001E-2</v>
      </c>
      <c r="I17" s="186" t="s">
        <v>510</v>
      </c>
      <c r="J17" s="228">
        <f>0.000166*(('Ped&amp;Bike (Segments)'!C6+'Ped&amp;Bike (Segments)'!D6)/(VLOOKUP('Ped&amp;Bike (Segments)'!C10,'Reference Tables (Ped Segment)'!B102:C109,2,0)+ VLOOKUP('Ped&amp;Bike (Segments)'!D10,'Reference Tables (Ped Segment)'!B102:C109,2,0)) )^0.65</f>
        <v>0.1198861721121906</v>
      </c>
    </row>
    <row r="18" spans="2:10" ht="16.5" x14ac:dyDescent="0.45">
      <c r="B18" s="186" t="s">
        <v>489</v>
      </c>
      <c r="C18"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c r="D18" s="186" t="s">
        <v>489</v>
      </c>
      <c r="E18"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c r="I18" s="186" t="s">
        <v>509</v>
      </c>
      <c r="J18" s="228">
        <f>VLOOKUP('Ped&amp;Bike (Segments)'!C8,'Reference Table (Bike Segment)'!B89:C99,2,0)</f>
        <v>8.9999999999999993E-3</v>
      </c>
    </row>
    <row r="19" spans="2:10" ht="16.5" x14ac:dyDescent="0.45">
      <c r="B19" s="186" t="s">
        <v>508</v>
      </c>
      <c r="C19" s="228">
        <f>VLOOKUP('Ped&amp;Bike (Segments)'!C7,'Reference Tables (Ped Segment)'!B147:C157,2,0)</f>
        <v>8.9999999999999993E-3</v>
      </c>
      <c r="D19" s="186" t="s">
        <v>507</v>
      </c>
      <c r="E19" s="228">
        <f>VLOOKUP('Ped&amp;Bike (Segments)'!D7,'Reference Tables (Ped Segment)'!B147:C157,2,0)</f>
        <v>8.9999999999999993E-3</v>
      </c>
    </row>
    <row r="20" spans="2:10" ht="16.5" x14ac:dyDescent="0.45">
      <c r="B20" s="186" t="s">
        <v>506</v>
      </c>
      <c r="C20" s="228">
        <f>C15*C16*C17*C18*C19*'Ped&amp;Bike (Segments)'!C4/0.062</f>
        <v>5.20539314516129</v>
      </c>
      <c r="D20" s="186" t="s">
        <v>505</v>
      </c>
      <c r="E20" s="228">
        <f>E15*E16*E17*E18*E19*'Ped&amp;Bike (Segments)'!C4/0.062</f>
        <v>5.20539314516129</v>
      </c>
      <c r="I20" s="186" t="s">
        <v>504</v>
      </c>
      <c r="J20" s="228">
        <f>J14*J15*J16*J17*J18*'Ped&amp;Bike (Segments)'!C4/0.062</f>
        <v>0.45764008290911062</v>
      </c>
    </row>
    <row r="21" spans="2:10" ht="16.5" x14ac:dyDescent="0.45">
      <c r="I21" s="186" t="s">
        <v>503</v>
      </c>
      <c r="J21" s="228">
        <f>VLOOKUP('Ped&amp;Bike (Segments)'!C5,'Reference Table (Bike Segment)'!B102:C103,2,0)</f>
        <v>6.0600000000000003E-3</v>
      </c>
    </row>
    <row r="22" spans="2:10" ht="16.5" x14ac:dyDescent="0.45">
      <c r="C22" s="187" t="s">
        <v>437</v>
      </c>
      <c r="D22" s="187" t="s">
        <v>436</v>
      </c>
      <c r="E22" s="187" t="s">
        <v>435</v>
      </c>
      <c r="F22" s="187" t="s">
        <v>434</v>
      </c>
      <c r="G22" s="187" t="s">
        <v>433</v>
      </c>
      <c r="I22" s="186" t="s">
        <v>502</v>
      </c>
      <c r="J22" s="231">
        <f>IF('Ped&amp;Bike (Segments)'!C5="Undivided",O4,O5)</f>
        <v>1</v>
      </c>
    </row>
    <row r="23" spans="2:10" ht="16.5" x14ac:dyDescent="0.45">
      <c r="B23" s="186" t="s">
        <v>501</v>
      </c>
      <c r="C23" s="228">
        <f>VLOOKUP('Ped&amp;Bike (Segments)'!C29,'Reference Tables (Ped Segment)'!B16:D19,3,0)</f>
        <v>1</v>
      </c>
      <c r="D23" s="228">
        <f>VLOOKUP('Ped&amp;Bike (Segments)'!D29,'Reference Tables (Ped Segment)'!B16:D19,3,0)</f>
        <v>1</v>
      </c>
      <c r="E23" s="228">
        <f>VLOOKUP('Ped&amp;Bike (Segments)'!E29,'Reference Tables (Ped Segment)'!B16:D19,3,0)</f>
        <v>0.9</v>
      </c>
      <c r="F23" s="228">
        <f>VLOOKUP('Ped&amp;Bike (Segments)'!F29,'Reference Tables (Ped Segment)'!B16:D19,3,0)</f>
        <v>0.9</v>
      </c>
      <c r="G23" s="228">
        <f>VLOOKUP('Ped&amp;Bike (Segments)'!G29,'Reference Tables (Ped Segment)'!B16:D19,3,0)</f>
        <v>0.9</v>
      </c>
    </row>
    <row r="24" spans="2:10" ht="16.5" x14ac:dyDescent="0.45">
      <c r="B24" s="186" t="s">
        <v>500</v>
      </c>
      <c r="C24" s="228">
        <f>VLOOKUP('Ped&amp;Bike (Segments)'!C28,'Reference Tables (Ped Segment)'!B22:E32,HLOOKUP('Ped&amp;Bike (Segments)'!C27,'Reference Tables (Ped Segment)'!C22:E35,12,0),0)</f>
        <v>6.7</v>
      </c>
      <c r="D24" s="228">
        <f>VLOOKUP('Ped&amp;Bike (Segments)'!D28,'Reference Tables (Ped Segment)'!B22:E32,HLOOKUP('Ped&amp;Bike (Segments)'!D27,'Reference Tables (Ped Segment)'!C22:E35,12,0),0)</f>
        <v>6.7</v>
      </c>
      <c r="E24" s="228">
        <f>VLOOKUP('Ped&amp;Bike (Segments)'!E28,'Reference Tables (Ped Segment)'!B22:E32,HLOOKUP('Ped&amp;Bike (Segments)'!E27,'Reference Tables (Ped Segment)'!C22:E35,12,0),0)</f>
        <v>2.15</v>
      </c>
      <c r="F24" s="228">
        <f>VLOOKUP('Ped&amp;Bike (Segments)'!F28,'Reference Tables (Ped Segment)'!B22:E32,HLOOKUP('Ped&amp;Bike (Segments)'!F27,'Reference Tables (Ped Segment)'!C22:E35,12,0),0)</f>
        <v>2.15</v>
      </c>
      <c r="G24" s="228">
        <f>VLOOKUP('Ped&amp;Bike (Segments)'!G28,'Reference Tables (Ped Segment)'!B22:E32,HLOOKUP('Ped&amp;Bike (Segments)'!G27,'Reference Tables (Ped Segment)'!C22:E35,12,0),0)</f>
        <v>2.15</v>
      </c>
    </row>
    <row r="25" spans="2:10" ht="16.5" x14ac:dyDescent="0.45">
      <c r="B25" s="186" t="s">
        <v>499</v>
      </c>
      <c r="C25" s="228">
        <f>VLOOKUP('Ped&amp;Bike (Segments)'!C28,'Reference Tables (Ped Segment)'!B23:F32,5,0)</f>
        <v>90</v>
      </c>
      <c r="D25" s="228">
        <f>VLOOKUP('Ped&amp;Bike (Segments)'!D28,'Reference Tables (Ped Segment)'!B23:F32,5,0)</f>
        <v>90</v>
      </c>
      <c r="E25" s="228">
        <f>VLOOKUP('Ped&amp;Bike (Segments)'!E28,'Reference Tables (Ped Segment)'!B23:F32,5,0)</f>
        <v>90</v>
      </c>
      <c r="F25" s="228">
        <f>VLOOKUP('Ped&amp;Bike (Segments)'!F28,'Reference Tables (Ped Segment)'!B23:F32,5,0)</f>
        <v>90</v>
      </c>
      <c r="G25" s="228">
        <f>VLOOKUP('Ped&amp;Bike (Segments)'!G28,'Reference Tables (Ped Segment)'!B23:F32,5,0)</f>
        <v>90</v>
      </c>
    </row>
    <row r="26" spans="2:10" ht="16.5" x14ac:dyDescent="0.45">
      <c r="B26" s="186" t="s">
        <v>498</v>
      </c>
      <c r="C26" s="228">
        <f>VLOOKUP('Ped&amp;Bike (Segments)'!C30,'Reference Tables (Ped Segment)'!B38:C40,2,0)</f>
        <v>1</v>
      </c>
      <c r="D26" s="228">
        <f>VLOOKUP('Ped&amp;Bike (Segments)'!D30,'Reference Tables (Ped Segment)'!B38:C40,2,0)</f>
        <v>1</v>
      </c>
      <c r="E26" s="228">
        <f>VLOOKUP('Ped&amp;Bike (Segments)'!E30,'Reference Tables (Ped Segment)'!B38:C40,2,0)</f>
        <v>1.5</v>
      </c>
      <c r="F26" s="228">
        <f>VLOOKUP('Ped&amp;Bike (Segments)'!F30,'Reference Tables (Ped Segment)'!B38:C40,2,0)</f>
        <v>1.5</v>
      </c>
      <c r="G26" s="228">
        <f>VLOOKUP('Ped&amp;Bike (Segments)'!G30,'Reference Tables (Ped Segment)'!B38:C40,2,0)</f>
        <v>1.5</v>
      </c>
    </row>
    <row r="27" spans="2:10" ht="16.5" x14ac:dyDescent="0.45">
      <c r="B27" s="186" t="s">
        <v>497</v>
      </c>
      <c r="C27" s="228">
        <f>VLOOKUP('Ped&amp;Bike (Segments)'!C31,'Reference Tables (Ped Segment)'!B44:C46,2,0)</f>
        <v>1.25</v>
      </c>
      <c r="D27" s="228">
        <f>VLOOKUP('Ped&amp;Bike (Segments)'!D31,'Reference Tables (Ped Segment)'!B44:C46,2,0)</f>
        <v>1.25</v>
      </c>
      <c r="E27" s="228">
        <f>VLOOKUP('Ped&amp;Bike (Segments)'!E31,'Reference Tables (Ped Segment)'!B44:C46,2,0)</f>
        <v>1.25</v>
      </c>
      <c r="F27" s="228">
        <f>VLOOKUP('Ped&amp;Bike (Segments)'!F31,'Reference Tables (Ped Segment)'!B44:C46,2,0)</f>
        <v>1.25</v>
      </c>
      <c r="G27" s="228">
        <f>VLOOKUP('Ped&amp;Bike (Segments)'!G31,'Reference Tables (Ped Segment)'!B44:C46,2,0)</f>
        <v>1.25</v>
      </c>
    </row>
    <row r="28" spans="2:10" ht="16.5" x14ac:dyDescent="0.45">
      <c r="B28" s="186" t="s">
        <v>496</v>
      </c>
      <c r="C28" s="228">
        <f>VLOOKUP('Ped&amp;Bike (Segments)'!C32,'Reference Tables (Ped Segment)'!B92:C94,2,0)</f>
        <v>1</v>
      </c>
      <c r="D28" s="228">
        <f>VLOOKUP('Ped&amp;Bike (Segments)'!D32,'Reference Tables (Ped Segment)'!B92:C94,2,0)</f>
        <v>1</v>
      </c>
      <c r="E28" s="228">
        <f>VLOOKUP('Ped&amp;Bike (Segments)'!E32,'Reference Tables (Ped Segment)'!B92:C94,2,0)</f>
        <v>1</v>
      </c>
      <c r="F28" s="228">
        <f>VLOOKUP('Ped&amp;Bike (Segments)'!F32,'Reference Tables (Ped Segment)'!B92:C94,2,0)</f>
        <v>1</v>
      </c>
      <c r="G28" s="228">
        <f>VLOOKUP('Ped&amp;Bike (Segments)'!G32,'Reference Tables (Ped Segment)'!B92:C94,2,0)</f>
        <v>1</v>
      </c>
    </row>
    <row r="29" spans="2:10" ht="16.5" x14ac:dyDescent="0.45">
      <c r="B29" s="186" t="s">
        <v>495</v>
      </c>
      <c r="C29" s="228">
        <f>VLOOKUP('Ped&amp;Bike (Segments)'!C33,'Reference Tables (Ped Segment)'!B97:C98,2,0)</f>
        <v>1.25</v>
      </c>
      <c r="D29" s="228">
        <f>VLOOKUP('Ped&amp;Bike (Segments)'!D33,'Reference Tables (Ped Segment)'!B97:C98,2,0)</f>
        <v>1.25</v>
      </c>
      <c r="E29" s="228">
        <f>VLOOKUP('Ped&amp;Bike (Segments)'!E33,'Reference Tables (Ped Segment)'!B97:C98,2,0)</f>
        <v>1.25</v>
      </c>
      <c r="F29" s="228">
        <f>VLOOKUP('Ped&amp;Bike (Segments)'!F33,'Reference Tables (Ped Segment)'!B97:C98,2,0)</f>
        <v>1.25</v>
      </c>
      <c r="G29" s="228">
        <f>VLOOKUP('Ped&amp;Bike (Segments)'!G33,'Reference Tables (Ped Segment)'!B97:C98,2,0)</f>
        <v>1.25</v>
      </c>
    </row>
    <row r="30" spans="2:10" ht="16.5" x14ac:dyDescent="0.45">
      <c r="B30" s="186" t="s">
        <v>494</v>
      </c>
      <c r="C30" s="228">
        <f>VLOOKUP((VLOOKUP('Ped&amp;Bike (Segments)'!C10,'Reference Tables (Ped Segment)'!B102:C109,2,0)+VLOOKUP('Ped&amp;Bike (Segments)'!D10,'Reference Tables (Ped Segment)'!B102:C109,2,0)+'Ped&amp;Bike (Segments)'!C35),'Reference Tables (Ped Segment)'!C103:D109,2,0)</f>
        <v>2.8</v>
      </c>
      <c r="D30" s="228">
        <f>VLOOKUP((VLOOKUP('Ped&amp;Bike (Segments)'!C10,'Reference Tables (Ped Segment)'!B102:C109,2,0)+VLOOKUP('Ped&amp;Bike (Segments)'!D10,'Reference Tables (Ped Segment)'!B102:C109,2,0)+'Ped&amp;Bike (Segments)'!D35),'Reference Tables (Ped Segment)'!C103:D109,2,0)</f>
        <v>2.8</v>
      </c>
      <c r="E30" s="228">
        <f>VLOOKUP((VLOOKUP('Ped&amp;Bike (Segments)'!C10,'Reference Tables (Ped Segment)'!B102:C109,2,0)+VLOOKUP('Ped&amp;Bike (Segments)'!D10,'Reference Tables (Ped Segment)'!B102:C109,2,0)+'Ped&amp;Bike (Segments)'!E35),'Reference Tables (Ped Segment)'!C103:D109,2,0)</f>
        <v>2.8</v>
      </c>
      <c r="F30" s="228">
        <f>VLOOKUP((VLOOKUP('Ped&amp;Bike (Segments)'!C10,'Reference Tables (Ped Segment)'!B102:C109,2,0)+VLOOKUP('Ped&amp;Bike (Segments)'!D10,'Reference Tables (Ped Segment)'!B102:C109,2,0)+'Ped&amp;Bike (Segments)'!F35),'Reference Tables (Ped Segment)'!C103:D109,2,0)</f>
        <v>2.8</v>
      </c>
      <c r="G30" s="228">
        <f>VLOOKUP((VLOOKUP('Ped&amp;Bike (Segments)'!C10,'Reference Tables (Ped Segment)'!B102:C109,2,0)+VLOOKUP('Ped&amp;Bike (Segments)'!D10,'Reference Tables (Ped Segment)'!B102:C109,2,0)+'Ped&amp;Bike (Segments)'!G35),'Reference Tables (Ped Segment)'!C103:D109,2,0)</f>
        <v>2.8</v>
      </c>
    </row>
    <row r="31" spans="2:10" ht="16.5" x14ac:dyDescent="0.45">
      <c r="B31" s="186" t="s">
        <v>493</v>
      </c>
      <c r="C31" s="228">
        <f>VLOOKUP('Ped&amp;Bike (Segments)'!C34,'Reference Tables (Ped Segment)'!B112:C118,2,0)</f>
        <v>3</v>
      </c>
      <c r="D31" s="228">
        <f>VLOOKUP('Ped&amp;Bike (Segments)'!D34,'Reference Tables (Ped Segment)'!B112:C118,2,0)</f>
        <v>3</v>
      </c>
      <c r="E31" s="228">
        <f>VLOOKUP('Ped&amp;Bike (Segments)'!E34,'Reference Tables (Ped Segment)'!B112:C118,2,0)</f>
        <v>2.7</v>
      </c>
      <c r="F31" s="228">
        <f>VLOOKUP('Ped&amp;Bike (Segments)'!F34,'Reference Tables (Ped Segment)'!B112:C118,2,0)</f>
        <v>2.7</v>
      </c>
      <c r="G31" s="228">
        <f>VLOOKUP('Ped&amp;Bike (Segments)'!G34,'Reference Tables (Ped Segment)'!B112:C118,2,0)</f>
        <v>2.7</v>
      </c>
    </row>
    <row r="32" spans="2:10" ht="16.5" x14ac:dyDescent="0.45">
      <c r="B32" s="186" t="s">
        <v>492</v>
      </c>
      <c r="C32" s="228">
        <f>C23*C24*C26*C27*C28*C29*C30*C31</f>
        <v>87.937499999999986</v>
      </c>
      <c r="D32" s="228">
        <f>D23*D24*D26*D27*D28*D29*D30*D31</f>
        <v>87.937499999999986</v>
      </c>
      <c r="E32" s="228">
        <f>E23*E24*E26*E27*E28*E29*E30*E31</f>
        <v>34.285781249999999</v>
      </c>
      <c r="F32" s="228">
        <f>F23*F24*F26*F27*F28*F29*F30*F31</f>
        <v>34.285781249999999</v>
      </c>
      <c r="G32" s="228">
        <f>G23*G24*G26*G27*G28*G29*G30*G31</f>
        <v>34.285781249999999</v>
      </c>
    </row>
    <row r="33" spans="2:10" ht="16.5" x14ac:dyDescent="0.45">
      <c r="B33" s="186" t="s">
        <v>491</v>
      </c>
      <c r="C33" s="228">
        <f>C25</f>
        <v>90</v>
      </c>
      <c r="D33" s="228">
        <f>D25</f>
        <v>90</v>
      </c>
      <c r="E33" s="228">
        <f>E25</f>
        <v>90</v>
      </c>
      <c r="F33" s="228">
        <f>F25</f>
        <v>90</v>
      </c>
      <c r="G33" s="228">
        <f>G25</f>
        <v>90</v>
      </c>
    </row>
    <row r="34" spans="2:10" ht="16.5" x14ac:dyDescent="0.45">
      <c r="B34" s="186" t="s">
        <v>490</v>
      </c>
      <c r="C34" s="228">
        <f>VLOOKUP('Ped&amp;Bike (Segments)'!C9,'Reference Tables (Ped Segment)'!B129:C143,2,0)</f>
        <v>1.7000000000000001E-2</v>
      </c>
      <c r="D34" s="228">
        <f>VLOOKUP('Ped&amp;Bike (Segments)'!C9,'Reference Tables (Ped Segment)'!B129:C143,2,0)</f>
        <v>1.7000000000000001E-2</v>
      </c>
      <c r="E34" s="228">
        <f>VLOOKUP('Ped&amp;Bike (Segments)'!C9,'Reference Tables (Ped Segment)'!B129:C143,2,0)</f>
        <v>1.7000000000000001E-2</v>
      </c>
      <c r="F34" s="228">
        <f>VLOOKUP('Ped&amp;Bike (Segments)'!C9,'Reference Tables (Ped Segment)'!B129:C143,2,0)</f>
        <v>1.7000000000000001E-2</v>
      </c>
      <c r="G34" s="228">
        <f>VLOOKUP('Ped&amp;Bike (Segments)'!C9,'Reference Tables (Ped Segment)'!B129:C143,2,0)</f>
        <v>1.7000000000000001E-2</v>
      </c>
    </row>
    <row r="35" spans="2:10" ht="16.5" x14ac:dyDescent="0.45">
      <c r="B35" s="186" t="s">
        <v>489</v>
      </c>
      <c r="C35"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c r="D35"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c r="E35"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c r="F35"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c r="G35" s="228">
        <f>IF(('Ped&amp;Bike (Segments)'!C6+'Ped&amp;Bike (Segments)'!D6)/((VLOOKUP('Ped&amp;Bike (Segments)'!C10,'Reference Tables (Ped Segment)'!B102:C109,2,0)+VLOOKUP('Ped&amp;Bike (Segments)'!D10,'Reference Tables (Ped Segment)'!B102:C109,2,0))*20000)&gt;=1,1,('Ped&amp;Bike (Segments)'!C6+'Ped&amp;Bike (Segments)'!D6)/((VLOOKUP('Ped&amp;Bike (Segments)'!C10,'Reference Tables (Ped Segment)'!B102:C109,2,0)+VLOOKUP('Ped&amp;Bike (Segments)'!D10,'Reference Tables (Ped Segment)'!B102:C109,2,0))*20000))</f>
        <v>1</v>
      </c>
    </row>
    <row r="36" spans="2:10" ht="16.5" x14ac:dyDescent="0.45">
      <c r="B36" s="186" t="s">
        <v>488</v>
      </c>
      <c r="C36" s="228">
        <f>VLOOKUP('Ped&amp;Bike (Segments)'!C26,'Reference Tables (Ped Segment)'!B147:C157,2,0)</f>
        <v>2E-3</v>
      </c>
      <c r="D36" s="228">
        <f>VLOOKUP('Ped&amp;Bike (Segments)'!D26,'Reference Tables (Ped Segment)'!B147:C157,2,0)</f>
        <v>2E-3</v>
      </c>
      <c r="E36" s="228">
        <f>VLOOKUP('Ped&amp;Bike (Segments)'!E26,'Reference Tables (Ped Segment)'!B147:C157,2,0)</f>
        <v>2E-3</v>
      </c>
      <c r="F36" s="228">
        <f>VLOOKUP('Ped&amp;Bike (Segments)'!F26,'Reference Tables (Ped Segment)'!B147:C157,2,0)</f>
        <v>2E-3</v>
      </c>
      <c r="G36" s="228">
        <f>VLOOKUP('Ped&amp;Bike (Segments)'!G26,'Reference Tables (Ped Segment)'!B147:C157,2,0)</f>
        <v>2E-3</v>
      </c>
    </row>
    <row r="37" spans="2:10" ht="16.5" x14ac:dyDescent="0.45">
      <c r="B37" s="186" t="s">
        <v>487</v>
      </c>
      <c r="C37" s="228">
        <f>C32*C33*C34*C35*C36</f>
        <v>0.26908874999999999</v>
      </c>
      <c r="D37" s="228">
        <f>D32*D33*D34*D35*D36</f>
        <v>0.26908874999999999</v>
      </c>
      <c r="E37" s="228">
        <f>E32*E33*E34*E35*E36</f>
        <v>0.10491449062500001</v>
      </c>
      <c r="F37" s="228">
        <f>F32*F33*F34*F35*F36</f>
        <v>0.10491449062500001</v>
      </c>
      <c r="G37" s="228">
        <f>G32*G33*G34*G35*G36</f>
        <v>0.10491449062500001</v>
      </c>
    </row>
    <row r="39" spans="2:10" ht="16.5" x14ac:dyDescent="0.45">
      <c r="B39" s="186" t="s">
        <v>486</v>
      </c>
      <c r="C39" s="226">
        <f>IF('Ped&amp;Bike (Segments)'!D24=0,(C20+E20),IF('Ped&amp;Bike (Segments)'!D24=1,(C20+E20+C37),IF('Ped&amp;Bike (Segments)'!D24=2,(C20+E20+C37+D37),IF('Ped&amp;Bike (Segments)'!D24=3,(C20+E20+C37+D37+E37),IF('Ped&amp;Bike (Segments)'!D24=4,(C20+E20+C37+D37+E37+F37),IF('Ped&amp;Bike (Segments)'!D24=5,(C20+E20+C37+D37+E37+F37+G37)))))))</f>
        <v>10.94896379032258</v>
      </c>
    </row>
    <row r="40" spans="2:10" ht="16.5" x14ac:dyDescent="0.45">
      <c r="B40" s="186" t="s">
        <v>485</v>
      </c>
      <c r="C40" s="227">
        <f>VLOOKUP('Ped&amp;Bike (Segments)'!C5,'Reference Tables (Ped Segment)'!B160:C161,2,0)</f>
        <v>6.2E-4</v>
      </c>
    </row>
    <row r="41" spans="2:10" ht="16.5" x14ac:dyDescent="0.45">
      <c r="B41" s="186" t="s">
        <v>484</v>
      </c>
      <c r="C41" s="227">
        <f>IF('Ped&amp;Bike (Segments)'!C5="Undivided",N4,N5)</f>
        <v>1</v>
      </c>
    </row>
    <row r="43" spans="2:10" ht="18" customHeight="1" x14ac:dyDescent="0.35">
      <c r="B43" s="232" t="s">
        <v>482</v>
      </c>
      <c r="C43" s="232" t="s">
        <v>483</v>
      </c>
      <c r="I43" s="232" t="s">
        <v>482</v>
      </c>
      <c r="J43" s="232" t="s">
        <v>481</v>
      </c>
    </row>
    <row r="44" spans="2:10" ht="16.5" x14ac:dyDescent="0.45">
      <c r="B44" s="192" t="s">
        <v>477</v>
      </c>
      <c r="C44" s="194">
        <f>C39*C40*C41</f>
        <v>6.7883575499999996E-3</v>
      </c>
      <c r="D44" s="195"/>
      <c r="E44" s="193"/>
      <c r="F44" s="193"/>
      <c r="G44" s="193"/>
      <c r="I44" s="187" t="s">
        <v>476</v>
      </c>
      <c r="J44" s="194">
        <f>J20*J21*J22</f>
        <v>2.7732989024292103E-3</v>
      </c>
    </row>
    <row r="45" spans="2:10" ht="16.5" x14ac:dyDescent="0.45">
      <c r="B45" s="192" t="s">
        <v>475</v>
      </c>
      <c r="C45" s="191">
        <f>C44*'Reference Tables (Ped Segment)'!C122</f>
        <v>7.5350768804999994E-4</v>
      </c>
      <c r="D45" s="193"/>
      <c r="E45" s="193"/>
      <c r="F45" s="193"/>
      <c r="G45" s="193"/>
      <c r="I45" s="187" t="s">
        <v>474</v>
      </c>
      <c r="J45" s="191">
        <f>IF('Ped&amp;Bike (Segments)'!C5="Undivided",$J$44*'Reference Table (Bike Segment)'!C64,$J$44*'Reference Table (Bike Segment)'!D64)</f>
        <v>1.5530473853603578E-4</v>
      </c>
    </row>
    <row r="46" spans="2:10" ht="16.5" x14ac:dyDescent="0.45">
      <c r="B46" s="192" t="s">
        <v>473</v>
      </c>
      <c r="C46" s="191">
        <f>C44*'Reference Tables (Ped Segment)'!C123</f>
        <v>7.5350768804999994E-4</v>
      </c>
      <c r="D46" s="193"/>
      <c r="E46" s="193"/>
      <c r="F46" s="193"/>
      <c r="G46" s="193"/>
      <c r="I46" s="187" t="s">
        <v>472</v>
      </c>
      <c r="J46" s="191">
        <f>IF('Ped&amp;Bike (Segments)'!C6="Undivided",$J$44*'Reference Table (Bike Segment)'!C65,$J$44*'Reference Table (Bike Segment)'!D65)</f>
        <v>3.0783617816964237E-4</v>
      </c>
    </row>
    <row r="47" spans="2:10" ht="16.5" x14ac:dyDescent="0.45">
      <c r="B47" s="192" t="s">
        <v>471</v>
      </c>
      <c r="C47" s="191">
        <f>C44*'Reference Tables (Ped Segment)'!C124</f>
        <v>3.7743267978000003E-3</v>
      </c>
      <c r="D47" s="193"/>
      <c r="E47" s="193"/>
      <c r="F47" s="193"/>
      <c r="G47" s="193"/>
      <c r="I47" s="187" t="s">
        <v>470</v>
      </c>
      <c r="J47" s="191">
        <f>IF('Ped&amp;Bike (Segments)'!C7="Undivided",$J$44*'Reference Table (Bike Segment)'!C66,$J$44*'Reference Table (Bike Segment)'!D66)</f>
        <v>1.6944856293842475E-3</v>
      </c>
    </row>
    <row r="48" spans="2:10" ht="16.5" x14ac:dyDescent="0.45">
      <c r="B48" s="192" t="s">
        <v>469</v>
      </c>
      <c r="C48" s="191">
        <f>C44*'Reference Tables (Ped Segment)'!C125</f>
        <v>1.5070153760999999E-3</v>
      </c>
      <c r="D48" s="193"/>
      <c r="E48" s="193"/>
      <c r="F48" s="193"/>
      <c r="G48" s="193"/>
      <c r="I48" s="187" t="s">
        <v>468</v>
      </c>
      <c r="J48" s="191">
        <f>IF('Ped&amp;Bike (Segments)'!C8="Undivided",$J$44*'Reference Table (Bike Segment)'!C67,$J$44*'Reference Table (Bike Segment)'!D67)</f>
        <v>6.1567235633928474E-4</v>
      </c>
    </row>
    <row r="51" spans="2:10" x14ac:dyDescent="0.35">
      <c r="B51" s="232" t="s">
        <v>479</v>
      </c>
      <c r="C51" s="232" t="s">
        <v>480</v>
      </c>
      <c r="I51" s="232" t="s">
        <v>479</v>
      </c>
      <c r="J51" s="232" t="s">
        <v>478</v>
      </c>
    </row>
    <row r="52" spans="2:10" ht="16.5" x14ac:dyDescent="0.45">
      <c r="B52" s="192" t="s">
        <v>477</v>
      </c>
      <c r="C52" s="191">
        <f>1.05*C44</f>
        <v>7.1277754275000001E-3</v>
      </c>
      <c r="I52" s="187" t="s">
        <v>476</v>
      </c>
      <c r="J52" s="191">
        <f>1.01*J44</f>
        <v>2.8010318914535024E-3</v>
      </c>
    </row>
    <row r="53" spans="2:10" ht="16.5" x14ac:dyDescent="0.45">
      <c r="B53" s="192" t="s">
        <v>475</v>
      </c>
      <c r="C53" s="191">
        <f>1.05*C45</f>
        <v>7.9118307245249994E-4</v>
      </c>
      <c r="I53" s="187" t="s">
        <v>474</v>
      </c>
      <c r="J53" s="191">
        <f>1.01*J45</f>
        <v>1.5685778592139615E-4</v>
      </c>
    </row>
    <row r="54" spans="2:10" ht="16.5" x14ac:dyDescent="0.45">
      <c r="B54" s="192" t="s">
        <v>473</v>
      </c>
      <c r="C54" s="191">
        <f>1.05*C46</f>
        <v>7.9118307245249994E-4</v>
      </c>
      <c r="I54" s="187" t="s">
        <v>472</v>
      </c>
      <c r="J54" s="191">
        <f>1.01*J46</f>
        <v>3.1091453995133882E-4</v>
      </c>
    </row>
    <row r="55" spans="2:10" ht="16.5" x14ac:dyDescent="0.45">
      <c r="B55" s="192" t="s">
        <v>471</v>
      </c>
      <c r="C55" s="191">
        <f>1.05*C47</f>
        <v>3.9630431376900003E-3</v>
      </c>
      <c r="I55" s="187" t="s">
        <v>470</v>
      </c>
      <c r="J55" s="191">
        <f>1.01*J47</f>
        <v>1.7114304856780901E-3</v>
      </c>
    </row>
    <row r="56" spans="2:10" ht="16.5" x14ac:dyDescent="0.45">
      <c r="B56" s="192" t="s">
        <v>469</v>
      </c>
      <c r="C56" s="191">
        <f>1.05*C48</f>
        <v>1.5823661449049999E-3</v>
      </c>
      <c r="I56" s="187" t="s">
        <v>468</v>
      </c>
      <c r="J56" s="191">
        <f>1.01*J48</f>
        <v>6.2182907990267764E-4</v>
      </c>
    </row>
  </sheetData>
  <mergeCells count="1">
    <mergeCell ref="M2:O2"/>
  </mergeCells>
  <dataValidations count="1">
    <dataValidation allowBlank="1" showInputMessage="1" showErrorMessage="1" sqref="C3 E3" xr:uid="{00000000-0002-0000-0600-000000000000}">
      <formula1>0</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2:K93"/>
  <sheetViews>
    <sheetView zoomScale="90" zoomScaleNormal="90" workbookViewId="0">
      <selection activeCell="J22" sqref="J22"/>
    </sheetView>
  </sheetViews>
  <sheetFormatPr defaultColWidth="8.7265625" defaultRowHeight="14.5" x14ac:dyDescent="0.35"/>
  <cols>
    <col min="1" max="1" width="8.7265625" style="185"/>
    <col min="2" max="2" width="27.81640625" style="185" customWidth="1"/>
    <col min="3" max="3" width="29" style="185" customWidth="1"/>
    <col min="4" max="4" width="17.54296875" style="185" customWidth="1"/>
    <col min="5" max="5" width="51.26953125" style="185" customWidth="1"/>
    <col min="6" max="6" width="25.453125" style="185" customWidth="1"/>
    <col min="7" max="7" width="8.7265625" style="185"/>
    <col min="8" max="8" width="19.54296875" style="185" customWidth="1"/>
    <col min="9" max="9" width="51.7265625" style="185" bestFit="1" customWidth="1"/>
    <col min="10" max="10" width="11.7265625" style="185" customWidth="1"/>
    <col min="11" max="11" width="11.81640625" style="185" customWidth="1"/>
    <col min="12" max="16384" width="8.7265625" style="185"/>
  </cols>
  <sheetData>
    <row r="2" spans="2:11" ht="26" x14ac:dyDescent="0.6">
      <c r="B2" s="190" t="s">
        <v>547</v>
      </c>
      <c r="E2" s="190" t="s">
        <v>546</v>
      </c>
      <c r="H2" s="664" t="s">
        <v>545</v>
      </c>
      <c r="I2" s="664"/>
      <c r="J2" s="664"/>
      <c r="K2" s="664"/>
    </row>
    <row r="3" spans="2:11" x14ac:dyDescent="0.35">
      <c r="B3" s="187" t="s">
        <v>659</v>
      </c>
      <c r="E3" s="187" t="s">
        <v>559</v>
      </c>
      <c r="H3" s="197" t="s">
        <v>658</v>
      </c>
      <c r="I3" s="197" t="s">
        <v>351</v>
      </c>
      <c r="J3" s="197" t="s">
        <v>540</v>
      </c>
      <c r="K3" s="197" t="s">
        <v>539</v>
      </c>
    </row>
    <row r="4" spans="2:11" ht="16.5" x14ac:dyDescent="0.45">
      <c r="B4" s="186" t="s">
        <v>606</v>
      </c>
      <c r="C4" s="228">
        <f>VLOOKUP('Ped&amp;Bike Intersections)'!C14,'Reference Table (Ped Intersct)'!$B$20:$C$23,2,0)</f>
        <v>1</v>
      </c>
      <c r="E4" s="186" t="s">
        <v>637</v>
      </c>
      <c r="F4" s="228">
        <f>AVERAGE(VLOOKUP('Ped&amp;Bike Intersections)'!C24,'Reference Table (Bike Intersct)'!B4:C12,2,0),VLOOKUP('Ped&amp;Bike Intersections)'!C25,'Reference Table (Bike Intersct)'!B4:C12,2,0))</f>
        <v>1.1000000000000001</v>
      </c>
      <c r="H4" s="186" t="s">
        <v>99</v>
      </c>
      <c r="I4" s="186" t="s">
        <v>657</v>
      </c>
      <c r="J4" s="229">
        <v>1</v>
      </c>
      <c r="K4" s="229">
        <v>1</v>
      </c>
    </row>
    <row r="5" spans="2:11" ht="16.5" x14ac:dyDescent="0.45">
      <c r="B5" s="186" t="s">
        <v>605</v>
      </c>
      <c r="C5" s="228">
        <f>VLOOKUP('Ped&amp;Bike Intersections)'!C16,'Reference Table (Ped Intersct)'!$B$28:$F$37,HLOOKUP('Ped&amp;Bike Intersections)'!C15,'Reference Table (Ped Intersct)'!$C$27:$E$38,12,0),0)</f>
        <v>4.8</v>
      </c>
      <c r="E5" s="186" t="s">
        <v>635</v>
      </c>
      <c r="F5" s="228">
        <f>VLOOKUP('Ped&amp;Bike Intersections)'!C26,'Reference Table (Bike Intersct)'!B16:C22,2,0)</f>
        <v>1</v>
      </c>
      <c r="H5" s="186" t="s">
        <v>99</v>
      </c>
      <c r="I5" s="186" t="s">
        <v>656</v>
      </c>
      <c r="J5" s="229">
        <v>1</v>
      </c>
      <c r="K5" s="229">
        <v>1</v>
      </c>
    </row>
    <row r="6" spans="2:11" ht="16.5" x14ac:dyDescent="0.45">
      <c r="B6" s="186" t="s">
        <v>604</v>
      </c>
      <c r="C6" s="228">
        <f>VLOOKUP('Ped&amp;Bike Intersections)'!C16,'Reference Table (Ped Intersct)'!$B$28:$F$37,5,0)</f>
        <v>90</v>
      </c>
      <c r="E6" s="186" t="s">
        <v>634</v>
      </c>
      <c r="F6" s="228">
        <f>VLOOKUP('Ped&amp;Bike Intersections)'!C3,'Reference Table (Bike Intersct)'!B26:C35,2,0)</f>
        <v>30</v>
      </c>
      <c r="H6" s="186" t="s">
        <v>654</v>
      </c>
      <c r="I6" s="186" t="s">
        <v>655</v>
      </c>
      <c r="J6" s="229">
        <v>1</v>
      </c>
      <c r="K6" s="229">
        <v>1</v>
      </c>
    </row>
    <row r="7" spans="2:11" ht="16.5" x14ac:dyDescent="0.45">
      <c r="B7" s="186" t="s">
        <v>603</v>
      </c>
      <c r="C7" s="228">
        <f>VLOOKUP('Ped&amp;Bike Intersections)'!C17,'Reference Table (Ped Intersct)'!B41:C43,2,0)</f>
        <v>1.5</v>
      </c>
      <c r="E7" s="186" t="s">
        <v>633</v>
      </c>
      <c r="F7" s="228">
        <f>VLOOKUP('Ped&amp;Bike Intersections)'!C3,'Reference Table (Bike Intersct)'!B26:D35,3,0)</f>
        <v>45</v>
      </c>
      <c r="H7" s="186" t="s">
        <v>654</v>
      </c>
      <c r="I7" s="186" t="s">
        <v>653</v>
      </c>
      <c r="J7" s="229">
        <v>1</v>
      </c>
      <c r="K7" s="229">
        <v>1</v>
      </c>
    </row>
    <row r="8" spans="2:11" ht="16.5" x14ac:dyDescent="0.45">
      <c r="B8" s="186" t="s">
        <v>602</v>
      </c>
      <c r="C8" s="228">
        <f>VLOOKUP('Ped&amp;Bike Intersections)'!C18,'Reference Table (Ped Intersct)'!B47:C49,2,0)</f>
        <v>1.25</v>
      </c>
      <c r="E8" s="186" t="s">
        <v>632</v>
      </c>
      <c r="F8" s="228">
        <f>VLOOKUP('Ped&amp;Bike Intersections)'!C27,'Reference Table (Bike Intersct)'!B39:C41,2,0)</f>
        <v>1</v>
      </c>
      <c r="H8" s="186" t="s">
        <v>100</v>
      </c>
      <c r="I8" s="186" t="s">
        <v>652</v>
      </c>
      <c r="J8" s="229">
        <v>1</v>
      </c>
      <c r="K8" s="229">
        <v>1</v>
      </c>
    </row>
    <row r="9" spans="2:11" ht="16.5" x14ac:dyDescent="0.45">
      <c r="B9" s="186" t="s">
        <v>601</v>
      </c>
      <c r="C9" s="228">
        <f>VLOOKUP('Ped&amp;Bike Intersections)'!C19,'Reference Table (Ped Intersct)'!B53:C55,2,0)</f>
        <v>1</v>
      </c>
      <c r="E9" s="186" t="s">
        <v>631</v>
      </c>
      <c r="F9" s="228">
        <f>VLOOKUP('Ped&amp;Bike Intersections)'!C28,'Reference Table (Bike Intersct)'!B45:C46,2,0)</f>
        <v>1.2</v>
      </c>
      <c r="H9" s="186" t="s">
        <v>100</v>
      </c>
      <c r="I9" s="186" t="s">
        <v>651</v>
      </c>
      <c r="J9" s="229">
        <v>1</v>
      </c>
      <c r="K9" s="229">
        <v>1</v>
      </c>
    </row>
    <row r="10" spans="2:11" ht="16.5" x14ac:dyDescent="0.45">
      <c r="B10" s="186" t="s">
        <v>600</v>
      </c>
      <c r="C10" s="228">
        <f>VLOOKUP('Ped&amp;Bike Intersections)'!C8,'Reference Table (Ped Intersct)'!$B$59:$C$60,2,0)</f>
        <v>1.25</v>
      </c>
      <c r="E10" s="186" t="s">
        <v>630</v>
      </c>
      <c r="F10" s="228">
        <f>VLOOKUP('Ped&amp;Bike Intersections)'!C8,'Reference Table (Bike Intersct)'!B50:C51,2,0)</f>
        <v>1.25</v>
      </c>
      <c r="H10" s="186" t="s">
        <v>101</v>
      </c>
      <c r="I10" s="186" t="s">
        <v>650</v>
      </c>
      <c r="J10" s="229">
        <v>1</v>
      </c>
      <c r="K10" s="229">
        <v>1</v>
      </c>
    </row>
    <row r="11" spans="2:11" ht="16.5" x14ac:dyDescent="0.45">
      <c r="B11" s="186" t="s">
        <v>599</v>
      </c>
      <c r="C11" s="228">
        <f>VLOOKUP(VLOOKUP('Ped&amp;Bike Intersections)'!C9,'Reference Table (Ped Intersct)'!B64:C70,2,0)+'Ped&amp;Bike Intersections)'!C20,'Reference Table (Ped Intersct)'!C64:D70,2,0)</f>
        <v>8</v>
      </c>
      <c r="E11" s="186" t="s">
        <v>649</v>
      </c>
      <c r="F11" s="228">
        <f>F4*F5*F6*F8*F9*F10</f>
        <v>49.5</v>
      </c>
      <c r="H11" s="186" t="s">
        <v>101</v>
      </c>
      <c r="I11" s="186" t="s">
        <v>575</v>
      </c>
      <c r="J11" s="229">
        <v>1</v>
      </c>
      <c r="K11" s="229">
        <v>1</v>
      </c>
    </row>
    <row r="12" spans="2:11" ht="16.5" x14ac:dyDescent="0.45">
      <c r="B12" s="186" t="s">
        <v>598</v>
      </c>
      <c r="C12" s="228">
        <f>VLOOKUP('Ped&amp;Bike Intersections)'!C13,'Reference Table (Ped Intersct)'!$B$74:$C$80,2,0)</f>
        <v>3</v>
      </c>
      <c r="E12" s="186" t="s">
        <v>648</v>
      </c>
      <c r="F12" s="228">
        <f>F7</f>
        <v>45</v>
      </c>
      <c r="I12" s="253"/>
      <c r="J12" s="253"/>
      <c r="K12" s="253"/>
    </row>
    <row r="13" spans="2:11" ht="16.5" x14ac:dyDescent="0.45">
      <c r="B13" s="186" t="s">
        <v>597</v>
      </c>
      <c r="C13" s="228">
        <f>VLOOKUP('Ped&amp;Bike Intersections)'!C3,'Reference Table (Ped Intersct)'!$B$84:$C$93,2,0)</f>
        <v>1.1000000000000001</v>
      </c>
      <c r="E13" s="186" t="s">
        <v>647</v>
      </c>
      <c r="F13" s="228">
        <f>IF('Ped&amp;Bike Intersections)'!C7="20 or less",VLOOKUP('Ped&amp;Bike Intersections)'!D7,'Reference Table (Bike Intersct)'!B62:C76,2,0),IF('Ped&amp;Bike Intersections)'!D7="20 or less",VLOOKUP('Ped&amp;Bike Intersections)'!C7,'Reference Table (Bike Intersct)'!B62:C76,2,0),VLOOKUP(MAX('Ped&amp;Bike Intersections)'!C7,'Ped&amp;Bike Intersections)'!D7),'Reference Table (Bike Intersct)'!B62:C76,2,0)))</f>
        <v>0.112</v>
      </c>
    </row>
    <row r="14" spans="2:11" ht="16.5" x14ac:dyDescent="0.45">
      <c r="B14" s="186" t="s">
        <v>646</v>
      </c>
      <c r="C14" s="228">
        <f>C4*C5*C7*C8*C9*C10*C11*C12*C13</f>
        <v>297</v>
      </c>
      <c r="E14" s="186" t="s">
        <v>645</v>
      </c>
      <c r="F14" s="228">
        <f>0.000166*(MAX('Ped&amp;Bike Intersections)'!E6,'Ped&amp;Bike Intersections)'!F6)/VLOOKUP('Ped&amp;Bike Intersections)'!E9,'Reference Table (Ped Intersct)'!B64:C70,2,0))^0.65</f>
        <v>4.2115173178399856E-2</v>
      </c>
    </row>
    <row r="15" spans="2:11" ht="16.5" x14ac:dyDescent="0.45">
      <c r="B15" s="186" t="s">
        <v>644</v>
      </c>
      <c r="C15" s="228">
        <f>C6</f>
        <v>90</v>
      </c>
      <c r="E15" s="186" t="s">
        <v>643</v>
      </c>
      <c r="F15" s="228">
        <f>VLOOKUP('Ped&amp;Bike Intersections)'!C23,'Reference Table (Bike Intersct)'!B93:C103,2,0)</f>
        <v>7.0000000000000001E-3</v>
      </c>
    </row>
    <row r="16" spans="2:11" ht="16.5" x14ac:dyDescent="0.45">
      <c r="B16" s="186" t="s">
        <v>642</v>
      </c>
      <c r="C16" s="228">
        <f>VLOOKUP('Ped&amp;Bike Intersections)'!C7,'Reference Table (Ped Intersct)'!$B$3:$C$17,2,0)</f>
        <v>0.183</v>
      </c>
    </row>
    <row r="17" spans="2:6" ht="16.5" x14ac:dyDescent="0.45">
      <c r="B17" s="186" t="s">
        <v>641</v>
      </c>
      <c r="C17" s="228">
        <f>IF('Ped&amp;Bike Intersections)'!C6/(VLOOKUP('Ped&amp;Bike Intersections)'!C9,'Reference Table (Ped Intersct)'!$B$64:$C$70,2,0)*20000)&gt;=1,1,'Ped&amp;Bike Intersections)'!C6/(VLOOKUP('Ped&amp;Bike Intersections)'!C9,'Reference Table (Ped Intersct)'!$B$64:$C$70,2,0)*20000))</f>
        <v>0.25</v>
      </c>
      <c r="E17" s="186" t="s">
        <v>640</v>
      </c>
      <c r="F17" s="228">
        <f>F11*F12*F13*F14*F15</f>
        <v>7.3548253831830376E-2</v>
      </c>
    </row>
    <row r="18" spans="2:6" ht="16.5" x14ac:dyDescent="0.45">
      <c r="B18" s="186" t="s">
        <v>639</v>
      </c>
      <c r="C18" s="228">
        <f>VLOOKUP('Ped&amp;Bike Intersections)'!C12,'Reference Table (Ped Intersct)'!$B$104:$C$114,2,0)</f>
        <v>2E-3</v>
      </c>
    </row>
    <row r="19" spans="2:6" ht="16.5" x14ac:dyDescent="0.45">
      <c r="B19" s="186" t="s">
        <v>638</v>
      </c>
      <c r="C19" s="228">
        <f>C14*C15*C16*C17*C18</f>
        <v>2.4457949999999999</v>
      </c>
      <c r="E19" s="187" t="s">
        <v>558</v>
      </c>
    </row>
    <row r="20" spans="2:6" ht="16.5" x14ac:dyDescent="0.45">
      <c r="E20" s="186" t="s">
        <v>637</v>
      </c>
      <c r="F20" s="228">
        <f>AVERAGE(VLOOKUP('Ped&amp;Bike Intersections)'!E24,'Reference Table (Bike Intersct)'!B4:C12,2,0),VLOOKUP('Ped&amp;Bike Intersections)'!E25,'Reference Table (Bike Intersct)'!B4:C12,2,0))</f>
        <v>1.2</v>
      </c>
    </row>
    <row r="21" spans="2:6" ht="16.5" x14ac:dyDescent="0.45">
      <c r="B21" s="187" t="s">
        <v>636</v>
      </c>
      <c r="E21" s="186" t="s">
        <v>635</v>
      </c>
      <c r="F21" s="228">
        <f>VLOOKUP('Ped&amp;Bike Intersections)'!E26,'Reference Table (Bike Intersct)'!B16:C22,2,0)</f>
        <v>1</v>
      </c>
    </row>
    <row r="22" spans="2:6" ht="16.5" x14ac:dyDescent="0.45">
      <c r="B22" s="186" t="s">
        <v>606</v>
      </c>
      <c r="C22" s="228">
        <f>VLOOKUP('Ped&amp;Bike Intersections)'!D14,'Reference Table (Ped Intersct)'!$B$20:$C$23,2,0)</f>
        <v>1</v>
      </c>
      <c r="E22" s="186" t="s">
        <v>634</v>
      </c>
      <c r="F22" s="228">
        <f>VLOOKUP('Ped&amp;Bike Intersections)'!C3,'Reference Table (Bike Intersct)'!B26:C35,2,0)</f>
        <v>30</v>
      </c>
    </row>
    <row r="23" spans="2:6" ht="16.5" x14ac:dyDescent="0.45">
      <c r="B23" s="186" t="s">
        <v>605</v>
      </c>
      <c r="C23" s="228">
        <f>VLOOKUP('Ped&amp;Bike Intersections)'!D16,'Reference Table (Ped Intersct)'!$B$28:$F$37,HLOOKUP('Ped&amp;Bike Intersections)'!D15,'Reference Table (Ped Intersct)'!$C$27:$E$38,12,0),0)</f>
        <v>4.8</v>
      </c>
      <c r="E23" s="186" t="s">
        <v>633</v>
      </c>
      <c r="F23" s="228">
        <f>VLOOKUP('Ped&amp;Bike Intersections)'!C3,'Reference Table (Bike Intersct)'!B26:D35,3,0)</f>
        <v>45</v>
      </c>
    </row>
    <row r="24" spans="2:6" ht="16.5" x14ac:dyDescent="0.45">
      <c r="B24" s="186" t="s">
        <v>604</v>
      </c>
      <c r="C24" s="228">
        <f>VLOOKUP('Ped&amp;Bike Intersections)'!D16,'Reference Table (Ped Intersct)'!$B$28:$F$37,5,0)</f>
        <v>90</v>
      </c>
      <c r="E24" s="186" t="s">
        <v>632</v>
      </c>
      <c r="F24" s="228">
        <f>VLOOKUP('Ped&amp;Bike Intersections)'!E27,'Reference Table (Bike Intersct)'!B39:C41,2,0)</f>
        <v>1</v>
      </c>
    </row>
    <row r="25" spans="2:6" ht="16.5" x14ac:dyDescent="0.45">
      <c r="B25" s="186" t="s">
        <v>603</v>
      </c>
      <c r="C25" s="228">
        <f>VLOOKUP('Ped&amp;Bike Intersections)'!D17,'Reference Table (Ped Intersct)'!$B$41:$C$43,2,0)</f>
        <v>1.5</v>
      </c>
      <c r="E25" s="186" t="s">
        <v>631</v>
      </c>
      <c r="F25" s="228">
        <f>VLOOKUP('Ped&amp;Bike Intersections)'!E28,'Reference Table (Bike Intersct)'!B45:C46,2,0)</f>
        <v>1.2</v>
      </c>
    </row>
    <row r="26" spans="2:6" ht="16.5" x14ac:dyDescent="0.45">
      <c r="B26" s="186" t="s">
        <v>602</v>
      </c>
      <c r="C26" s="228">
        <f>VLOOKUP('Ped&amp;Bike Intersections)'!D18,'Reference Table (Ped Intersct)'!$B$47:$C$49,2,0)</f>
        <v>1.25</v>
      </c>
      <c r="E26" s="186" t="s">
        <v>630</v>
      </c>
      <c r="F26" s="228">
        <f>VLOOKUP('Ped&amp;Bike Intersections)'!E8,'Reference Table (Bike Intersct)'!B50:C51,2,0)</f>
        <v>1.25</v>
      </c>
    </row>
    <row r="27" spans="2:6" ht="16.5" x14ac:dyDescent="0.45">
      <c r="B27" s="186" t="s">
        <v>601</v>
      </c>
      <c r="C27" s="228">
        <f>VLOOKUP('Ped&amp;Bike Intersections)'!D19,'Reference Table (Ped Intersct)'!B53:C55,2,0)</f>
        <v>1</v>
      </c>
      <c r="E27" s="186" t="s">
        <v>629</v>
      </c>
      <c r="F27" s="228">
        <f>F20*F21*F22*F24*F25*F26</f>
        <v>53.999999999999993</v>
      </c>
    </row>
    <row r="28" spans="2:6" ht="16.5" x14ac:dyDescent="0.45">
      <c r="B28" s="186" t="s">
        <v>600</v>
      </c>
      <c r="C28" s="228">
        <f>VLOOKUP('Ped&amp;Bike Intersections)'!D$8,'Reference Table (Ped Intersct)'!$B$59:$C$60,2,0)</f>
        <v>1.25</v>
      </c>
      <c r="E28" s="186" t="s">
        <v>628</v>
      </c>
      <c r="F28" s="228">
        <f>F23</f>
        <v>45</v>
      </c>
    </row>
    <row r="29" spans="2:6" ht="16.5" x14ac:dyDescent="0.45">
      <c r="B29" s="186" t="s">
        <v>599</v>
      </c>
      <c r="C29" s="228">
        <f>VLOOKUP(VLOOKUP('Ped&amp;Bike Intersections)'!D9,'Reference Table (Ped Intersct)'!B64:C70,2,0)+'Ped&amp;Bike Intersections)'!D20,'Reference Table (Ped Intersct)'!C64:D70,2,0)</f>
        <v>2.8</v>
      </c>
      <c r="E29" s="186" t="s">
        <v>627</v>
      </c>
      <c r="F29" s="228">
        <f>IF('Ped&amp;Bike Intersections)'!F7="20 or less",VLOOKUP('Ped&amp;Bike Intersections)'!E7,'Reference Table (Bike Intersct)'!B62:C76,2,0),IF('Ped&amp;Bike Intersections)'!E7="20 or less",VLOOKUP('Ped&amp;Bike Intersections)'!F7,'Reference Table (Bike Intersct)'!B62:C76,2,0),VLOOKUP(MAX('Ped&amp;Bike Intersections)'!E7,'Ped&amp;Bike Intersections)'!F7),'Reference Table (Bike Intersct)'!B62:C76,2,0)))</f>
        <v>1.0999999999999999E-2</v>
      </c>
    </row>
    <row r="30" spans="2:6" ht="16.5" x14ac:dyDescent="0.45">
      <c r="B30" s="186" t="s">
        <v>598</v>
      </c>
      <c r="C30" s="228">
        <f>VLOOKUP('Ped&amp;Bike Intersections)'!D13,'Reference Table (Ped Intersct)'!$B$74:$C$80,2,0)</f>
        <v>3</v>
      </c>
      <c r="E30" s="186" t="s">
        <v>626</v>
      </c>
      <c r="F30" s="228">
        <f>0.000166*(MAX('Ped&amp;Bike Intersections)'!C6,'Ped&amp;Bike Intersections)'!D6)/VLOOKUP('Ped&amp;Bike Intersections)'!C9,'Reference Table (Ped Intersct)'!B64:C70,2,0))^0.65</f>
        <v>4.2115173178399856E-2</v>
      </c>
    </row>
    <row r="31" spans="2:6" ht="16.5" x14ac:dyDescent="0.45">
      <c r="B31" s="186" t="s">
        <v>597</v>
      </c>
      <c r="C31" s="228">
        <f>VLOOKUP('Ped&amp;Bike Intersections)'!C$3,'Reference Table (Ped Intersct)'!$B$84:$C$93,2,0)</f>
        <v>1.1000000000000001</v>
      </c>
      <c r="E31" s="186" t="s">
        <v>625</v>
      </c>
      <c r="F31" s="228">
        <f>VLOOKUP('Ped&amp;Bike Intersections)'!E23,'Reference Table (Bike Intersct)'!B93:C103,2,0)</f>
        <v>7.0000000000000001E-3</v>
      </c>
    </row>
    <row r="32" spans="2:6" ht="16.5" x14ac:dyDescent="0.45">
      <c r="B32" s="186" t="s">
        <v>624</v>
      </c>
      <c r="C32" s="228">
        <f>C22*C23*C25*C26*C27*C28*C29*C30*C31</f>
        <v>103.94999999999999</v>
      </c>
    </row>
    <row r="33" spans="2:6" ht="16.5" x14ac:dyDescent="0.45">
      <c r="B33" s="186" t="s">
        <v>623</v>
      </c>
      <c r="C33" s="228">
        <f>C24</f>
        <v>90</v>
      </c>
      <c r="E33" s="186" t="s">
        <v>622</v>
      </c>
      <c r="F33" s="228">
        <f>F27*F28*F29*F30*F31</f>
        <v>7.8801700534103947E-3</v>
      </c>
    </row>
    <row r="34" spans="2:6" ht="16.5" x14ac:dyDescent="0.45">
      <c r="B34" s="186" t="s">
        <v>621</v>
      </c>
      <c r="C34" s="228">
        <f>VLOOKUP('Ped&amp;Bike Intersections)'!D7,'Reference Table (Ped Intersct)'!$B$3:$C$17,2,0)</f>
        <v>0.183</v>
      </c>
    </row>
    <row r="35" spans="2:6" ht="16.5" x14ac:dyDescent="0.45">
      <c r="B35" s="186" t="s">
        <v>620</v>
      </c>
      <c r="C35" s="228">
        <f>IF('Ped&amp;Bike Intersections)'!D6/(VLOOKUP('Ped&amp;Bike Intersections)'!D9,'Reference Table (Ped Intersct)'!$B$64:$C$70,2,0)*20000)&gt;=1,1,'Ped&amp;Bike Intersections)'!D6/(VLOOKUP('Ped&amp;Bike Intersections)'!D9,'Reference Table (Ped Intersct)'!$B$64:$C$70,2,0)*20000))</f>
        <v>0.5</v>
      </c>
      <c r="E35" s="186" t="s">
        <v>619</v>
      </c>
      <c r="F35" s="228">
        <f>F17+F33</f>
        <v>8.1428423885240769E-2</v>
      </c>
    </row>
    <row r="36" spans="2:6" ht="16.5" x14ac:dyDescent="0.45">
      <c r="B36" s="186" t="s">
        <v>618</v>
      </c>
      <c r="C36" s="228">
        <f>VLOOKUP('Ped&amp;Bike Intersections)'!D12,'Reference Table (Ped Intersct)'!$B$104:$C$114,2,0)</f>
        <v>2E-3</v>
      </c>
      <c r="E36" s="186" t="s">
        <v>617</v>
      </c>
      <c r="F36" s="228">
        <f>VLOOKUP('Ped&amp;Bike Intersections)'!C3,'Reference Table (Bike Intersct)'!B26:E35,4,0)</f>
        <v>2.41E-2</v>
      </c>
    </row>
    <row r="37" spans="2:6" ht="16.5" x14ac:dyDescent="0.45">
      <c r="B37" s="186" t="s">
        <v>616</v>
      </c>
      <c r="C37" s="228">
        <f>C32*C33*C34*C35*C36</f>
        <v>1.7120564999999996</v>
      </c>
      <c r="E37" s="186" t="s">
        <v>615</v>
      </c>
      <c r="F37" s="231">
        <f>VLOOKUP('Ped&amp;Bike Intersections)'!C3,I4:K13,3,0)</f>
        <v>1</v>
      </c>
    </row>
    <row r="39" spans="2:6" x14ac:dyDescent="0.35">
      <c r="B39" s="187" t="s">
        <v>614</v>
      </c>
    </row>
    <row r="40" spans="2:6" ht="16.5" x14ac:dyDescent="0.45">
      <c r="B40" s="186" t="s">
        <v>606</v>
      </c>
      <c r="C40" s="228">
        <f>VLOOKUP('Ped&amp;Bike Intersections)'!E14,'Reference Table (Ped Intersct)'!$B$20:$C$23,2,0)</f>
        <v>1</v>
      </c>
    </row>
    <row r="41" spans="2:6" ht="16.5" x14ac:dyDescent="0.45">
      <c r="B41" s="186" t="s">
        <v>605</v>
      </c>
      <c r="C41" s="228">
        <f>VLOOKUP('Ped&amp;Bike Intersections)'!E16,'Reference Table (Ped Intersct)'!$B$28:$F$37,HLOOKUP('Ped&amp;Bike Intersections)'!E15,'Reference Table (Ped Intersct)'!$C$27:$E$38,12,0),0)</f>
        <v>4.8</v>
      </c>
    </row>
    <row r="42" spans="2:6" ht="16.5" x14ac:dyDescent="0.45">
      <c r="B42" s="186" t="s">
        <v>604</v>
      </c>
      <c r="C42" s="228">
        <f>VLOOKUP('Ped&amp;Bike Intersections)'!E16,'Reference Table (Ped Intersct)'!$B$28:$F$37,5,0)</f>
        <v>90</v>
      </c>
    </row>
    <row r="43" spans="2:6" ht="16.5" x14ac:dyDescent="0.45">
      <c r="B43" s="186" t="s">
        <v>603</v>
      </c>
      <c r="C43" s="228">
        <f>VLOOKUP('Ped&amp;Bike Intersections)'!E17,'Reference Table (Ped Intersct)'!$B$41:$C$43,2,0)</f>
        <v>1.5</v>
      </c>
    </row>
    <row r="44" spans="2:6" ht="16.5" x14ac:dyDescent="0.45">
      <c r="B44" s="186" t="s">
        <v>602</v>
      </c>
      <c r="C44" s="228">
        <f>VLOOKUP('Ped&amp;Bike Intersections)'!E18,'Reference Table (Ped Intersct)'!$B$47:$C$49,2,0)</f>
        <v>1.25</v>
      </c>
    </row>
    <row r="45" spans="2:6" ht="16.5" x14ac:dyDescent="0.45">
      <c r="B45" s="186" t="s">
        <v>601</v>
      </c>
      <c r="C45" s="228">
        <f>VLOOKUP('Ped&amp;Bike Intersections)'!E19,'Reference Table (Ped Intersct)'!B53:C55,2,0)</f>
        <v>1</v>
      </c>
    </row>
    <row r="46" spans="2:6" ht="16.5" x14ac:dyDescent="0.45">
      <c r="B46" s="186" t="s">
        <v>600</v>
      </c>
      <c r="C46" s="228">
        <f>VLOOKUP('Ped&amp;Bike Intersections)'!E$8,'Reference Table (Ped Intersct)'!$B$59:$C$60,2,0)</f>
        <v>1.25</v>
      </c>
    </row>
    <row r="47" spans="2:6" ht="16.5" x14ac:dyDescent="0.45">
      <c r="B47" s="186" t="s">
        <v>599</v>
      </c>
      <c r="C47" s="228">
        <f>VLOOKUP(VLOOKUP('Ped&amp;Bike Intersections)'!E9,'Reference Table (Ped Intersct)'!B64:C70,2,0)+'Ped&amp;Bike Intersections)'!E20,'Reference Table (Ped Intersct)'!C64:D70,2,0)</f>
        <v>1</v>
      </c>
    </row>
    <row r="48" spans="2:6" ht="16.5" x14ac:dyDescent="0.45">
      <c r="B48" s="186" t="s">
        <v>598</v>
      </c>
      <c r="C48" s="228">
        <f>VLOOKUP('Ped&amp;Bike Intersections)'!E13,'Reference Table (Ped Intersct)'!$B$74:$C$80,2,0)</f>
        <v>3</v>
      </c>
    </row>
    <row r="49" spans="2:3" ht="16.5" x14ac:dyDescent="0.45">
      <c r="B49" s="186" t="s">
        <v>597</v>
      </c>
      <c r="C49" s="228">
        <f>VLOOKUP('Ped&amp;Bike Intersections)'!C$3,'Reference Table (Ped Intersct)'!$B$84:$C$93,2,0)</f>
        <v>1.1000000000000001</v>
      </c>
    </row>
    <row r="50" spans="2:3" ht="16.5" x14ac:dyDescent="0.45">
      <c r="B50" s="186" t="s">
        <v>613</v>
      </c>
      <c r="C50" s="228">
        <f>C40*C41*C43*C44*C45*C46*C47*C48*C49</f>
        <v>37.125</v>
      </c>
    </row>
    <row r="51" spans="2:3" ht="16.5" x14ac:dyDescent="0.45">
      <c r="B51" s="186" t="s">
        <v>612</v>
      </c>
      <c r="C51" s="228">
        <f>C42</f>
        <v>90</v>
      </c>
    </row>
    <row r="52" spans="2:3" ht="16.5" x14ac:dyDescent="0.45">
      <c r="B52" s="186" t="s">
        <v>611</v>
      </c>
      <c r="C52" s="228">
        <f>VLOOKUP('Ped&amp;Bike Intersections)'!E7,'Reference Table (Ped Intersct)'!$B$3:$C$17,2,0)</f>
        <v>1.7000000000000001E-2</v>
      </c>
    </row>
    <row r="53" spans="2:3" ht="16.5" x14ac:dyDescent="0.45">
      <c r="B53" s="186" t="s">
        <v>610</v>
      </c>
      <c r="C53" s="228">
        <f>IF('Ped&amp;Bike Intersections)'!E6/(VLOOKUP('Ped&amp;Bike Intersections)'!E9,'Reference Table (Ped Intersct)'!$B$64:$C$70,2,0)*20000)&gt;=1,1,'Ped&amp;Bike Intersections)'!E6/(VLOOKUP('Ped&amp;Bike Intersections)'!E9,'Reference Table (Ped Intersct)'!$B$64:$C$70,2,0)*20000))</f>
        <v>0.25</v>
      </c>
    </row>
    <row r="54" spans="2:3" ht="16.5" x14ac:dyDescent="0.45">
      <c r="B54" s="186" t="s">
        <v>609</v>
      </c>
      <c r="C54" s="228">
        <f>VLOOKUP('Ped&amp;Bike Intersections)'!E12,'Reference Table (Ped Intersct)'!$B$104:$C$114,2,0)</f>
        <v>2E-3</v>
      </c>
    </row>
    <row r="55" spans="2:3" ht="16.5" x14ac:dyDescent="0.45">
      <c r="B55" s="186" t="s">
        <v>608</v>
      </c>
      <c r="C55" s="228">
        <f>C50*C51*C52*C53*C54</f>
        <v>2.8400625000000002E-2</v>
      </c>
    </row>
    <row r="57" spans="2:3" x14ac:dyDescent="0.35">
      <c r="B57" s="187" t="s">
        <v>607</v>
      </c>
    </row>
    <row r="58" spans="2:3" ht="16.5" x14ac:dyDescent="0.45">
      <c r="B58" s="186" t="s">
        <v>606</v>
      </c>
      <c r="C58" s="228">
        <f>VLOOKUP('Ped&amp;Bike Intersections)'!F14,'Reference Table (Ped Intersct)'!$B$20:$C$23,2,0)</f>
        <v>1</v>
      </c>
    </row>
    <row r="59" spans="2:3" ht="16.5" x14ac:dyDescent="0.45">
      <c r="B59" s="186" t="s">
        <v>605</v>
      </c>
      <c r="C59" s="228">
        <f>VLOOKUP('Ped&amp;Bike Intersections)'!F16,'Reference Table (Ped Intersct)'!$B$28:$F$37,HLOOKUP('Ped&amp;Bike Intersections)'!F15,'Reference Table (Ped Intersct)'!$C$27:$E$38,12,0),0)</f>
        <v>4.8</v>
      </c>
    </row>
    <row r="60" spans="2:3" ht="16.5" x14ac:dyDescent="0.45">
      <c r="B60" s="186" t="s">
        <v>604</v>
      </c>
      <c r="C60" s="228">
        <f>VLOOKUP('Ped&amp;Bike Intersections)'!F16,'Reference Table (Ped Intersct)'!$B$28:$F$37,5,0)</f>
        <v>90</v>
      </c>
    </row>
    <row r="61" spans="2:3" ht="16.5" x14ac:dyDescent="0.45">
      <c r="B61" s="186" t="s">
        <v>603</v>
      </c>
      <c r="C61" s="228">
        <f>VLOOKUP('Ped&amp;Bike Intersections)'!F17,'Reference Table (Ped Intersct)'!$B$41:$C$43,2,0)</f>
        <v>1.5</v>
      </c>
    </row>
    <row r="62" spans="2:3" ht="16.5" x14ac:dyDescent="0.45">
      <c r="B62" s="186" t="s">
        <v>602</v>
      </c>
      <c r="C62" s="228">
        <f>VLOOKUP('Ped&amp;Bike Intersections)'!F18,'Reference Table (Ped Intersct)'!$B$47:$C$49,2,0)</f>
        <v>1.25</v>
      </c>
    </row>
    <row r="63" spans="2:3" ht="16.5" x14ac:dyDescent="0.45">
      <c r="B63" s="186" t="s">
        <v>601</v>
      </c>
      <c r="C63" s="228">
        <f>VLOOKUP('Ped&amp;Bike Intersections)'!F19,'Reference Table (Ped Intersct)'!B53:C55,2,0)</f>
        <v>1</v>
      </c>
    </row>
    <row r="64" spans="2:3" ht="16.5" x14ac:dyDescent="0.45">
      <c r="B64" s="186" t="s">
        <v>600</v>
      </c>
      <c r="C64" s="228">
        <f>VLOOKUP('Ped&amp;Bike Intersections)'!F8,'Reference Table (Ped Intersct)'!$B$59:$C$60,2,0)</f>
        <v>1.25</v>
      </c>
    </row>
    <row r="65" spans="2:6" ht="16.5" x14ac:dyDescent="0.45">
      <c r="B65" s="186" t="s">
        <v>599</v>
      </c>
      <c r="C65" s="228">
        <f>VLOOKUP(VLOOKUP('Ped&amp;Bike Intersections)'!F9,'Reference Table (Ped Intersct)'!B64:C70,2,0)+'Ped&amp;Bike Intersections)'!F20,'Reference Table (Ped Intersct)'!C64:D70,2,0)</f>
        <v>1</v>
      </c>
    </row>
    <row r="66" spans="2:6" ht="16.5" x14ac:dyDescent="0.45">
      <c r="B66" s="186" t="s">
        <v>598</v>
      </c>
      <c r="C66" s="228">
        <f>VLOOKUP('Ped&amp;Bike Intersections)'!F13,'Reference Table (Ped Intersct)'!$B$74:$C$80,2,0)</f>
        <v>3</v>
      </c>
    </row>
    <row r="67" spans="2:6" ht="16.5" x14ac:dyDescent="0.45">
      <c r="B67" s="186" t="s">
        <v>597</v>
      </c>
      <c r="C67" s="228">
        <f>VLOOKUP('Ped&amp;Bike Intersections)'!C$3,'Reference Table (Ped Intersct)'!$B$84:$C$93,2,0)</f>
        <v>1.1000000000000001</v>
      </c>
    </row>
    <row r="68" spans="2:6" ht="16.5" x14ac:dyDescent="0.45">
      <c r="B68" s="186" t="s">
        <v>596</v>
      </c>
      <c r="C68" s="228">
        <f>C58*C59*C61*C62*C63*C64*C65*C66*C67</f>
        <v>37.125</v>
      </c>
    </row>
    <row r="69" spans="2:6" ht="16.5" x14ac:dyDescent="0.45">
      <c r="B69" s="186" t="s">
        <v>595</v>
      </c>
      <c r="C69" s="228">
        <f>C60</f>
        <v>90</v>
      </c>
    </row>
    <row r="70" spans="2:6" ht="16.5" x14ac:dyDescent="0.45">
      <c r="B70" s="186" t="s">
        <v>594</v>
      </c>
      <c r="C70" s="228">
        <f>VLOOKUP('Ped&amp;Bike Intersections)'!F7,'Reference Table (Ped Intersct)'!$B$3:$C$17,2,0)</f>
        <v>1.7000000000000001E-2</v>
      </c>
    </row>
    <row r="71" spans="2:6" ht="16.5" x14ac:dyDescent="0.45">
      <c r="B71" s="186" t="s">
        <v>593</v>
      </c>
      <c r="C71" s="228">
        <f>IF('Ped&amp;Bike Intersections)'!F6/(VLOOKUP('Ped&amp;Bike Intersections)'!F9,'Reference Table (Ped Intersct)'!$B$64:$C$70,2,0)*20000)&gt;=1,1,'Ped&amp;Bike Intersections)'!F6/(VLOOKUP('Ped&amp;Bike Intersections)'!F9,'Reference Table (Ped Intersct)'!$B$64:$C$70,2,0)*20000))</f>
        <v>0.25</v>
      </c>
    </row>
    <row r="72" spans="2:6" ht="16.5" x14ac:dyDescent="0.45">
      <c r="B72" s="186" t="s">
        <v>592</v>
      </c>
      <c r="C72" s="228">
        <f>VLOOKUP('Ped&amp;Bike Intersections)'!F12,'Reference Table (Ped Intersct)'!$B$104:$C$114,2,0)</f>
        <v>2E-3</v>
      </c>
    </row>
    <row r="73" spans="2:6" ht="16.5" x14ac:dyDescent="0.45">
      <c r="B73" s="186" t="s">
        <v>591</v>
      </c>
      <c r="C73" s="228">
        <f>C68*C69*C70*C71*C72</f>
        <v>2.8400625000000002E-2</v>
      </c>
    </row>
    <row r="75" spans="2:6" x14ac:dyDescent="0.35">
      <c r="B75" s="186" t="s">
        <v>590</v>
      </c>
      <c r="C75" s="233">
        <f>IF(ISNUMBER(SEARCH("3-leg",'Ped&amp;Bike Intersections)'!C3)),(C19+C37+C55),(C19+C37+C55+C73))</f>
        <v>4.1862521249999993</v>
      </c>
    </row>
    <row r="76" spans="2:6" ht="16.5" x14ac:dyDescent="0.45">
      <c r="B76" s="206" t="s">
        <v>589</v>
      </c>
      <c r="C76" s="234">
        <f>VLOOKUP('Ped&amp;Bike Intersections)'!C3,'Reference Table (Ped Intersct)'!B84:D93,3,0)</f>
        <v>4.7800000000000004E-3</v>
      </c>
    </row>
    <row r="77" spans="2:6" ht="16.5" x14ac:dyDescent="0.45">
      <c r="B77" s="186" t="s">
        <v>588</v>
      </c>
      <c r="C77" s="231">
        <f>VLOOKUP('Ped&amp;Bike Intersections)'!C3,'Ped&amp;Bike (Intersection Results)'!I4:J13,2,0)</f>
        <v>1</v>
      </c>
    </row>
    <row r="79" spans="2:6" x14ac:dyDescent="0.35">
      <c r="B79" s="232" t="s">
        <v>482</v>
      </c>
      <c r="C79" s="232" t="s">
        <v>483</v>
      </c>
      <c r="E79" s="232" t="s">
        <v>482</v>
      </c>
      <c r="F79" s="232" t="s">
        <v>481</v>
      </c>
    </row>
    <row r="80" spans="2:6" ht="16.5" x14ac:dyDescent="0.45">
      <c r="B80" s="188" t="s">
        <v>587</v>
      </c>
      <c r="C80" s="205">
        <f>C75*C76*C77</f>
        <v>2.0010285157499998E-2</v>
      </c>
      <c r="E80" s="187" t="s">
        <v>586</v>
      </c>
      <c r="F80" s="204">
        <f>F35*F36*F37</f>
        <v>1.9624250156343027E-3</v>
      </c>
    </row>
    <row r="81" spans="2:6" ht="16.5" x14ac:dyDescent="0.45">
      <c r="B81" s="187" t="s">
        <v>585</v>
      </c>
      <c r="C81" s="191">
        <f>IF(ISNUMBER(SEARCH("3-leg",'Ped&amp;Bike Intersections)'!C3)),C80*'Reference Table (Ped Intersct)'!C97,C80*'Reference Table (Ped Intersct)'!D97)</f>
        <v>6.2031883988249994E-4</v>
      </c>
      <c r="E81" s="187" t="s">
        <v>584</v>
      </c>
      <c r="F81" s="191">
        <f>IF(ISNUMBER(SEARCH("3-leg",'Ped&amp;Bike Intersections)'!C3)),$F$80*'Reference Table (Bike Intersct)'!C55,$F$80*'Reference Table (Bike Intersct)'!D55)</f>
        <v>1.5110672620384131E-4</v>
      </c>
    </row>
    <row r="82" spans="2:6" ht="16.5" x14ac:dyDescent="0.45">
      <c r="B82" s="187" t="s">
        <v>583</v>
      </c>
      <c r="C82" s="191">
        <f>IF(ISNUMBER(SEARCH("3-leg",'Ped&amp;Bike Intersections)'!C3)),C80*'Reference Table (Ped Intersct)'!C98,C80*'Reference Table (Ped Intersct)'!D98)</f>
        <v>6.2031883988249994E-4</v>
      </c>
      <c r="E82" s="187" t="s">
        <v>582</v>
      </c>
      <c r="F82" s="191">
        <f>IF(ISNUMBER(SEARCH("3-leg",'Ped&amp;Bike Intersections)'!C3)),$F$80*'Reference Table (Bike Intersct)'!C56,$F$80*'Reference Table (Bike Intersct)'!D56)</f>
        <v>1.5110672620384131E-4</v>
      </c>
    </row>
    <row r="83" spans="2:6" ht="16.5" x14ac:dyDescent="0.45">
      <c r="B83" s="187" t="s">
        <v>581</v>
      </c>
      <c r="C83" s="191">
        <f>IF(ISNUMBER(SEARCH("3-leg",'Ped&amp;Bike Intersections)'!C3)),C80*'Reference Table (Ped Intersct)'!C99,C80*'Reference Table (Ped Intersct)'!D99)</f>
        <v>6.2632192542974993E-3</v>
      </c>
      <c r="E83" s="187" t="s">
        <v>580</v>
      </c>
      <c r="F83" s="191">
        <f>IF(ISNUMBER(SEARCH("3-leg",'Ped&amp;Bike Intersections)'!C3)),$F$80*'Reference Table (Bike Intersct)'!C57,$F$80*'Reference Table (Bike Intersct)'!D57)</f>
        <v>1.5091048370227788E-3</v>
      </c>
    </row>
    <row r="84" spans="2:6" ht="16.5" x14ac:dyDescent="0.45">
      <c r="B84" s="187" t="s">
        <v>579</v>
      </c>
      <c r="C84" s="191">
        <f>IF(ISNUMBER(SEARCH("3-leg",'Ped&amp;Bike Intersections)'!C3)),C80*'Reference Table (Ped Intersct)'!C100,C80*'Reference Table (Ped Intersct)'!D100)</f>
        <v>1.2506428223437499E-2</v>
      </c>
      <c r="E84" s="187" t="s">
        <v>578</v>
      </c>
      <c r="F84" s="191">
        <f>IF(ISNUMBER(SEARCH("3-leg",'Ped&amp;Bike Intersections)'!C3)),$F$80*'Reference Table (Bike Intersct)'!C58,$F$80*'Reference Table (Bike Intersct)'!D58)</f>
        <v>1.5110672620384131E-4</v>
      </c>
    </row>
    <row r="87" spans="2:6" x14ac:dyDescent="0.35">
      <c r="B87" s="232" t="s">
        <v>479</v>
      </c>
      <c r="C87" s="232" t="s">
        <v>480</v>
      </c>
      <c r="E87" s="232" t="s">
        <v>479</v>
      </c>
      <c r="F87" s="232" t="s">
        <v>478</v>
      </c>
    </row>
    <row r="88" spans="2:6" ht="16.5" x14ac:dyDescent="0.45">
      <c r="B88" s="188" t="s">
        <v>587</v>
      </c>
      <c r="C88" s="204">
        <f>1.21*C80</f>
        <v>2.4212445040574997E-2</v>
      </c>
      <c r="E88" s="187" t="s">
        <v>586</v>
      </c>
      <c r="F88" s="204">
        <f>1.01*F80</f>
        <v>1.9820492657906456E-3</v>
      </c>
    </row>
    <row r="89" spans="2:6" ht="16.5" x14ac:dyDescent="0.45">
      <c r="B89" s="187" t="s">
        <v>585</v>
      </c>
      <c r="C89" s="204">
        <f>1.21*C81</f>
        <v>7.5058579625782488E-4</v>
      </c>
      <c r="E89" s="187" t="s">
        <v>584</v>
      </c>
      <c r="F89" s="204">
        <f>1.01*F81</f>
        <v>1.5261779346587972E-4</v>
      </c>
    </row>
    <row r="90" spans="2:6" ht="16.5" x14ac:dyDescent="0.45">
      <c r="B90" s="187" t="s">
        <v>583</v>
      </c>
      <c r="C90" s="204">
        <f>1.21*C82</f>
        <v>7.5058579625782488E-4</v>
      </c>
      <c r="E90" s="187" t="s">
        <v>582</v>
      </c>
      <c r="F90" s="204">
        <f>1.01*F82</f>
        <v>1.5261779346587972E-4</v>
      </c>
    </row>
    <row r="91" spans="2:6" ht="16.5" x14ac:dyDescent="0.45">
      <c r="B91" s="187" t="s">
        <v>581</v>
      </c>
      <c r="C91" s="204">
        <f>1.21*C83</f>
        <v>7.5784952976999742E-3</v>
      </c>
      <c r="E91" s="187" t="s">
        <v>580</v>
      </c>
      <c r="F91" s="204">
        <f>1.01*F83</f>
        <v>1.5241958853930066E-3</v>
      </c>
    </row>
    <row r="92" spans="2:6" ht="16.5" x14ac:dyDescent="0.45">
      <c r="B92" s="187" t="s">
        <v>579</v>
      </c>
      <c r="C92" s="191">
        <f>1.21*C84</f>
        <v>1.5132778150359374E-2</v>
      </c>
      <c r="E92" s="187" t="s">
        <v>578</v>
      </c>
      <c r="F92" s="204">
        <f>1.01*F84</f>
        <v>1.5261779346587972E-4</v>
      </c>
    </row>
    <row r="93" spans="2:6" x14ac:dyDescent="0.35">
      <c r="C93" s="193"/>
    </row>
  </sheetData>
  <mergeCells count="1">
    <mergeCell ref="H2:K2"/>
  </mergeCells>
  <pageMargins left="0.7" right="0.7" top="0.75" bottom="0.75" header="0.51180555555555496" footer="0.51180555555555496"/>
  <pageSetup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0EAE26-2012-4934-B1A9-7636D0F728F6}">
  <ds:schemaRef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http://schemas.microsoft.com/sharepoint/v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5753AEB-C48A-4CA9-BBA9-6D0850A03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D1A239-D0E6-4C23-899A-CE66F5EE06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25</vt:i4>
      </vt:variant>
    </vt:vector>
  </HeadingPairs>
  <TitlesOfParts>
    <vt:vector size="43" baseType="lpstr">
      <vt:lpstr>Overview</vt:lpstr>
      <vt:lpstr>Instructions</vt:lpstr>
      <vt:lpstr>Segment_Undivided_1</vt:lpstr>
      <vt:lpstr>Segment_Divided_1</vt:lpstr>
      <vt:lpstr>Ped&amp;Bike (Segments)</vt:lpstr>
      <vt:lpstr>Intersection_1</vt:lpstr>
      <vt:lpstr>Ped&amp;Bike Intersections)</vt:lpstr>
      <vt:lpstr>Ped&amp;Bike (Segment Results)</vt:lpstr>
      <vt:lpstr>Ped&amp;Bike (Intersection Results)</vt:lpstr>
      <vt:lpstr>Summary Tables (Site Totals)</vt:lpstr>
      <vt:lpstr>Summary Tables (Project Total)</vt:lpstr>
      <vt:lpstr>Reference Tables (Segment)</vt:lpstr>
      <vt:lpstr>Reference Tables (Intersection)</vt:lpstr>
      <vt:lpstr>Reference Tables (Ped Segment)</vt:lpstr>
      <vt:lpstr>Reference Table (Bike Segment)</vt:lpstr>
      <vt:lpstr>Reference Table (Ped Intersct)</vt:lpstr>
      <vt:lpstr>Reference Table (Bike Intersct)</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RtApproach</vt:lpstr>
      <vt:lpstr>Shld2</vt:lpstr>
      <vt:lpstr>Shld3</vt:lpstr>
      <vt:lpstr>SpEnforce</vt:lpstr>
      <vt:lpstr>Spiral</vt:lpstr>
      <vt:lpstr>SSlope</vt:lpstr>
      <vt:lpstr>SSlope2</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Nachtrieb, Rebecca</cp:lastModifiedBy>
  <dcterms:created xsi:type="dcterms:W3CDTF">2009-11-22T21:24:43Z</dcterms:created>
  <dcterms:modified xsi:type="dcterms:W3CDTF">2023-08-01T18:54:32Z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