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N:\RNachtrieb\NCHRP RR 1064 Ped Bike Safety\Blurb\"/>
    </mc:Choice>
  </mc:AlternateContent>
  <xr:revisionPtr revIDLastSave="0" documentId="13_ncr:1_{22493540-F7AA-4575-A066-3B090C050DF4}" xr6:coauthVersionLast="47" xr6:coauthVersionMax="47" xr10:uidLastSave="{00000000-0000-0000-0000-000000000000}"/>
  <bookViews>
    <workbookView xWindow="-28920" yWindow="-120" windowWidth="29040" windowHeight="15840" tabRatio="899" xr2:uid="{00000000-000D-0000-FFFF-FFFF00000000}"/>
  </bookViews>
  <sheets>
    <sheet name="Overview" sheetId="37" r:id="rId1"/>
    <sheet name="Instructions" sheetId="23" r:id="rId2"/>
    <sheet name="Segment_1" sheetId="17" r:id="rId3"/>
    <sheet name="Ped&amp;Bike (Segments)" sheetId="29" r:id="rId4"/>
    <sheet name="Intersection_1" sheetId="24" r:id="rId5"/>
    <sheet name="Ped&amp;Bike (Intersections)" sheetId="31" r:id="rId6"/>
    <sheet name="Ped&amp;Bike (Segment Results)" sheetId="30" r:id="rId7"/>
    <sheet name="Ped&amp;Bike (Intersection Results)" sheetId="32" r:id="rId8"/>
    <sheet name="Summary Tables (Site Totals)" sheetId="20" r:id="rId9"/>
    <sheet name="Summary Tables (Project Total)" sheetId="19" r:id="rId10"/>
    <sheet name="Reference Tables (Segment)" sheetId="27" r:id="rId11"/>
    <sheet name="Reference Tables (Ped Segment )" sheetId="33" r:id="rId12"/>
    <sheet name="Reference Tables (Bike Segment)" sheetId="34" r:id="rId13"/>
    <sheet name="Reference Tables (Ped Intersct)" sheetId="35" r:id="rId14"/>
    <sheet name="ReferenceTables (Bike Intersct)" sheetId="36" r:id="rId15"/>
    <sheet name="Reference Tables (Intersection)" sheetId="28" r:id="rId16"/>
    <sheet name="Construction - Do Not Delete" sheetId="10" state="hidden" r:id="rId17"/>
  </sheets>
  <externalReferences>
    <externalReference r:id="rId18"/>
  </externalReferences>
  <definedNames>
    <definedName name="_Toc96592051" localSheetId="10">'Reference Tables (Segment)'!$G$144</definedName>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IType2">'Construction - Do Not Delete'!$F$71:$F$74</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OffsetFO">'Construction - Do Not Delete'!$L$55:$L$61</definedName>
    <definedName name="OnStreet">'Construction - Do Not Delete'!$J$55:$J$58</definedName>
    <definedName name="OnStreetType">'Construction - Do Not Delete'!$J$55:$J$59</definedName>
    <definedName name="Phasing">'Construction - Do Not Delete'!$H$71:$H$74</definedName>
    <definedName name="Phasing2">'Construction - Do Not Delete'!$L$71:$L$75</definedName>
    <definedName name="PLane">'Construction - Do Not Delete'!$J$17:$J$18</definedName>
    <definedName name="PLane2">'Construction - Do Not Delete'!$J$17:$J$19</definedName>
    <definedName name="Posted">'Construction - Do Not Delete'!$N$55:$N$56</definedName>
    <definedName name="PresOrNot">'Construction - Do Not Delete'!$H$55:$H$56</definedName>
    <definedName name="_xlnm.Print_Area" localSheetId="4">Intersection_1!$A$1:$N$211</definedName>
    <definedName name="_xlnm.Print_Area" localSheetId="2">Segment_1!$A$1:$N$252</definedName>
    <definedName name="_xlnm.Print_Area" localSheetId="9">'Summary Tables (Project Total)'!$B$2:$O$102</definedName>
    <definedName name="_xlnm.Print_Area" localSheetId="8">'Summary Tables (Site Totals)'!$A$1:$N$101</definedName>
    <definedName name="Pspeed">'Construction - Do Not Delete'!$N$54</definedName>
    <definedName name="RApproach">'Construction - Do Not Delete'!$H$29:$H$33</definedName>
    <definedName name="RHR">'Construction - Do Not Delete'!$F$4:$F$10</definedName>
    <definedName name="RType">'Construction - Do Not Delete'!$D$55:$D$59</definedName>
    <definedName name="Shld2">'Construction - Do Not Delete'!$J$37:$J$47</definedName>
    <definedName name="SpEnforce">'Construction - Do Not Delete'!$J$23:$J$24</definedName>
    <definedName name="Spiral">'Construction - Do Not Delete'!$F$17:$F$18</definedName>
    <definedName name="SSlope">'Construction - Do Not Delete'!$H$37:$H$41</definedName>
    <definedName name="SType">'Construction - Do Not Delete'!$D$17:$D$20</definedName>
    <definedName name="SWidth">'Construction - Do Not Delete'!$D$4:$D$12</definedName>
    <definedName name="TLanes">'Construction - Do Not Delete'!$D$71:$D$75</definedName>
    <definedName name="TWLTL">'Construction - Do Not Delete'!$F$23:$F$24</definedName>
    <definedName name="UMedian">'Construction - Do Not Delete'!$F$56:$F$66</definedName>
    <definedName name="UMedian2">'Construction - Do Not Delete'!$F$56:$F$66</definedName>
    <definedName name="UMedWidth">'Construction - Do Not Delete'!$F$55:$F$66</definedName>
    <definedName name="UnsigApproach">'Construction - Do Not Delete'!$J$71:$J$73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30" l="1"/>
  <c r="G83" i="32" l="1"/>
  <c r="G82" i="32"/>
  <c r="L33" i="36"/>
  <c r="L32" i="36"/>
  <c r="L31" i="36"/>
  <c r="L30" i="36"/>
  <c r="L29" i="36"/>
  <c r="L28" i="36"/>
  <c r="G84" i="32" s="1"/>
  <c r="L27" i="36"/>
  <c r="L26" i="36"/>
  <c r="K33" i="36"/>
  <c r="K32" i="36"/>
  <c r="K31" i="36"/>
  <c r="K30" i="36"/>
  <c r="K29" i="36"/>
  <c r="K28" i="36"/>
  <c r="K27" i="36"/>
  <c r="K26" i="36"/>
  <c r="J33" i="36"/>
  <c r="J32" i="36"/>
  <c r="J31" i="36"/>
  <c r="J30" i="36"/>
  <c r="J29" i="36"/>
  <c r="J28" i="36"/>
  <c r="J27" i="36"/>
  <c r="J26" i="36"/>
  <c r="I33" i="36"/>
  <c r="I32" i="36"/>
  <c r="I31" i="36"/>
  <c r="I30" i="36"/>
  <c r="I29" i="36"/>
  <c r="I28" i="36"/>
  <c r="G81" i="32" s="1"/>
  <c r="I27" i="36"/>
  <c r="I26" i="36"/>
  <c r="J91" i="35" l="1"/>
  <c r="J90" i="35"/>
  <c r="J89" i="35"/>
  <c r="J88" i="35"/>
  <c r="J87" i="35"/>
  <c r="J86" i="35"/>
  <c r="J85" i="35"/>
  <c r="J84" i="35"/>
  <c r="D84" i="32" s="1"/>
  <c r="I91" i="35"/>
  <c r="I90" i="35"/>
  <c r="I89" i="35"/>
  <c r="I88" i="35"/>
  <c r="I87" i="35"/>
  <c r="I86" i="35"/>
  <c r="I85" i="35"/>
  <c r="I84" i="35"/>
  <c r="H91" i="35"/>
  <c r="H90" i="35"/>
  <c r="H89" i="35"/>
  <c r="H88" i="35"/>
  <c r="H87" i="35"/>
  <c r="H86" i="35"/>
  <c r="H85" i="35"/>
  <c r="H84" i="35"/>
  <c r="G91" i="35"/>
  <c r="G90" i="35"/>
  <c r="G89" i="35"/>
  <c r="G88" i="35"/>
  <c r="G87" i="35"/>
  <c r="G86" i="35"/>
  <c r="G85" i="35"/>
  <c r="G84" i="35"/>
  <c r="H113" i="32"/>
  <c r="H110" i="32"/>
  <c r="H112" i="32"/>
  <c r="H111" i="32"/>
  <c r="I134" i="24"/>
  <c r="H125" i="24"/>
  <c r="H116" i="24"/>
  <c r="D81" i="32" l="1"/>
  <c r="D83" i="32"/>
  <c r="D82" i="32"/>
  <c r="D211" i="17"/>
  <c r="O192" i="17"/>
  <c r="M192" i="17"/>
  <c r="J192" i="17"/>
  <c r="H192" i="17"/>
  <c r="F192" i="17"/>
  <c r="C192" i="17"/>
  <c r="M173" i="17"/>
  <c r="J173" i="17"/>
  <c r="H173" i="17"/>
  <c r="F173" i="17"/>
  <c r="C173" i="17" l="1"/>
  <c r="E91" i="35"/>
  <c r="E90" i="35"/>
  <c r="E89" i="35"/>
  <c r="E88" i="35"/>
  <c r="E87" i="35"/>
  <c r="E86" i="35"/>
  <c r="E85" i="35"/>
  <c r="E84" i="35"/>
  <c r="F3" i="31"/>
  <c r="J59" i="36"/>
  <c r="M101" i="35"/>
  <c r="F37" i="32" l="1"/>
  <c r="F36" i="32"/>
  <c r="F23" i="32"/>
  <c r="F22" i="32"/>
  <c r="F7" i="32"/>
  <c r="F6" i="32"/>
  <c r="C77" i="32"/>
  <c r="C76" i="32"/>
  <c r="C67" i="32"/>
  <c r="C49" i="32"/>
  <c r="C31" i="32"/>
  <c r="C13" i="32"/>
  <c r="P28" i="24" l="1"/>
  <c r="D15" i="20"/>
  <c r="N147" i="24" l="1"/>
  <c r="N146" i="24"/>
  <c r="N158" i="24"/>
  <c r="N157" i="24"/>
  <c r="N144" i="24"/>
  <c r="N155" i="24"/>
  <c r="M158" i="24"/>
  <c r="M157" i="24"/>
  <c r="F157" i="24"/>
  <c r="E157" i="24"/>
  <c r="D157" i="24"/>
  <c r="C157" i="24"/>
  <c r="B125" i="24"/>
  <c r="E125" i="24"/>
  <c r="M147" i="24"/>
  <c r="M146" i="24"/>
  <c r="F146" i="24"/>
  <c r="M60" i="20" s="1"/>
  <c r="E146" i="24"/>
  <c r="D146" i="24"/>
  <c r="C146" i="24"/>
  <c r="I146" i="24" s="1"/>
  <c r="E116" i="24"/>
  <c r="B116" i="24"/>
  <c r="A173" i="17"/>
  <c r="O173" i="17" s="1"/>
  <c r="J182" i="17" s="1"/>
  <c r="M88" i="24"/>
  <c r="M86" i="24"/>
  <c r="M85" i="24"/>
  <c r="M56" i="24"/>
  <c r="M54" i="24"/>
  <c r="M53" i="24"/>
  <c r="T20" i="24"/>
  <c r="P9" i="24"/>
  <c r="P30" i="17"/>
  <c r="R60" i="20" l="1"/>
  <c r="K125" i="24"/>
  <c r="K157" i="24" s="1"/>
  <c r="K116" i="24"/>
  <c r="K146" i="24" s="1"/>
  <c r="O146" i="24" s="1"/>
  <c r="I157" i="24"/>
  <c r="O157" i="24" l="1"/>
  <c r="O158" i="24" l="1"/>
  <c r="D212" i="17"/>
  <c r="L202" i="17" l="1"/>
  <c r="L201" i="17"/>
  <c r="L183" i="17"/>
  <c r="L182" i="17"/>
  <c r="C182" i="17"/>
  <c r="C183" i="17"/>
  <c r="D182" i="17"/>
  <c r="D183" i="17"/>
  <c r="E183" i="17"/>
  <c r="E182" i="17"/>
  <c r="F182" i="17"/>
  <c r="F183" i="17"/>
  <c r="K161" i="17"/>
  <c r="K151" i="17"/>
  <c r="H183" i="17" l="1"/>
  <c r="H182" i="17"/>
  <c r="K142" i="17"/>
  <c r="K141" i="17"/>
  <c r="K140" i="17"/>
  <c r="M96" i="17"/>
  <c r="M94" i="17"/>
  <c r="M93" i="17"/>
  <c r="M64" i="17"/>
  <c r="M62" i="17"/>
  <c r="M61" i="17"/>
  <c r="F202" i="17"/>
  <c r="F201" i="17"/>
  <c r="E202" i="17"/>
  <c r="E201" i="17"/>
  <c r="D201" i="17"/>
  <c r="D202" i="17"/>
  <c r="C202" i="17"/>
  <c r="C201" i="17"/>
  <c r="N202" i="17"/>
  <c r="N201" i="17"/>
  <c r="R40" i="20" s="1"/>
  <c r="N199" i="17"/>
  <c r="A192" i="17"/>
  <c r="Q192" i="17" s="1"/>
  <c r="N183" i="17"/>
  <c r="N182" i="17"/>
  <c r="M40" i="20" s="1"/>
  <c r="N180" i="17"/>
  <c r="F33" i="17"/>
  <c r="O33" i="17" s="1"/>
  <c r="P9" i="17"/>
  <c r="F32" i="17"/>
  <c r="O32" i="17" s="1"/>
  <c r="J202" i="17" l="1"/>
  <c r="J201" i="17"/>
  <c r="H202" i="17"/>
  <c r="H201" i="17"/>
  <c r="J183" i="17"/>
  <c r="P183" i="17" l="1"/>
  <c r="P202" i="17"/>
  <c r="P201" i="17"/>
  <c r="P182" i="17"/>
  <c r="C4" i="32" l="1"/>
  <c r="F4" i="32"/>
  <c r="C5" i="32"/>
  <c r="F5" i="32"/>
  <c r="C6" i="32"/>
  <c r="C15" i="32" s="1"/>
  <c r="C7" i="32"/>
  <c r="F12" i="32"/>
  <c r="C8" i="32"/>
  <c r="F8" i="32"/>
  <c r="C9" i="32"/>
  <c r="F9" i="32"/>
  <c r="C10" i="32"/>
  <c r="F10" i="32"/>
  <c r="C11" i="32"/>
  <c r="C12" i="32"/>
  <c r="F13" i="32"/>
  <c r="F14" i="32"/>
  <c r="F15" i="32"/>
  <c r="C16" i="32"/>
  <c r="C17" i="32"/>
  <c r="C18" i="32"/>
  <c r="F20" i="32"/>
  <c r="F21" i="32"/>
  <c r="C22" i="32"/>
  <c r="C23" i="32"/>
  <c r="F28" i="32"/>
  <c r="C24" i="32"/>
  <c r="C33" i="32" s="1"/>
  <c r="F24" i="32"/>
  <c r="C25" i="32"/>
  <c r="F25" i="32"/>
  <c r="C26" i="32"/>
  <c r="F26" i="32"/>
  <c r="C27" i="32"/>
  <c r="C28" i="32"/>
  <c r="C29" i="32"/>
  <c r="F29" i="32"/>
  <c r="C30" i="32"/>
  <c r="F30" i="32"/>
  <c r="F31" i="32"/>
  <c r="C34" i="32"/>
  <c r="C35" i="32"/>
  <c r="C36" i="32"/>
  <c r="C40" i="32"/>
  <c r="C41" i="32"/>
  <c r="C42" i="32"/>
  <c r="C51" i="32" s="1"/>
  <c r="C43" i="32"/>
  <c r="C44" i="32"/>
  <c r="C45" i="32"/>
  <c r="C46" i="32"/>
  <c r="C47" i="32"/>
  <c r="C48" i="32"/>
  <c r="C52" i="32"/>
  <c r="C53" i="32"/>
  <c r="C54" i="32"/>
  <c r="C58" i="32"/>
  <c r="C59" i="32"/>
  <c r="C60" i="32"/>
  <c r="C69" i="32" s="1"/>
  <c r="C61" i="32"/>
  <c r="C62" i="32"/>
  <c r="C63" i="32"/>
  <c r="C64" i="32"/>
  <c r="C65" i="32"/>
  <c r="C66" i="32"/>
  <c r="C70" i="32"/>
  <c r="C71" i="32"/>
  <c r="C72" i="32"/>
  <c r="C4" i="30"/>
  <c r="E4" i="30"/>
  <c r="J4" i="30"/>
  <c r="C5" i="30"/>
  <c r="C16" i="30" s="1"/>
  <c r="E5" i="30"/>
  <c r="E16" i="30" s="1"/>
  <c r="J5" i="30"/>
  <c r="C6" i="30"/>
  <c r="E6" i="30"/>
  <c r="J6" i="30"/>
  <c r="C7" i="30"/>
  <c r="E7" i="30"/>
  <c r="J7" i="30"/>
  <c r="C8" i="30"/>
  <c r="J8" i="30"/>
  <c r="C9" i="30"/>
  <c r="J9" i="30"/>
  <c r="C10" i="30"/>
  <c r="J10" i="30"/>
  <c r="C11" i="30"/>
  <c r="E11" i="30"/>
  <c r="J11" i="30"/>
  <c r="C12" i="30"/>
  <c r="E12" i="30"/>
  <c r="J12" i="30"/>
  <c r="C13" i="30"/>
  <c r="J13" i="30"/>
  <c r="C14" i="30"/>
  <c r="E14" i="30"/>
  <c r="J15" i="30"/>
  <c r="J16" i="30"/>
  <c r="C17" i="30"/>
  <c r="E17" i="30"/>
  <c r="J17" i="30"/>
  <c r="C18" i="30"/>
  <c r="E18" i="30"/>
  <c r="J18" i="30"/>
  <c r="C19" i="30"/>
  <c r="E19" i="30"/>
  <c r="J22" i="30"/>
  <c r="C23" i="30"/>
  <c r="D23" i="30"/>
  <c r="E23" i="30"/>
  <c r="F23" i="30"/>
  <c r="F32" i="30" s="1"/>
  <c r="F37" i="30" s="1"/>
  <c r="G23" i="30"/>
  <c r="C24" i="30"/>
  <c r="D24" i="30"/>
  <c r="E24" i="30"/>
  <c r="F24" i="30"/>
  <c r="G24" i="30"/>
  <c r="C25" i="30"/>
  <c r="C33" i="30" s="1"/>
  <c r="D25" i="30"/>
  <c r="D33" i="30" s="1"/>
  <c r="E25" i="30"/>
  <c r="E33" i="30" s="1"/>
  <c r="F25" i="30"/>
  <c r="G25" i="30"/>
  <c r="C26" i="30"/>
  <c r="D26" i="30"/>
  <c r="E26" i="30"/>
  <c r="F26" i="30"/>
  <c r="G26" i="30"/>
  <c r="C27" i="30"/>
  <c r="D27" i="30"/>
  <c r="E27" i="30"/>
  <c r="F27" i="30"/>
  <c r="G27" i="30"/>
  <c r="C28" i="30"/>
  <c r="D28" i="30"/>
  <c r="E28" i="30"/>
  <c r="F28" i="30"/>
  <c r="G28" i="30"/>
  <c r="C29" i="30"/>
  <c r="D29" i="30"/>
  <c r="E29" i="30"/>
  <c r="F29" i="30"/>
  <c r="G29" i="30"/>
  <c r="C30" i="30"/>
  <c r="D30" i="30"/>
  <c r="E30" i="30"/>
  <c r="F30" i="30"/>
  <c r="G30" i="30"/>
  <c r="C31" i="30"/>
  <c r="D31" i="30"/>
  <c r="E31" i="30"/>
  <c r="F31" i="30"/>
  <c r="G31" i="30"/>
  <c r="F33" i="30"/>
  <c r="G33" i="30"/>
  <c r="C34" i="30"/>
  <c r="D34" i="30"/>
  <c r="E34" i="30"/>
  <c r="F34" i="30"/>
  <c r="G34" i="30"/>
  <c r="C35" i="30"/>
  <c r="D35" i="30"/>
  <c r="E35" i="30"/>
  <c r="F35" i="30"/>
  <c r="G35" i="30"/>
  <c r="C36" i="30"/>
  <c r="D36" i="30"/>
  <c r="E36" i="30"/>
  <c r="F36" i="30"/>
  <c r="G36" i="30"/>
  <c r="C40" i="30"/>
  <c r="C41" i="30"/>
  <c r="D6" i="29"/>
  <c r="D9" i="29"/>
  <c r="D10" i="29"/>
  <c r="D13" i="29"/>
  <c r="E8" i="30" s="1"/>
  <c r="D14" i="29"/>
  <c r="E9" i="30" s="1"/>
  <c r="D15" i="29"/>
  <c r="E10" i="30" s="1"/>
  <c r="D20" i="29"/>
  <c r="E13" i="30" s="1"/>
  <c r="D21" i="29"/>
  <c r="T23" i="24"/>
  <c r="C15" i="30" l="1"/>
  <c r="C20" i="30" s="1"/>
  <c r="G32" i="30"/>
  <c r="G37" i="30" s="1"/>
  <c r="D32" i="30"/>
  <c r="D37" i="30" s="1"/>
  <c r="C32" i="30"/>
  <c r="C37" i="30" s="1"/>
  <c r="E32" i="30"/>
  <c r="E37" i="30" s="1"/>
  <c r="J14" i="30"/>
  <c r="J20" i="30" s="1"/>
  <c r="J44" i="30" s="1"/>
  <c r="J46" i="30" s="1"/>
  <c r="J54" i="30" s="1"/>
  <c r="F212" i="17"/>
  <c r="F211" i="17"/>
  <c r="F11" i="32"/>
  <c r="F17" i="32" s="1"/>
  <c r="F27" i="32"/>
  <c r="F33" i="32" s="1"/>
  <c r="C14" i="32"/>
  <c r="C19" i="32" s="1"/>
  <c r="C50" i="32"/>
  <c r="C55" i="32" s="1"/>
  <c r="C68" i="32"/>
  <c r="C73" i="32" s="1"/>
  <c r="C32" i="32"/>
  <c r="C37" i="32" s="1"/>
  <c r="J45" i="30"/>
  <c r="J53" i="30" s="1"/>
  <c r="J52" i="30"/>
  <c r="E15" i="30"/>
  <c r="E20" i="30" s="1"/>
  <c r="C39" i="30" l="1"/>
  <c r="C44" i="30" s="1"/>
  <c r="J48" i="30"/>
  <c r="J56" i="30" s="1"/>
  <c r="J47" i="30"/>
  <c r="J55" i="30" s="1"/>
  <c r="F35" i="32"/>
  <c r="F80" i="32" s="1"/>
  <c r="C75" i="32"/>
  <c r="C80" i="32" s="1"/>
  <c r="D169" i="24" s="1"/>
  <c r="D170" i="24" s="1"/>
  <c r="C52" i="30"/>
  <c r="G61" i="20"/>
  <c r="G60" i="20"/>
  <c r="F169" i="24" l="1"/>
  <c r="F83" i="32"/>
  <c r="F91" i="32" s="1"/>
  <c r="F81" i="32"/>
  <c r="F89" i="32" s="1"/>
  <c r="F88" i="32"/>
  <c r="F82" i="32"/>
  <c r="F90" i="32" s="1"/>
  <c r="F84" i="32"/>
  <c r="F92" i="32" s="1"/>
  <c r="C47" i="30"/>
  <c r="C55" i="30" s="1"/>
  <c r="C45" i="30"/>
  <c r="C53" i="30" s="1"/>
  <c r="C46" i="30"/>
  <c r="C54" i="30" s="1"/>
  <c r="C48" i="30"/>
  <c r="C56" i="30" s="1"/>
  <c r="C83" i="32"/>
  <c r="C91" i="32" s="1"/>
  <c r="C82" i="32"/>
  <c r="C81" i="32"/>
  <c r="C89" i="32" s="1"/>
  <c r="C84" i="32"/>
  <c r="C92" i="32" s="1"/>
  <c r="C90" i="32"/>
  <c r="C88" i="32"/>
  <c r="G40" i="20"/>
  <c r="F170" i="24" l="1"/>
  <c r="F196" i="24" s="1"/>
  <c r="P60" i="20" s="1"/>
  <c r="S60" i="20" s="1"/>
  <c r="T60" i="20" s="1"/>
  <c r="H79" i="20" s="1"/>
  <c r="L196" i="24"/>
  <c r="H107" i="24"/>
  <c r="H106" i="24"/>
  <c r="H105" i="24"/>
  <c r="H104" i="24"/>
  <c r="H103" i="24"/>
  <c r="H102" i="24"/>
  <c r="F10" i="24"/>
  <c r="O10" i="24" s="1"/>
  <c r="F11" i="24"/>
  <c r="O11" i="24" s="1"/>
  <c r="F11" i="17"/>
  <c r="O11" i="17" s="1"/>
  <c r="K43" i="24"/>
  <c r="Z10" i="17"/>
  <c r="Z8" i="17"/>
  <c r="V5" i="17"/>
  <c r="V8" i="17" s="1"/>
  <c r="V10" i="17" s="1"/>
  <c r="Z6" i="17"/>
  <c r="G43" i="24"/>
  <c r="D107" i="24"/>
  <c r="D106" i="24"/>
  <c r="D105" i="24"/>
  <c r="D104" i="24"/>
  <c r="D103" i="24"/>
  <c r="D102" i="24"/>
  <c r="H74" i="24"/>
  <c r="H73" i="24"/>
  <c r="H72" i="24"/>
  <c r="H71" i="24"/>
  <c r="H70" i="24"/>
  <c r="D74" i="24"/>
  <c r="D73" i="24"/>
  <c r="D72" i="24"/>
  <c r="D71" i="24"/>
  <c r="D70" i="24"/>
  <c r="C86" i="24"/>
  <c r="F86" i="24"/>
  <c r="E86" i="24"/>
  <c r="D86" i="24"/>
  <c r="F88" i="24"/>
  <c r="E88" i="24"/>
  <c r="D88" i="24"/>
  <c r="C88" i="24"/>
  <c r="F85" i="24"/>
  <c r="E85" i="24"/>
  <c r="D85" i="24"/>
  <c r="C85" i="24"/>
  <c r="V29" i="24"/>
  <c r="V28" i="24"/>
  <c r="T29" i="24"/>
  <c r="T28" i="24"/>
  <c r="I43" i="24"/>
  <c r="E43" i="24"/>
  <c r="T22" i="24"/>
  <c r="T21" i="24"/>
  <c r="A43" i="24"/>
  <c r="F56" i="24"/>
  <c r="E56" i="24"/>
  <c r="D56" i="24"/>
  <c r="C56" i="24"/>
  <c r="F54" i="24"/>
  <c r="E54" i="24"/>
  <c r="D54" i="24"/>
  <c r="C54" i="24"/>
  <c r="F53" i="24"/>
  <c r="E53" i="24"/>
  <c r="D53" i="24"/>
  <c r="C53" i="24"/>
  <c r="H251" i="17"/>
  <c r="H250" i="17"/>
  <c r="H249" i="17"/>
  <c r="H83" i="17"/>
  <c r="H82" i="17"/>
  <c r="H81" i="17"/>
  <c r="H80" i="17"/>
  <c r="H79" i="17"/>
  <c r="H78" i="17"/>
  <c r="F51" i="17"/>
  <c r="F142" i="17"/>
  <c r="F141" i="17"/>
  <c r="M130" i="17"/>
  <c r="H129" i="17"/>
  <c r="H128" i="17"/>
  <c r="H127" i="17"/>
  <c r="H126" i="17"/>
  <c r="H125" i="17"/>
  <c r="H124" i="17"/>
  <c r="H123" i="17"/>
  <c r="F129" i="17"/>
  <c r="F128" i="17"/>
  <c r="F127" i="17"/>
  <c r="F126" i="17"/>
  <c r="F125" i="17"/>
  <c r="F124" i="17"/>
  <c r="F123" i="17"/>
  <c r="D129" i="17"/>
  <c r="D128" i="17"/>
  <c r="D127" i="17"/>
  <c r="D126" i="17"/>
  <c r="D125" i="17"/>
  <c r="D124" i="17"/>
  <c r="D123" i="17"/>
  <c r="H113" i="17"/>
  <c r="H112" i="17"/>
  <c r="H111" i="17"/>
  <c r="H110" i="17"/>
  <c r="D113" i="17"/>
  <c r="D112" i="17"/>
  <c r="D111" i="17"/>
  <c r="D110" i="17"/>
  <c r="E96" i="17"/>
  <c r="E94" i="17"/>
  <c r="E93" i="17"/>
  <c r="D96" i="17"/>
  <c r="D94" i="17"/>
  <c r="D93" i="17"/>
  <c r="C96" i="17"/>
  <c r="C94" i="17"/>
  <c r="C93" i="17"/>
  <c r="D83" i="17"/>
  <c r="D82" i="17"/>
  <c r="D81" i="17"/>
  <c r="D80" i="17"/>
  <c r="D79" i="17"/>
  <c r="D78" i="17"/>
  <c r="E64" i="17"/>
  <c r="D64" i="17"/>
  <c r="C64" i="17"/>
  <c r="E62" i="17"/>
  <c r="D62" i="17"/>
  <c r="C62" i="17"/>
  <c r="E61" i="17"/>
  <c r="D61" i="17"/>
  <c r="C61" i="17"/>
  <c r="J51" i="17"/>
  <c r="A51" i="17"/>
  <c r="D26" i="19"/>
  <c r="D48" i="19"/>
  <c r="D38" i="19"/>
  <c r="H14" i="20"/>
  <c r="F56" i="20"/>
  <c r="G72" i="20"/>
  <c r="H56" i="20"/>
  <c r="E60" i="19"/>
  <c r="H38" i="20"/>
  <c r="F47" i="20"/>
  <c r="H19" i="19"/>
  <c r="H84" i="20"/>
  <c r="F13" i="19"/>
  <c r="H46" i="19"/>
  <c r="H28" i="19"/>
  <c r="E33" i="19"/>
  <c r="D58" i="20"/>
  <c r="J73" i="19"/>
  <c r="E13" i="19"/>
  <c r="D56" i="20"/>
  <c r="D35" i="20"/>
  <c r="G80" i="20"/>
  <c r="H12" i="19"/>
  <c r="J85" i="19"/>
  <c r="E16" i="20"/>
  <c r="E50" i="20"/>
  <c r="J77" i="19"/>
  <c r="D49" i="20"/>
  <c r="D36" i="19"/>
  <c r="E57" i="20"/>
  <c r="G84" i="20"/>
  <c r="F35" i="19"/>
  <c r="G75" i="20"/>
  <c r="H72" i="20"/>
  <c r="H17" i="20"/>
  <c r="H13" i="19"/>
  <c r="F50" i="19"/>
  <c r="D33" i="20"/>
  <c r="D15" i="19"/>
  <c r="F58" i="20"/>
  <c r="F37" i="20"/>
  <c r="F47" i="19"/>
  <c r="D24" i="20"/>
  <c r="H35" i="20"/>
  <c r="E23" i="19"/>
  <c r="H14" i="19"/>
  <c r="I86" i="19"/>
  <c r="E55" i="20"/>
  <c r="H19" i="20"/>
  <c r="F27" i="19"/>
  <c r="E58" i="20"/>
  <c r="E27" i="19"/>
  <c r="E25" i="19"/>
  <c r="H54" i="20"/>
  <c r="D23" i="19"/>
  <c r="H27" i="19"/>
  <c r="H33" i="20"/>
  <c r="D53" i="20"/>
  <c r="I74" i="19"/>
  <c r="F30" i="20"/>
  <c r="E20" i="20"/>
  <c r="F53" i="20"/>
  <c r="H18" i="20"/>
  <c r="D56" i="19"/>
  <c r="H59" i="20"/>
  <c r="D29" i="19"/>
  <c r="H44" i="20"/>
  <c r="H32" i="19"/>
  <c r="E45" i="19"/>
  <c r="F49" i="20"/>
  <c r="E26" i="19"/>
  <c r="F37" i="19"/>
  <c r="D18" i="19"/>
  <c r="F59" i="20"/>
  <c r="D58" i="19"/>
  <c r="G85" i="20"/>
  <c r="D60" i="19"/>
  <c r="E44" i="19"/>
  <c r="H55" i="19"/>
  <c r="D34" i="20"/>
  <c r="F28" i="19"/>
  <c r="G82" i="20"/>
  <c r="I78" i="19"/>
  <c r="E15" i="20"/>
  <c r="I75" i="19"/>
  <c r="J75" i="19"/>
  <c r="E19" i="19"/>
  <c r="F20" i="20"/>
  <c r="J78" i="19"/>
  <c r="D46" i="20"/>
  <c r="F17" i="20"/>
  <c r="H39" i="19"/>
  <c r="H57" i="19"/>
  <c r="E14" i="19"/>
  <c r="E46" i="19"/>
  <c r="E28" i="20"/>
  <c r="F18" i="20"/>
  <c r="J83" i="19"/>
  <c r="H48" i="19"/>
  <c r="F38" i="19"/>
  <c r="F23" i="19"/>
  <c r="E24" i="20"/>
  <c r="H82" i="20"/>
  <c r="F21" i="20"/>
  <c r="D37" i="19"/>
  <c r="E57" i="19"/>
  <c r="J82" i="19"/>
  <c r="H27" i="20"/>
  <c r="F60" i="19"/>
  <c r="E47" i="20"/>
  <c r="J87" i="19"/>
  <c r="E36" i="20"/>
  <c r="H52" i="20"/>
  <c r="E48" i="20"/>
  <c r="F46" i="20"/>
  <c r="F48" i="19"/>
  <c r="H77" i="20"/>
  <c r="I77" i="19"/>
  <c r="F44" i="20"/>
  <c r="H48" i="20"/>
  <c r="H71" i="20"/>
  <c r="H24" i="19"/>
  <c r="D47" i="19"/>
  <c r="E39" i="20"/>
  <c r="H47" i="19"/>
  <c r="D46" i="19"/>
  <c r="D28" i="19"/>
  <c r="F39" i="19"/>
  <c r="D48" i="20"/>
  <c r="J74" i="19"/>
  <c r="H44" i="19"/>
  <c r="D57" i="20"/>
  <c r="H26" i="19"/>
  <c r="E25" i="20"/>
  <c r="H53" i="19"/>
  <c r="H85" i="20"/>
  <c r="D30" i="20"/>
  <c r="G76" i="20"/>
  <c r="D28" i="20"/>
  <c r="D16" i="19"/>
  <c r="F36" i="19"/>
  <c r="F27" i="20"/>
  <c r="J84" i="19"/>
  <c r="H56" i="19"/>
  <c r="F55" i="20"/>
  <c r="E37" i="19"/>
  <c r="H21" i="20"/>
  <c r="H38" i="19"/>
  <c r="D59" i="19"/>
  <c r="J86" i="19"/>
  <c r="F33" i="20"/>
  <c r="E29" i="20"/>
  <c r="F34" i="20"/>
  <c r="F59" i="19"/>
  <c r="E54" i="19"/>
  <c r="H45" i="20"/>
  <c r="H73" i="20"/>
  <c r="H86" i="20"/>
  <c r="F25" i="19"/>
  <c r="F58" i="19"/>
  <c r="F15" i="19"/>
  <c r="H47" i="20"/>
  <c r="H36" i="19"/>
  <c r="E54" i="20"/>
  <c r="D21" i="20"/>
  <c r="F16" i="20"/>
  <c r="D17" i="19"/>
  <c r="E28" i="19"/>
  <c r="H30" i="20"/>
  <c r="H53" i="20"/>
  <c r="E58" i="19"/>
  <c r="E26" i="20"/>
  <c r="F28" i="20"/>
  <c r="F26" i="19"/>
  <c r="D25" i="20"/>
  <c r="H81" i="20"/>
  <c r="D19" i="19"/>
  <c r="D50" i="20"/>
  <c r="D54" i="19"/>
  <c r="D14" i="19"/>
  <c r="E18" i="20"/>
  <c r="G74" i="20"/>
  <c r="H16" i="20"/>
  <c r="F35" i="20"/>
  <c r="H35" i="19"/>
  <c r="H74" i="20"/>
  <c r="E38" i="19"/>
  <c r="F17" i="19"/>
  <c r="H58" i="20"/>
  <c r="E24" i="19"/>
  <c r="D45" i="20"/>
  <c r="J81" i="19"/>
  <c r="H76" i="20"/>
  <c r="E56" i="19"/>
  <c r="D16" i="20"/>
  <c r="E39" i="19"/>
  <c r="E59" i="19"/>
  <c r="H15" i="19"/>
  <c r="E46" i="20"/>
  <c r="D18" i="20"/>
  <c r="F48" i="20"/>
  <c r="E59" i="20"/>
  <c r="G81" i="20"/>
  <c r="G86" i="20"/>
  <c r="H46" i="20"/>
  <c r="E15" i="19"/>
  <c r="H23" i="20"/>
  <c r="I73" i="19"/>
  <c r="E35" i="19"/>
  <c r="E21" i="20"/>
  <c r="H25" i="19"/>
  <c r="F24" i="19"/>
  <c r="H17" i="19"/>
  <c r="H80" i="20"/>
  <c r="D57" i="19"/>
  <c r="I83" i="19"/>
  <c r="F56" i="19"/>
  <c r="F45" i="20"/>
  <c r="D17" i="20"/>
  <c r="E29" i="19"/>
  <c r="D50" i="19"/>
  <c r="E38" i="20"/>
  <c r="H26" i="20"/>
  <c r="H29" i="19"/>
  <c r="H60" i="19"/>
  <c r="F44" i="19"/>
  <c r="D39" i="20"/>
  <c r="H50" i="20"/>
  <c r="F15" i="20"/>
  <c r="E30" i="20"/>
  <c r="H49" i="20"/>
  <c r="I81" i="19"/>
  <c r="H23" i="19"/>
  <c r="D27" i="19"/>
  <c r="D36" i="20"/>
  <c r="E18" i="19"/>
  <c r="H34" i="20"/>
  <c r="D54" i="20"/>
  <c r="F19" i="20"/>
  <c r="E36" i="19"/>
  <c r="H49" i="19"/>
  <c r="E35" i="20"/>
  <c r="D47" i="20"/>
  <c r="D24" i="19"/>
  <c r="D25" i="19"/>
  <c r="H25" i="20"/>
  <c r="H43" i="20"/>
  <c r="E27" i="20"/>
  <c r="E56" i="20"/>
  <c r="H16" i="19"/>
  <c r="F50" i="20"/>
  <c r="D27" i="20"/>
  <c r="I72" i="19"/>
  <c r="F33" i="19"/>
  <c r="H59" i="19"/>
  <c r="D19" i="20"/>
  <c r="H43" i="19"/>
  <c r="G71" i="20"/>
  <c r="D37" i="20"/>
  <c r="H37" i="19"/>
  <c r="D59" i="20"/>
  <c r="F34" i="19"/>
  <c r="E49" i="19"/>
  <c r="H58" i="19"/>
  <c r="E48" i="19"/>
  <c r="J72" i="19"/>
  <c r="F38" i="20"/>
  <c r="F29" i="19"/>
  <c r="H29" i="20"/>
  <c r="H83" i="20"/>
  <c r="H36" i="20"/>
  <c r="F55" i="19"/>
  <c r="D35" i="19"/>
  <c r="F14" i="19"/>
  <c r="J76" i="19"/>
  <c r="H50" i="19"/>
  <c r="E37" i="20"/>
  <c r="E50" i="19"/>
  <c r="D44" i="20"/>
  <c r="F49" i="19"/>
  <c r="D55" i="20"/>
  <c r="F29" i="20"/>
  <c r="H20" i="20"/>
  <c r="D29" i="20"/>
  <c r="E45" i="20"/>
  <c r="H57" i="20"/>
  <c r="D20" i="20"/>
  <c r="F16" i="19"/>
  <c r="I84" i="19"/>
  <c r="F26" i="20"/>
  <c r="H54" i="19"/>
  <c r="D33" i="19"/>
  <c r="E34" i="20"/>
  <c r="E17" i="19"/>
  <c r="D34" i="19"/>
  <c r="H55" i="20"/>
  <c r="E17" i="20"/>
  <c r="D26" i="20"/>
  <c r="E53" i="20"/>
  <c r="H18" i="19"/>
  <c r="E55" i="19"/>
  <c r="I85" i="19"/>
  <c r="I82" i="19"/>
  <c r="H32" i="20"/>
  <c r="E16" i="19"/>
  <c r="D44" i="19"/>
  <c r="D49" i="19"/>
  <c r="D13" i="19"/>
  <c r="H28" i="20"/>
  <c r="F18" i="19"/>
  <c r="F25" i="20"/>
  <c r="F57" i="19"/>
  <c r="G73" i="20"/>
  <c r="F54" i="20"/>
  <c r="E44" i="20"/>
  <c r="F57" i="20"/>
  <c r="D39" i="19"/>
  <c r="H37" i="20"/>
  <c r="E34" i="19"/>
  <c r="H15" i="20"/>
  <c r="H33" i="19"/>
  <c r="G77" i="20"/>
  <c r="E19" i="20"/>
  <c r="F45" i="19"/>
  <c r="E47" i="19"/>
  <c r="I87" i="19"/>
  <c r="F36" i="20"/>
  <c r="F54" i="19"/>
  <c r="H75" i="20"/>
  <c r="E33" i="20"/>
  <c r="D55" i="19"/>
  <c r="F24" i="20"/>
  <c r="H22" i="19"/>
  <c r="D38" i="20"/>
  <c r="F39" i="20"/>
  <c r="G83" i="20"/>
  <c r="H24" i="20"/>
  <c r="F46" i="19"/>
  <c r="H39" i="20"/>
  <c r="D45" i="19"/>
  <c r="I76" i="19"/>
  <c r="H45" i="19"/>
  <c r="H34" i="19"/>
  <c r="E49" i="20"/>
  <c r="F19" i="19"/>
  <c r="I39" i="20" l="1"/>
  <c r="J39" i="20" s="1"/>
  <c r="C51" i="17"/>
  <c r="G61" i="17"/>
  <c r="K61" i="17" s="1"/>
  <c r="G93" i="17"/>
  <c r="K93" i="17" s="1"/>
  <c r="I47" i="20"/>
  <c r="J47" i="20" s="1"/>
  <c r="J36" i="19"/>
  <c r="I36" i="19"/>
  <c r="I59" i="19"/>
  <c r="J59" i="19"/>
  <c r="I35" i="20"/>
  <c r="J35" i="20" s="1"/>
  <c r="J13" i="19"/>
  <c r="I13" i="19"/>
  <c r="J17" i="19"/>
  <c r="I17" i="19"/>
  <c r="I46" i="20"/>
  <c r="J46" i="20" s="1"/>
  <c r="I44" i="20"/>
  <c r="J44" i="20" s="1"/>
  <c r="I26" i="19"/>
  <c r="J26" i="19"/>
  <c r="I48" i="20"/>
  <c r="J48" i="20" s="1"/>
  <c r="I29" i="19"/>
  <c r="J29" i="19"/>
  <c r="J23" i="19"/>
  <c r="I23" i="19"/>
  <c r="I34" i="20"/>
  <c r="J34" i="20" s="1"/>
  <c r="I17" i="20"/>
  <c r="J17" i="20" s="1"/>
  <c r="I21" i="20"/>
  <c r="J21" i="20" s="1"/>
  <c r="J46" i="19"/>
  <c r="I46" i="19"/>
  <c r="I47" i="19"/>
  <c r="J47" i="19"/>
  <c r="I19" i="20"/>
  <c r="J19" i="20" s="1"/>
  <c r="J38" i="19"/>
  <c r="I38" i="19"/>
  <c r="I56" i="20"/>
  <c r="J56" i="20" s="1"/>
  <c r="J35" i="19"/>
  <c r="I35" i="19"/>
  <c r="I59" i="20"/>
  <c r="J59" i="20" s="1"/>
  <c r="J58" i="19"/>
  <c r="I58" i="19"/>
  <c r="I39" i="19"/>
  <c r="J39" i="19"/>
  <c r="J56" i="19"/>
  <c r="I56" i="19"/>
  <c r="I20" i="20"/>
  <c r="J20" i="20" s="1"/>
  <c r="I26" i="20"/>
  <c r="J26" i="20" s="1"/>
  <c r="J54" i="19"/>
  <c r="I54" i="19"/>
  <c r="I27" i="20"/>
  <c r="J27" i="20" s="1"/>
  <c r="I33" i="19"/>
  <c r="J33" i="19"/>
  <c r="J57" i="19"/>
  <c r="I57" i="19"/>
  <c r="I50" i="19"/>
  <c r="J50" i="19"/>
  <c r="I38" i="20"/>
  <c r="J38" i="20" s="1"/>
  <c r="I58" i="20"/>
  <c r="J58" i="20" s="1"/>
  <c r="I55" i="20"/>
  <c r="J55" i="20" s="1"/>
  <c r="I29" i="20"/>
  <c r="J29" i="20" s="1"/>
  <c r="J48" i="19"/>
  <c r="I48" i="19"/>
  <c r="I49" i="20"/>
  <c r="J49" i="20" s="1"/>
  <c r="J34" i="19"/>
  <c r="I34" i="19"/>
  <c r="I57" i="20"/>
  <c r="J57" i="20" s="1"/>
  <c r="I18" i="20"/>
  <c r="J18" i="20" s="1"/>
  <c r="I24" i="20"/>
  <c r="J24" i="20" s="1"/>
  <c r="I18" i="19"/>
  <c r="J18" i="19"/>
  <c r="J25" i="19"/>
  <c r="I25" i="19"/>
  <c r="I50" i="20"/>
  <c r="J50" i="20" s="1"/>
  <c r="I54" i="20"/>
  <c r="J54" i="20" s="1"/>
  <c r="I25" i="20"/>
  <c r="J25" i="20" s="1"/>
  <c r="I16" i="20"/>
  <c r="J16" i="20" s="1"/>
  <c r="J60" i="19"/>
  <c r="I60" i="19"/>
  <c r="I49" i="19"/>
  <c r="J49" i="19"/>
  <c r="I45" i="20"/>
  <c r="J45" i="20" s="1"/>
  <c r="J44" i="19"/>
  <c r="I44" i="19"/>
  <c r="I28" i="20"/>
  <c r="J28" i="20" s="1"/>
  <c r="J14" i="19"/>
  <c r="I14" i="19"/>
  <c r="J15" i="19"/>
  <c r="I15" i="19"/>
  <c r="J24" i="19"/>
  <c r="I24" i="19"/>
  <c r="I37" i="20"/>
  <c r="J37" i="20" s="1"/>
  <c r="J28" i="19"/>
  <c r="I28" i="19"/>
  <c r="I19" i="19"/>
  <c r="J19" i="19"/>
  <c r="I36" i="20"/>
  <c r="J36" i="20" s="1"/>
  <c r="I55" i="19"/>
  <c r="J55" i="19"/>
  <c r="J45" i="19"/>
  <c r="I45" i="19"/>
  <c r="I33" i="20"/>
  <c r="J33" i="20" s="1"/>
  <c r="I53" i="20"/>
  <c r="J53" i="20" s="1"/>
  <c r="I30" i="20"/>
  <c r="J30" i="20" s="1"/>
  <c r="J37" i="19"/>
  <c r="I37" i="19"/>
  <c r="J27" i="19"/>
  <c r="I27" i="19"/>
  <c r="J16" i="19"/>
  <c r="I16" i="19"/>
  <c r="H56" i="24"/>
  <c r="H85" i="24"/>
  <c r="H86" i="24" s="1"/>
  <c r="T24" i="24"/>
  <c r="C43" i="24" s="1"/>
  <c r="M43" i="24" s="1"/>
  <c r="H53" i="24"/>
  <c r="K53" i="24" s="1"/>
  <c r="H88" i="24"/>
  <c r="G64" i="17"/>
  <c r="G96" i="17"/>
  <c r="J129" i="17"/>
  <c r="J123" i="17"/>
  <c r="J125" i="17"/>
  <c r="H54" i="24"/>
  <c r="G94" i="17"/>
  <c r="H51" i="17"/>
  <c r="J124" i="17"/>
  <c r="J126" i="17"/>
  <c r="J127" i="17"/>
  <c r="J128" i="17"/>
  <c r="I15" i="20"/>
  <c r="J15" i="20" s="1"/>
  <c r="G62" i="17"/>
  <c r="M51" i="17" l="1"/>
  <c r="L64" i="17" s="1"/>
  <c r="I55" i="24"/>
  <c r="I57" i="24" s="1"/>
  <c r="K56" i="24" s="1"/>
  <c r="T31" i="24" s="1"/>
  <c r="O147" i="24"/>
  <c r="I87" i="24"/>
  <c r="I89" i="24" s="1"/>
  <c r="K88" i="24" s="1"/>
  <c r="V32" i="24"/>
  <c r="T32" i="24"/>
  <c r="K85" i="24"/>
  <c r="I95" i="17"/>
  <c r="K94" i="17" s="1"/>
  <c r="I63" i="17"/>
  <c r="K62" i="17" s="1"/>
  <c r="J130" i="17"/>
  <c r="D140" i="17" s="1"/>
  <c r="H142" i="17" s="1"/>
  <c r="L54" i="24"/>
  <c r="L88" i="24"/>
  <c r="L85" i="24"/>
  <c r="L86" i="24"/>
  <c r="L56" i="24"/>
  <c r="L53" i="24"/>
  <c r="N53" i="24" s="1"/>
  <c r="D22" i="19"/>
  <c r="D43" i="20"/>
  <c r="D134" i="24" l="1"/>
  <c r="I142" i="17"/>
  <c r="M142" i="17" s="1"/>
  <c r="L62" i="17"/>
  <c r="N62" i="17" s="1"/>
  <c r="I141" i="17"/>
  <c r="I140" i="17"/>
  <c r="L93" i="17"/>
  <c r="N93" i="17" s="1"/>
  <c r="L61" i="17"/>
  <c r="N61" i="17" s="1"/>
  <c r="L96" i="17"/>
  <c r="L94" i="17"/>
  <c r="N94" i="17" s="1"/>
  <c r="N56" i="24"/>
  <c r="K54" i="24"/>
  <c r="T30" i="24" s="1"/>
  <c r="V31" i="24"/>
  <c r="N85" i="24"/>
  <c r="N88" i="24"/>
  <c r="K86" i="24"/>
  <c r="N86" i="24" s="1"/>
  <c r="T33" i="24"/>
  <c r="I97" i="17"/>
  <c r="K96" i="17" s="1"/>
  <c r="I65" i="17"/>
  <c r="K64" i="17" s="1"/>
  <c r="N64" i="17" s="1"/>
  <c r="D30" i="19"/>
  <c r="H141" i="17"/>
  <c r="I22" i="19"/>
  <c r="H140" i="17"/>
  <c r="L68" i="24"/>
  <c r="E14" i="20"/>
  <c r="D23" i="20"/>
  <c r="D12" i="19"/>
  <c r="D53" i="19"/>
  <c r="F32" i="19"/>
  <c r="E23" i="20"/>
  <c r="E53" i="19"/>
  <c r="D43" i="19"/>
  <c r="F22" i="19"/>
  <c r="F43" i="20"/>
  <c r="E22" i="19"/>
  <c r="D32" i="19"/>
  <c r="D52" i="20"/>
  <c r="D14" i="20"/>
  <c r="F12" i="19"/>
  <c r="E12" i="19"/>
  <c r="F53" i="19"/>
  <c r="F52" i="20"/>
  <c r="F14" i="20"/>
  <c r="F32" i="20"/>
  <c r="E52" i="20"/>
  <c r="E32" i="19"/>
  <c r="N96" i="17" l="1"/>
  <c r="F134" i="24"/>
  <c r="H134" i="24" s="1"/>
  <c r="J68" i="24"/>
  <c r="J73" i="24" s="1"/>
  <c r="I185" i="24" s="1"/>
  <c r="K134" i="24"/>
  <c r="I23" i="20"/>
  <c r="J23" i="20" s="1"/>
  <c r="J108" i="17"/>
  <c r="J112" i="17" s="1"/>
  <c r="I234" i="17" s="1"/>
  <c r="F108" i="17"/>
  <c r="F113" i="17" s="1"/>
  <c r="F235" i="17" s="1"/>
  <c r="J76" i="17"/>
  <c r="J80" i="17" s="1"/>
  <c r="I225" i="17" s="1"/>
  <c r="N54" i="24"/>
  <c r="V30" i="24"/>
  <c r="V33" i="24" s="1"/>
  <c r="T34" i="24" s="1"/>
  <c r="D51" i="19"/>
  <c r="E161" i="17"/>
  <c r="E151" i="17"/>
  <c r="C161" i="17"/>
  <c r="C151" i="17"/>
  <c r="M140" i="17"/>
  <c r="M141" i="17"/>
  <c r="L108" i="17"/>
  <c r="D61" i="19"/>
  <c r="I52" i="20"/>
  <c r="J52" i="20" s="1"/>
  <c r="L100" i="24"/>
  <c r="F61" i="19"/>
  <c r="J100" i="24"/>
  <c r="J105" i="24" s="1"/>
  <c r="I192" i="24" s="1"/>
  <c r="L76" i="17"/>
  <c r="F30" i="19"/>
  <c r="I14" i="20"/>
  <c r="D20" i="19"/>
  <c r="J12" i="19"/>
  <c r="I12" i="19"/>
  <c r="E30" i="19"/>
  <c r="E61" i="19"/>
  <c r="F100" i="24"/>
  <c r="F103" i="24" s="1"/>
  <c r="E40" i="19"/>
  <c r="D40" i="19"/>
  <c r="D62" i="19"/>
  <c r="E97" i="19" s="1"/>
  <c r="F20" i="19"/>
  <c r="F40" i="19"/>
  <c r="E20" i="19"/>
  <c r="I228" i="17"/>
  <c r="J22" i="19"/>
  <c r="F76" i="17"/>
  <c r="F83" i="17" s="1"/>
  <c r="J32" i="19"/>
  <c r="J72" i="24"/>
  <c r="I184" i="24" s="1"/>
  <c r="J74" i="24"/>
  <c r="I186" i="24" s="1"/>
  <c r="J71" i="24"/>
  <c r="I183" i="24" s="1"/>
  <c r="I53" i="19"/>
  <c r="J53" i="19"/>
  <c r="J43" i="19"/>
  <c r="I43" i="19"/>
  <c r="F23" i="20"/>
  <c r="D32" i="20"/>
  <c r="E32" i="20"/>
  <c r="E43" i="19"/>
  <c r="F43" i="19"/>
  <c r="E43" i="20"/>
  <c r="F40" i="20" l="1"/>
  <c r="J79" i="17"/>
  <c r="I224" i="17" s="1"/>
  <c r="J78" i="17"/>
  <c r="I223" i="17" s="1"/>
  <c r="F110" i="17"/>
  <c r="F232" i="17" s="1"/>
  <c r="J82" i="17"/>
  <c r="I227" i="17" s="1"/>
  <c r="J70" i="24"/>
  <c r="I182" i="24" s="1"/>
  <c r="K135" i="24"/>
  <c r="F195" i="24" s="1"/>
  <c r="K60" i="20" s="1"/>
  <c r="L195" i="24"/>
  <c r="F62" i="19"/>
  <c r="E101" i="19" s="1"/>
  <c r="F51" i="19"/>
  <c r="F68" i="24"/>
  <c r="F73" i="24" s="1"/>
  <c r="L73" i="24" s="1"/>
  <c r="L185" i="24" s="1"/>
  <c r="J111" i="17"/>
  <c r="I233" i="17" s="1"/>
  <c r="F111" i="17"/>
  <c r="F233" i="17" s="1"/>
  <c r="J110" i="17"/>
  <c r="I232" i="17" s="1"/>
  <c r="J113" i="17"/>
  <c r="I235" i="17" s="1"/>
  <c r="F112" i="17"/>
  <c r="L112" i="17" s="1"/>
  <c r="L234" i="17" s="1"/>
  <c r="J81" i="17"/>
  <c r="I226" i="17" s="1"/>
  <c r="J83" i="17"/>
  <c r="I229" i="17" s="1"/>
  <c r="E40" i="20"/>
  <c r="D40" i="20"/>
  <c r="I32" i="20"/>
  <c r="J32" i="20" s="1"/>
  <c r="F228" i="17"/>
  <c r="J14" i="20"/>
  <c r="E51" i="19"/>
  <c r="E62" i="19"/>
  <c r="E99" i="19" s="1"/>
  <c r="G161" i="17"/>
  <c r="I161" i="17" s="1"/>
  <c r="G151" i="17"/>
  <c r="I151" i="17" s="1"/>
  <c r="L228" i="17"/>
  <c r="J103" i="24"/>
  <c r="I190" i="24" s="1"/>
  <c r="J102" i="24"/>
  <c r="I189" i="24" s="1"/>
  <c r="J106" i="24"/>
  <c r="I193" i="24" s="1"/>
  <c r="J104" i="24"/>
  <c r="I191" i="24" s="1"/>
  <c r="J107" i="24"/>
  <c r="I194" i="24" s="1"/>
  <c r="F82" i="17"/>
  <c r="F104" i="24"/>
  <c r="F105" i="24"/>
  <c r="L105" i="24" s="1"/>
  <c r="L192" i="24" s="1"/>
  <c r="F106" i="24"/>
  <c r="F193" i="24" s="1"/>
  <c r="F102" i="24"/>
  <c r="F107" i="24"/>
  <c r="F80" i="17"/>
  <c r="F225" i="17" s="1"/>
  <c r="J62" i="19"/>
  <c r="M62" i="19" s="1"/>
  <c r="N62" i="19" s="1"/>
  <c r="F81" i="17"/>
  <c r="F79" i="17"/>
  <c r="F224" i="17" s="1"/>
  <c r="F78" i="17"/>
  <c r="L78" i="17" s="1"/>
  <c r="L223" i="17" s="1"/>
  <c r="I32" i="19"/>
  <c r="I62" i="19" s="1"/>
  <c r="F229" i="17"/>
  <c r="I187" i="24"/>
  <c r="F190" i="24"/>
  <c r="I71" i="19"/>
  <c r="L82" i="17" l="1"/>
  <c r="L227" i="17" s="1"/>
  <c r="L113" i="17"/>
  <c r="L235" i="17" s="1"/>
  <c r="N60" i="20"/>
  <c r="O60" i="20" s="1"/>
  <c r="J40" i="20"/>
  <c r="F185" i="24"/>
  <c r="F71" i="24"/>
  <c r="L71" i="24" s="1"/>
  <c r="L183" i="24" s="1"/>
  <c r="F70" i="24"/>
  <c r="F182" i="24" s="1"/>
  <c r="F72" i="24"/>
  <c r="L72" i="24" s="1"/>
  <c r="L184" i="24" s="1"/>
  <c r="F74" i="24"/>
  <c r="F186" i="24" s="1"/>
  <c r="L110" i="17"/>
  <c r="L232" i="17" s="1"/>
  <c r="L111" i="17"/>
  <c r="L233" i="17" s="1"/>
  <c r="I230" i="17"/>
  <c r="I238" i="17"/>
  <c r="F234" i="17"/>
  <c r="L83" i="17"/>
  <c r="L229" i="17" s="1"/>
  <c r="L81" i="17"/>
  <c r="L226" i="17" s="1"/>
  <c r="L104" i="24"/>
  <c r="L191" i="24" s="1"/>
  <c r="L102" i="24"/>
  <c r="L189" i="24" s="1"/>
  <c r="M162" i="17"/>
  <c r="M161" i="17"/>
  <c r="L237" i="17" s="1"/>
  <c r="M152" i="17"/>
  <c r="F236" i="17" s="1"/>
  <c r="M151" i="17"/>
  <c r="L236" i="17" s="1"/>
  <c r="L103" i="24"/>
  <c r="L190" i="24" s="1"/>
  <c r="I197" i="24"/>
  <c r="I198" i="24" s="1"/>
  <c r="H210" i="24" s="1"/>
  <c r="L107" i="24"/>
  <c r="L194" i="24" s="1"/>
  <c r="F191" i="24"/>
  <c r="L80" i="17"/>
  <c r="L225" i="17" s="1"/>
  <c r="F227" i="17"/>
  <c r="F226" i="17"/>
  <c r="L79" i="17"/>
  <c r="L224" i="17" s="1"/>
  <c r="F194" i="24"/>
  <c r="F192" i="24"/>
  <c r="L106" i="24"/>
  <c r="L193" i="24" s="1"/>
  <c r="F189" i="24"/>
  <c r="F223" i="17"/>
  <c r="K62" i="19"/>
  <c r="L62" i="19" s="1"/>
  <c r="O62" i="19" s="1"/>
  <c r="K97" i="19" s="1"/>
  <c r="K101" i="19" s="1"/>
  <c r="M101" i="19" s="1"/>
  <c r="I80" i="19"/>
  <c r="J71" i="19"/>
  <c r="G79" i="20" l="1"/>
  <c r="L70" i="24"/>
  <c r="L182" i="24" s="1"/>
  <c r="L74" i="24"/>
  <c r="L186" i="24" s="1"/>
  <c r="K40" i="20"/>
  <c r="F184" i="24"/>
  <c r="F183" i="24"/>
  <c r="I239" i="17"/>
  <c r="E251" i="17" s="1"/>
  <c r="K251" i="17" s="1"/>
  <c r="I88" i="19"/>
  <c r="G97" i="19" s="1"/>
  <c r="F237" i="17"/>
  <c r="P40" i="20" s="1"/>
  <c r="S40" i="20" s="1"/>
  <c r="L197" i="24"/>
  <c r="F197" i="24"/>
  <c r="L238" i="17"/>
  <c r="L230" i="17"/>
  <c r="F230" i="17"/>
  <c r="K99" i="19"/>
  <c r="F60" i="20"/>
  <c r="J80" i="19"/>
  <c r="N40" i="20" l="1"/>
  <c r="O40" i="20" s="1"/>
  <c r="K61" i="20"/>
  <c r="L187" i="24"/>
  <c r="T40" i="20"/>
  <c r="P61" i="20"/>
  <c r="L198" i="24"/>
  <c r="H208" i="24" s="1"/>
  <c r="F238" i="17"/>
  <c r="F239" i="17" s="1"/>
  <c r="E250" i="17" s="1"/>
  <c r="K250" i="17" s="1"/>
  <c r="F187" i="24"/>
  <c r="F198" i="24" s="1"/>
  <c r="H209" i="24" s="1"/>
  <c r="G99" i="19"/>
  <c r="J88" i="19"/>
  <c r="I99" i="19" s="1"/>
  <c r="L239" i="17"/>
  <c r="E249" i="17" s="1"/>
  <c r="K249" i="17" s="1"/>
  <c r="F61" i="20"/>
  <c r="I43" i="20"/>
  <c r="J43" i="20" s="1"/>
  <c r="G70" i="20" l="1"/>
  <c r="G87" i="20" s="1"/>
  <c r="O61" i="20"/>
  <c r="U40" i="20"/>
  <c r="T61" i="20"/>
  <c r="H70" i="20"/>
  <c r="H87" i="20" s="1"/>
  <c r="M99" i="19"/>
  <c r="I97" i="19"/>
  <c r="M97" i="19" s="1"/>
  <c r="D61" i="20"/>
  <c r="D60" i="20"/>
  <c r="J60" i="20"/>
  <c r="U60" i="20" s="1"/>
  <c r="J61" i="20"/>
  <c r="E61" i="20"/>
  <c r="E60" i="20"/>
  <c r="E98" i="20" l="1"/>
  <c r="E96" i="20"/>
  <c r="U61" i="20"/>
  <c r="G96" i="20"/>
  <c r="G98" i="20"/>
  <c r="C98" i="20"/>
  <c r="C100" i="20"/>
  <c r="I100" i="20" s="1"/>
  <c r="C96" i="20"/>
  <c r="I96" i="20" l="1"/>
  <c r="I98" i="20"/>
</calcChain>
</file>

<file path=xl/sharedStrings.xml><?xml version="1.0" encoding="utf-8"?>
<sst xmlns="http://schemas.openxmlformats.org/spreadsheetml/2006/main" count="3302" uniqueCount="1356">
  <si>
    <t>General Information</t>
  </si>
  <si>
    <t>Analyst</t>
  </si>
  <si>
    <t>Agency or Company</t>
  </si>
  <si>
    <t>Date Performed</t>
  </si>
  <si>
    <t>Input Data</t>
  </si>
  <si>
    <t>Length of segment, L (mi)</t>
  </si>
  <si>
    <t>AADT (veh/day)</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</si>
  <si>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</si>
  <si>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</si>
  <si>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</si>
  <si>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</si>
  <si>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</si>
  <si>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</si>
  <si>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</si>
  <si>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</si>
  <si>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</si>
  <si>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</si>
  <si>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</si>
  <si>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</si>
  <si>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</si>
  <si>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</si>
  <si>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</si>
  <si>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</si>
  <si>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</si>
  <si>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</si>
  <si>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</si>
  <si>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</si>
  <si>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</si>
  <si>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</si>
  <si>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Crash Severity Level</t>
  </si>
  <si>
    <t>Overdispersion Parameter, k</t>
  </si>
  <si>
    <t>Total</t>
  </si>
  <si>
    <t>Fatal and Injury (FI)</t>
  </si>
  <si>
    <t>Property Damage Only (PDO)</t>
  </si>
  <si>
    <t>Collision Type</t>
  </si>
  <si>
    <r>
      <t>Proportion of Collision Type</t>
    </r>
    <r>
      <rPr>
        <b/>
        <sz val="6"/>
        <rFont val="Arial"/>
        <family val="2"/>
      </rPr>
      <t>(FI)</t>
    </r>
  </si>
  <si>
    <t>Angle collision</t>
  </si>
  <si>
    <t>Head-on collision</t>
  </si>
  <si>
    <t>Rear-end collision</t>
  </si>
  <si>
    <t>Crash severity level</t>
  </si>
  <si>
    <t>Shoulder Type</t>
  </si>
  <si>
    <t>Lane Width</t>
  </si>
  <si>
    <t>TWLTL</t>
  </si>
  <si>
    <t>Lighting</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</si>
  <si>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</si>
  <si>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</si>
  <si>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</si>
  <si>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</si>
  <si>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</si>
  <si>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</si>
  <si>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</si>
  <si>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</si>
  <si>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</si>
  <si>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</si>
  <si>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</si>
  <si>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</si>
  <si>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</si>
  <si>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</si>
  <si>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</si>
  <si>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</si>
  <si>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</si>
  <si>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Present (1 lane)</t>
  </si>
  <si>
    <t>Present (2 lanes)</t>
  </si>
  <si>
    <t>Local</t>
  </si>
  <si>
    <t>Yes</t>
  </si>
  <si>
    <t>No</t>
  </si>
  <si>
    <t>Locally-Derived Values?</t>
  </si>
  <si>
    <t>Intersection</t>
  </si>
  <si>
    <t>Intersection lighting (present/not present)</t>
  </si>
  <si>
    <t>Itype</t>
  </si>
  <si>
    <t>3ST</t>
  </si>
  <si>
    <t>4ST</t>
  </si>
  <si>
    <t>4SG</t>
  </si>
  <si>
    <t>Lapproach</t>
  </si>
  <si>
    <t>Rapproach</t>
  </si>
  <si>
    <t>Ilight</t>
  </si>
  <si>
    <t>Differ</t>
  </si>
  <si>
    <t>Median width (ft) - for divided only</t>
  </si>
  <si>
    <t>(1)*(2)*(3)*(4)*(5)</t>
  </si>
  <si>
    <t>SPF Coefficients</t>
  </si>
  <si>
    <t>a</t>
  </si>
  <si>
    <t>b</t>
  </si>
  <si>
    <t>Mwidth</t>
  </si>
  <si>
    <t>Divided</t>
  </si>
  <si>
    <t>Undivided</t>
  </si>
  <si>
    <t>Division</t>
  </si>
  <si>
    <t>Sideswipe</t>
  </si>
  <si>
    <t>Other</t>
  </si>
  <si>
    <t>PDO</t>
  </si>
  <si>
    <t>Sslope</t>
  </si>
  <si>
    <t>1:2 or Steeper</t>
  </si>
  <si>
    <t>1:4</t>
  </si>
  <si>
    <t>1:5</t>
  </si>
  <si>
    <t>1:6</t>
  </si>
  <si>
    <t>1:7 or Flatter</t>
  </si>
  <si>
    <t>4U</t>
  </si>
  <si>
    <t>Shld2</t>
  </si>
  <si>
    <t>CMF</t>
  </si>
  <si>
    <t>4D</t>
  </si>
  <si>
    <r>
      <t>Calibration Factor, C</t>
    </r>
    <r>
      <rPr>
        <b/>
        <vertAlign val="subscript"/>
        <sz val="10"/>
        <rFont val="Arial"/>
        <family val="2"/>
      </rPr>
      <t>i</t>
    </r>
  </si>
  <si>
    <t>Iapproach</t>
  </si>
  <si>
    <t>COMBINED (sum of column)</t>
  </si>
  <si>
    <r>
      <t>N</t>
    </r>
    <r>
      <rPr>
        <vertAlign val="subscript"/>
        <sz val="10"/>
        <rFont val="Arial"/>
        <family val="2"/>
      </rPr>
      <t xml:space="preserve"> predicted</t>
    </r>
    <r>
      <rPr>
        <sz val="10"/>
        <rFont val="Arial"/>
        <family val="2"/>
      </rPr>
      <t xml:space="preserve"> (TOTAL)</t>
    </r>
  </si>
  <si>
    <r>
      <t xml:space="preserve"> N</t>
    </r>
    <r>
      <rPr>
        <vertAlign val="subscript"/>
        <sz val="10"/>
        <rFont val="Arial"/>
        <family val="2"/>
      </rPr>
      <t xml:space="preserve"> predicted</t>
    </r>
    <r>
      <rPr>
        <sz val="10"/>
        <rFont val="Arial"/>
        <family val="2"/>
      </rPr>
      <t xml:space="preserve">    (PDO)</t>
    </r>
  </si>
  <si>
    <t>ROADWAY SEGMENTS</t>
  </si>
  <si>
    <t>INTERSECTIONS</t>
  </si>
  <si>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</si>
  <si>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</si>
  <si>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</si>
  <si>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</si>
  <si>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</si>
  <si>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</si>
  <si>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</si>
  <si>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</si>
  <si>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</si>
  <si>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</si>
  <si>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</si>
  <si>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</si>
  <si>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t>Equation A-5 from Part C Appendix</t>
  </si>
  <si>
    <t>Equation   A-4 from Part C Appendix</t>
  </si>
  <si>
    <r>
      <t xml:space="preserve">N </t>
    </r>
    <r>
      <rPr>
        <b/>
        <vertAlign val="subscript"/>
        <sz val="10"/>
        <rFont val="Arial"/>
        <family val="2"/>
      </rPr>
      <t>predicted</t>
    </r>
  </si>
  <si>
    <r>
      <t xml:space="preserve">N </t>
    </r>
    <r>
      <rPr>
        <b/>
        <vertAlign val="subscript"/>
        <sz val="10"/>
        <rFont val="Arial"/>
        <family val="2"/>
      </rPr>
      <t>expected</t>
    </r>
  </si>
  <si>
    <t>Fatal and injury (FI)</t>
  </si>
  <si>
    <t>Property damage only (PDO)</t>
  </si>
  <si>
    <r>
      <t xml:space="preserve"> N</t>
    </r>
    <r>
      <rPr>
        <vertAlign val="subscript"/>
        <sz val="10"/>
        <rFont val="Arial"/>
        <family val="2"/>
      </rPr>
      <t xml:space="preserve"> predicted    </t>
    </r>
    <r>
      <rPr>
        <sz val="10"/>
        <rFont val="Arial"/>
        <family val="2"/>
      </rPr>
      <t xml:space="preserve">  (FI)</t>
    </r>
  </si>
  <si>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</si>
  <si>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</si>
  <si>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</si>
  <si>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</si>
  <si>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</si>
  <si>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</si>
  <si>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</si>
  <si>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</si>
  <si>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</si>
  <si>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</si>
  <si>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</si>
  <si>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Worksheet 1A -- General Information and Input Data for Urban and Suburban Roadway Segments</t>
  </si>
  <si>
    <t>Type of on-street parking (none/parallel/angle)</t>
  </si>
  <si>
    <t>Proportion of curb length with on-street parking</t>
  </si>
  <si>
    <t>Lighting (present / not present)</t>
  </si>
  <si>
    <t>Auto speed enforcement (present / not present)</t>
  </si>
  <si>
    <t>Major commercial driveways (number)</t>
  </si>
  <si>
    <t>Minor commercial driveways (number)</t>
  </si>
  <si>
    <t>Major industrial / institutional driveways (number)</t>
  </si>
  <si>
    <t>Minor industrial / institutional driveways (number)</t>
  </si>
  <si>
    <t>Major residential driveways (number)</t>
  </si>
  <si>
    <t>Minor residential driveways (number)</t>
  </si>
  <si>
    <t>Other driveways (number)</t>
  </si>
  <si>
    <t>Speed Category</t>
  </si>
  <si>
    <t>Roadside fixed object density (fixed objects / mi)</t>
  </si>
  <si>
    <t>Urban / Suburban Fields:</t>
  </si>
  <si>
    <t>Rtype</t>
  </si>
  <si>
    <t>3T</t>
  </si>
  <si>
    <t>2U</t>
  </si>
  <si>
    <t>UMedWidth</t>
  </si>
  <si>
    <t>PresOrNot</t>
  </si>
  <si>
    <t>None</t>
  </si>
  <si>
    <t>from Equation 12-32</t>
  </si>
  <si>
    <t>Type of Parking and Land Use</t>
  </si>
  <si>
    <t>Parallel Parking</t>
  </si>
  <si>
    <t>Residential/  Other</t>
  </si>
  <si>
    <t>Commercial or Industrial/ Institutional</t>
  </si>
  <si>
    <t>Angle Parking</t>
  </si>
  <si>
    <t>Road Type</t>
  </si>
  <si>
    <t>5T</t>
  </si>
  <si>
    <t>Parallel (Residential)</t>
  </si>
  <si>
    <t>Parallel (Comm/Ind)</t>
  </si>
  <si>
    <t>Angle (Residential)</t>
  </si>
  <si>
    <t>Angle (Comm/Ind)</t>
  </si>
  <si>
    <t>OnStreetType</t>
  </si>
  <si>
    <t>from Equation 12-33</t>
  </si>
  <si>
    <t>Offset to fixed objects</t>
  </si>
  <si>
    <r>
      <t>(O</t>
    </r>
    <r>
      <rPr>
        <b/>
        <vertAlign val="subscript"/>
        <sz val="10"/>
        <rFont val="Arial"/>
        <family val="2"/>
      </rPr>
      <t>fo</t>
    </r>
    <r>
      <rPr>
        <b/>
        <sz val="10"/>
        <rFont val="Arial"/>
        <family val="2"/>
      </rPr>
      <t>) (ft)</t>
    </r>
  </si>
  <si>
    <t>Fixed-Object Offset Factor</t>
  </si>
  <si>
    <r>
      <t>(f</t>
    </r>
    <r>
      <rPr>
        <b/>
        <vertAlign val="subscript"/>
        <sz val="10"/>
        <rFont val="Arial"/>
        <family val="2"/>
      </rPr>
      <t>offset</t>
    </r>
    <r>
      <rPr>
        <b/>
        <sz val="10"/>
        <rFont val="Arial"/>
        <family val="2"/>
      </rPr>
      <t>)</t>
    </r>
  </si>
  <si>
    <t>OffsetFO</t>
  </si>
  <si>
    <r>
      <rPr>
        <sz val="10"/>
        <rFont val="Calibri"/>
        <family val="2"/>
      </rPr>
      <t>≥</t>
    </r>
    <r>
      <rPr>
        <sz val="10"/>
        <rFont val="Arial"/>
        <family val="2"/>
      </rPr>
      <t xml:space="preserve"> </t>
    </r>
    <r>
      <rPr>
        <sz val="10"/>
        <rFont val="Arial"/>
        <family val="2"/>
      </rPr>
      <t>30</t>
    </r>
  </si>
  <si>
    <r>
      <rPr>
        <sz val="10"/>
        <rFont val="Calibri"/>
        <family val="2"/>
      </rPr>
      <t xml:space="preserve">≥ </t>
    </r>
    <r>
      <rPr>
        <sz val="10"/>
        <rFont val="Arial"/>
        <family val="2"/>
      </rPr>
      <t>30</t>
    </r>
  </si>
  <si>
    <r>
      <t>Proportion of Fixed-Object Collisions (p</t>
    </r>
    <r>
      <rPr>
        <b/>
        <vertAlign val="subscript"/>
        <sz val="10"/>
        <rFont val="Arial"/>
        <family val="2"/>
      </rPr>
      <t>fo</t>
    </r>
    <r>
      <rPr>
        <b/>
        <sz val="10"/>
        <rFont val="Arial"/>
        <family val="2"/>
      </rPr>
      <t>)</t>
    </r>
  </si>
  <si>
    <t>Median Width (ft)</t>
  </si>
  <si>
    <t>from Equation 12-34</t>
  </si>
  <si>
    <t>Proportion of Total Nighttime Crashes by Severity Level</t>
  </si>
  <si>
    <r>
      <t>Fatal and Injury (p</t>
    </r>
    <r>
      <rPr>
        <b/>
        <vertAlign val="subscript"/>
        <sz val="10"/>
        <rFont val="Arial"/>
        <family val="2"/>
      </rPr>
      <t>inr</t>
    </r>
    <r>
      <rPr>
        <b/>
        <sz val="10"/>
        <rFont val="Arial"/>
        <family val="2"/>
      </rPr>
      <t>)</t>
    </r>
  </si>
  <si>
    <r>
      <t>PDO (p</t>
    </r>
    <r>
      <rPr>
        <b/>
        <vertAlign val="subscript"/>
        <sz val="10"/>
        <rFont val="Arial"/>
        <family val="2"/>
      </rPr>
      <t>pnr</t>
    </r>
    <r>
      <rPr>
        <b/>
        <sz val="10"/>
        <rFont val="Arial"/>
        <family val="2"/>
      </rPr>
      <t>)</t>
    </r>
  </si>
  <si>
    <t>Proportion of Crashes that Occur at Night</t>
  </si>
  <si>
    <r>
      <t>(p</t>
    </r>
    <r>
      <rPr>
        <b/>
        <vertAlign val="subscript"/>
        <sz val="10"/>
        <rFont val="Arial"/>
        <family val="2"/>
      </rPr>
      <t>nr</t>
    </r>
    <r>
      <rPr>
        <b/>
        <sz val="10"/>
        <rFont val="Arial"/>
        <family val="2"/>
      </rPr>
      <t>)</t>
    </r>
  </si>
  <si>
    <r>
      <t>p</t>
    </r>
    <r>
      <rPr>
        <vertAlign val="subscript"/>
        <sz val="10"/>
        <rFont val="Arial"/>
        <family val="2"/>
      </rPr>
      <t>inr</t>
    </r>
    <r>
      <rPr>
        <sz val="10"/>
        <rFont val="Arial"/>
        <family val="2"/>
      </rPr>
      <t>:</t>
    </r>
  </si>
  <si>
    <r>
      <t>p</t>
    </r>
    <r>
      <rPr>
        <vertAlign val="subscript"/>
        <sz val="10"/>
        <rFont val="Arial"/>
        <family val="2"/>
      </rPr>
      <t>pnr</t>
    </r>
    <r>
      <rPr>
        <sz val="10"/>
        <rFont val="Arial"/>
        <family val="2"/>
      </rPr>
      <t>:</t>
    </r>
  </si>
  <si>
    <r>
      <t>p</t>
    </r>
    <r>
      <rPr>
        <vertAlign val="subscript"/>
        <sz val="10"/>
        <rFont val="Arial"/>
        <family val="2"/>
      </rPr>
      <t>nr</t>
    </r>
    <r>
      <rPr>
        <sz val="10"/>
        <rFont val="Arial"/>
        <family val="2"/>
      </rPr>
      <t>:</t>
    </r>
  </si>
  <si>
    <t>from Section 12.7.1</t>
  </si>
  <si>
    <t>Worksheet 1C -- Multiple-Vehicle Nondriveway Collisions by Severity Level for Urban and Suburban Roadway Segments</t>
  </si>
  <si>
    <r>
      <t>Initial N</t>
    </r>
    <r>
      <rPr>
        <b/>
        <vertAlign val="subscript"/>
        <sz val="10"/>
        <rFont val="Arial"/>
        <family val="2"/>
      </rPr>
      <t>brmv</t>
    </r>
  </si>
  <si>
    <t>Proportion of Total Crashes</t>
  </si>
  <si>
    <r>
      <t>Adjusted N</t>
    </r>
    <r>
      <rPr>
        <b/>
        <vertAlign val="subscript"/>
        <sz val="10"/>
        <rFont val="Arial"/>
        <family val="2"/>
      </rPr>
      <t>brmv</t>
    </r>
  </si>
  <si>
    <r>
      <t>Predicted N</t>
    </r>
    <r>
      <rPr>
        <b/>
        <vertAlign val="subscript"/>
        <sz val="10"/>
        <rFont val="Arial"/>
        <family val="2"/>
      </rPr>
      <t>brmv</t>
    </r>
  </si>
  <si>
    <t>from Equation 12-10</t>
  </si>
  <si>
    <r>
      <t>(4)</t>
    </r>
    <r>
      <rPr>
        <vertAlign val="subscript"/>
        <sz val="10"/>
        <rFont val="Arial"/>
        <family val="2"/>
      </rPr>
      <t>TOTAL</t>
    </r>
    <r>
      <rPr>
        <sz val="10"/>
        <rFont val="Arial"/>
        <family val="2"/>
      </rPr>
      <t>*(5)</t>
    </r>
  </si>
  <si>
    <t>(6) from Worksheet 1B</t>
  </si>
  <si>
    <t>(6)*(7)*(8)</t>
  </si>
  <si>
    <r>
      <t>(4)</t>
    </r>
    <r>
      <rPr>
        <vertAlign val="subscript"/>
        <sz val="10"/>
        <rFont val="Arial"/>
        <family val="2"/>
      </rPr>
      <t>FI</t>
    </r>
    <r>
      <rPr>
        <sz val="10"/>
        <rFont val="Arial"/>
        <family val="2"/>
      </rPr>
      <t>/((4)</t>
    </r>
    <r>
      <rPr>
        <vertAlign val="subscript"/>
        <sz val="10"/>
        <rFont val="Arial"/>
        <family val="2"/>
      </rPr>
      <t>FI</t>
    </r>
    <r>
      <rPr>
        <sz val="10"/>
        <rFont val="Arial"/>
        <family val="2"/>
      </rPr>
      <t>+(4)</t>
    </r>
    <r>
      <rPr>
        <vertAlign val="subscript"/>
        <sz val="10"/>
        <rFont val="Arial"/>
        <family val="2"/>
      </rPr>
      <t>PDO</t>
    </r>
    <r>
      <rPr>
        <sz val="10"/>
        <rFont val="Arial"/>
        <family val="2"/>
      </rPr>
      <t>)</t>
    </r>
  </si>
  <si>
    <r>
      <t>(5)</t>
    </r>
    <r>
      <rPr>
        <vertAlign val="subscript"/>
        <sz val="10"/>
        <rFont val="Arial"/>
        <family val="2"/>
      </rPr>
      <t>TOTAL</t>
    </r>
    <r>
      <rPr>
        <sz val="10"/>
        <rFont val="Arial"/>
        <family val="2"/>
      </rPr>
      <t>-(5)</t>
    </r>
    <r>
      <rPr>
        <vertAlign val="subscript"/>
        <sz val="10"/>
        <rFont val="Arial"/>
        <family val="2"/>
      </rPr>
      <t>FI</t>
    </r>
  </si>
  <si>
    <t>Coefficients use in Eqn. 12-10</t>
  </si>
  <si>
    <t>Overdispersion    parameter     (k)</t>
  </si>
  <si>
    <t>Road type</t>
  </si>
  <si>
    <t>(a)</t>
  </si>
  <si>
    <t>(b)</t>
  </si>
  <si>
    <t>Intercept</t>
  </si>
  <si>
    <t>AADT</t>
  </si>
  <si>
    <t>Total crashes</t>
  </si>
  <si>
    <t>Fatal-and-injury crashes</t>
  </si>
  <si>
    <t>Property-damage-only crashes</t>
  </si>
  <si>
    <t>Worksheet 1D -- Multiple-Vehicle Nondriveway Collisions by Collision Type for Urban and Suburban Roadway Segments</t>
  </si>
  <si>
    <r>
      <t xml:space="preserve">Predicted N </t>
    </r>
    <r>
      <rPr>
        <b/>
        <i/>
        <vertAlign val="subscript"/>
        <sz val="10"/>
        <rFont val="Arial"/>
        <family val="2"/>
      </rPr>
      <t>brmv</t>
    </r>
    <r>
      <rPr>
        <b/>
        <vertAlign val="subscript"/>
        <sz val="10"/>
        <rFont val="Arial"/>
        <family val="2"/>
      </rPr>
      <t xml:space="preserve"> (TOTAL) </t>
    </r>
    <r>
      <rPr>
        <b/>
        <sz val="10"/>
        <rFont val="Arial"/>
        <family val="2"/>
      </rPr>
      <t>(crashes/year)</t>
    </r>
  </si>
  <si>
    <r>
      <t xml:space="preserve">Predicted N </t>
    </r>
    <r>
      <rPr>
        <b/>
        <i/>
        <sz val="6"/>
        <rFont val="Arial"/>
        <family val="2"/>
      </rPr>
      <t>brmv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</si>
  <si>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1C</t>
    </r>
  </si>
  <si>
    <r>
      <t xml:space="preserve">Predicted N </t>
    </r>
    <r>
      <rPr>
        <b/>
        <i/>
        <sz val="6"/>
        <rFont val="Arial"/>
        <family val="2"/>
      </rPr>
      <t>brmv</t>
    </r>
    <r>
      <rPr>
        <b/>
        <sz val="6"/>
        <rFont val="Arial"/>
        <family val="2"/>
      </rPr>
      <t xml:space="preserve"> (PDO)</t>
    </r>
    <r>
      <rPr>
        <b/>
        <sz val="10"/>
        <rFont val="Arial"/>
        <family val="2"/>
      </rPr>
      <t xml:space="preserve"> (crashes/year)</t>
    </r>
  </si>
  <si>
    <r>
      <t>(9)</t>
    </r>
    <r>
      <rPr>
        <sz val="6"/>
        <rFont val="Arial"/>
        <family val="2"/>
      </rPr>
      <t>PDO</t>
    </r>
    <r>
      <rPr>
        <sz val="10"/>
        <rFont val="Arial"/>
        <family val="2"/>
      </rPr>
      <t xml:space="preserve"> from Worksheet 1C</t>
    </r>
  </si>
  <si>
    <r>
      <t>(9)</t>
    </r>
    <r>
      <rPr>
        <sz val="6"/>
        <rFont val="Arial"/>
        <family val="2"/>
      </rPr>
      <t>TOTAL</t>
    </r>
    <r>
      <rPr>
        <sz val="10"/>
        <rFont val="Arial"/>
        <family val="2"/>
      </rPr>
      <t xml:space="preserve"> from Worksheet 1C</t>
    </r>
  </si>
  <si>
    <r>
      <t>(2)*(3)</t>
    </r>
    <r>
      <rPr>
        <vertAlign val="subscript"/>
        <sz val="10"/>
        <rFont val="Arial"/>
        <family val="2"/>
      </rPr>
      <t>FI</t>
    </r>
  </si>
  <si>
    <r>
      <t>(4)*(5)</t>
    </r>
    <r>
      <rPr>
        <vertAlign val="subscript"/>
        <sz val="10"/>
        <rFont val="Arial"/>
        <family val="2"/>
      </rPr>
      <t>PDO</t>
    </r>
  </si>
  <si>
    <t>(3)+(5)</t>
  </si>
  <si>
    <t>Sideswipe, same direction</t>
  </si>
  <si>
    <t>Sideswipe, opposite direction</t>
  </si>
  <si>
    <t>Proportion of crashes by severity level for specific road types</t>
  </si>
  <si>
    <t>FI</t>
  </si>
  <si>
    <t>Source: HSIS data for Washington (2002-2006)</t>
  </si>
  <si>
    <t>Other multiple-vehicle collision</t>
  </si>
  <si>
    <r>
      <t xml:space="preserve">Proportion of Collision Type </t>
    </r>
    <r>
      <rPr>
        <b/>
        <vertAlign val="subscript"/>
        <sz val="10"/>
        <rFont val="Arial"/>
        <family val="2"/>
      </rPr>
      <t>(PDO)</t>
    </r>
  </si>
  <si>
    <t>Worksheet 1E -- Single-Vehicle Collisions by Severity Level for Urban and Suburban Roadway Segments</t>
  </si>
  <si>
    <r>
      <t>Initial N</t>
    </r>
    <r>
      <rPr>
        <b/>
        <vertAlign val="subscript"/>
        <sz val="10"/>
        <rFont val="Arial"/>
        <family val="2"/>
      </rPr>
      <t>brsv</t>
    </r>
  </si>
  <si>
    <t>from Equation 12-13</t>
  </si>
  <si>
    <r>
      <t>Adjusted N</t>
    </r>
    <r>
      <rPr>
        <b/>
        <vertAlign val="subscript"/>
        <sz val="10"/>
        <rFont val="Arial"/>
        <family val="2"/>
      </rPr>
      <t>brsv</t>
    </r>
  </si>
  <si>
    <t>Coefficients use in Eqn. 12-11</t>
  </si>
  <si>
    <r>
      <t>Predicted N</t>
    </r>
    <r>
      <rPr>
        <b/>
        <vertAlign val="subscript"/>
        <sz val="10"/>
        <rFont val="Arial"/>
        <family val="2"/>
      </rPr>
      <t>brsv</t>
    </r>
  </si>
  <si>
    <t>Worksheet 1F -- Single-Vehicle Collisions by Collision Type for Urban and Suburban Roadway Segments</t>
  </si>
  <si>
    <t>Collision with animal</t>
  </si>
  <si>
    <t>Collision with fixed object</t>
  </si>
  <si>
    <t>Collision with other object</t>
  </si>
  <si>
    <t>Other single-vehicle collision</t>
  </si>
  <si>
    <r>
      <t xml:space="preserve">Predicted N </t>
    </r>
    <r>
      <rPr>
        <b/>
        <i/>
        <sz val="6"/>
        <rFont val="Arial"/>
        <family val="2"/>
      </rPr>
      <t>brsv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</si>
  <si>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1E</t>
    </r>
  </si>
  <si>
    <r>
      <t>(9)</t>
    </r>
    <r>
      <rPr>
        <sz val="6"/>
        <rFont val="Arial"/>
        <family val="2"/>
      </rPr>
      <t>PDO</t>
    </r>
    <r>
      <rPr>
        <sz val="10"/>
        <rFont val="Arial"/>
        <family val="2"/>
      </rPr>
      <t xml:space="preserve"> from Worksheet 1E</t>
    </r>
  </si>
  <si>
    <r>
      <t xml:space="preserve">Predicted N </t>
    </r>
    <r>
      <rPr>
        <b/>
        <i/>
        <vertAlign val="subscript"/>
        <sz val="10"/>
        <rFont val="Arial"/>
        <family val="2"/>
      </rPr>
      <t>brsv</t>
    </r>
    <r>
      <rPr>
        <b/>
        <vertAlign val="subscript"/>
        <sz val="10"/>
        <rFont val="Arial"/>
        <family val="2"/>
      </rPr>
      <t xml:space="preserve"> (TOTAL) </t>
    </r>
    <r>
      <rPr>
        <b/>
        <sz val="10"/>
        <rFont val="Arial"/>
        <family val="2"/>
      </rPr>
      <t>(crashes/year)</t>
    </r>
  </si>
  <si>
    <r>
      <t>(9)</t>
    </r>
    <r>
      <rPr>
        <sz val="6"/>
        <rFont val="Arial"/>
        <family val="2"/>
      </rPr>
      <t>TOTAL</t>
    </r>
    <r>
      <rPr>
        <sz val="10"/>
        <rFont val="Arial"/>
        <family val="2"/>
      </rPr>
      <t xml:space="preserve"> from Worksheet 1E</t>
    </r>
  </si>
  <si>
    <r>
      <t xml:space="preserve">Predicted N </t>
    </r>
    <r>
      <rPr>
        <b/>
        <i/>
        <sz val="6"/>
        <rFont val="Arial"/>
        <family val="2"/>
      </rPr>
      <t>brsv</t>
    </r>
    <r>
      <rPr>
        <b/>
        <sz val="6"/>
        <rFont val="Arial"/>
        <family val="2"/>
      </rPr>
      <t xml:space="preserve"> (PDO)</t>
    </r>
    <r>
      <rPr>
        <b/>
        <sz val="10"/>
        <rFont val="Arial"/>
        <family val="2"/>
      </rPr>
      <t xml:space="preserve"> (crashes/year)</t>
    </r>
  </si>
  <si>
    <t>Worksheet 1G -- Multiple-Vehicle Driveway-Related Collisions by Driveway Type for Urban and Suburban Roadway Segments</t>
  </si>
  <si>
    <t xml:space="preserve">Driveway Type </t>
  </si>
  <si>
    <t>Overdispersion parameter, k</t>
  </si>
  <si>
    <t>Coefficient for traffic adjustment, t</t>
  </si>
  <si>
    <r>
      <t>Crashes per driveway per year, N</t>
    </r>
    <r>
      <rPr>
        <b/>
        <vertAlign val="subscript"/>
        <sz val="10"/>
        <rFont val="Arial"/>
        <family val="2"/>
      </rPr>
      <t>j</t>
    </r>
  </si>
  <si>
    <r>
      <t>Initial N</t>
    </r>
    <r>
      <rPr>
        <b/>
        <vertAlign val="subscript"/>
        <sz val="10"/>
        <rFont val="Arial"/>
        <family val="2"/>
      </rPr>
      <t>brdwy</t>
    </r>
  </si>
  <si>
    <r>
      <t xml:space="preserve">  Number of driveways,   n</t>
    </r>
    <r>
      <rPr>
        <b/>
        <vertAlign val="subscript"/>
        <sz val="10"/>
        <rFont val="Arial"/>
        <family val="2"/>
      </rPr>
      <t>j</t>
    </r>
  </si>
  <si>
    <t>Equation 12-16</t>
  </si>
  <si>
    <r>
      <t>n</t>
    </r>
    <r>
      <rPr>
        <vertAlign val="subscript"/>
        <sz val="10"/>
        <rFont val="Arial"/>
        <family val="2"/>
      </rPr>
      <t>j</t>
    </r>
    <r>
      <rPr>
        <sz val="10"/>
        <rFont val="Arial"/>
        <family val="2"/>
      </rPr>
      <t xml:space="preserve"> * N</t>
    </r>
    <r>
      <rPr>
        <vertAlign val="subscript"/>
        <sz val="10"/>
        <rFont val="Arial"/>
        <family val="2"/>
      </rPr>
      <t>j</t>
    </r>
    <r>
      <rPr>
        <sz val="10"/>
        <rFont val="Arial"/>
        <family val="2"/>
      </rPr>
      <t xml:space="preserve"> * (AADT/15,000)</t>
    </r>
    <r>
      <rPr>
        <vertAlign val="superscript"/>
        <sz val="10"/>
        <rFont val="Arial"/>
        <family val="2"/>
      </rPr>
      <t>t</t>
    </r>
  </si>
  <si>
    <t>Major commercial</t>
  </si>
  <si>
    <t>Minor commercial</t>
  </si>
  <si>
    <t>Major industrial/institutional</t>
  </si>
  <si>
    <t>Minor industrial/institutional</t>
  </si>
  <si>
    <t>Major residential</t>
  </si>
  <si>
    <t>Minor residential</t>
  </si>
  <si>
    <t>Worksheet 1H -- Multiple-Vehicle Driveway-Related Collisions by Severity Level for Urban and Suburban Roadway Segments</t>
  </si>
  <si>
    <r>
      <t>Proportion of total crashes (f</t>
    </r>
    <r>
      <rPr>
        <b/>
        <vertAlign val="subscript"/>
        <sz val="10"/>
        <rFont val="Arial"/>
        <family val="2"/>
      </rPr>
      <t>dwy</t>
    </r>
    <r>
      <rPr>
        <b/>
        <sz val="10"/>
        <rFont val="Arial"/>
        <family val="2"/>
      </rPr>
      <t>)</t>
    </r>
  </si>
  <si>
    <r>
      <t>Adjusted N</t>
    </r>
    <r>
      <rPr>
        <b/>
        <vertAlign val="subscript"/>
        <sz val="10"/>
        <rFont val="Arial"/>
        <family val="2"/>
      </rPr>
      <t>brdwy</t>
    </r>
  </si>
  <si>
    <r>
      <t>Calibration factor, C</t>
    </r>
    <r>
      <rPr>
        <b/>
        <vertAlign val="subscript"/>
        <sz val="10"/>
        <rFont val="Arial"/>
        <family val="2"/>
      </rPr>
      <t>r</t>
    </r>
  </si>
  <si>
    <r>
      <t>Predicted N</t>
    </r>
    <r>
      <rPr>
        <b/>
        <vertAlign val="subscript"/>
        <sz val="10"/>
        <rFont val="Arial"/>
        <family val="2"/>
      </rPr>
      <t>brdwy</t>
    </r>
  </si>
  <si>
    <r>
      <t>(5)</t>
    </r>
    <r>
      <rPr>
        <vertAlign val="subscript"/>
        <sz val="10"/>
        <rFont val="Arial"/>
        <family val="2"/>
      </rPr>
      <t>TOTAL</t>
    </r>
    <r>
      <rPr>
        <sz val="10"/>
        <rFont val="Arial"/>
        <family val="2"/>
      </rPr>
      <t xml:space="preserve"> from Worksheet 1G</t>
    </r>
  </si>
  <si>
    <r>
      <t>(2)</t>
    </r>
    <r>
      <rPr>
        <vertAlign val="subscript"/>
        <sz val="10"/>
        <rFont val="Arial"/>
        <family val="2"/>
      </rPr>
      <t>TOTAL</t>
    </r>
    <r>
      <rPr>
        <sz val="10"/>
        <rFont val="Arial"/>
        <family val="2"/>
      </rPr>
      <t xml:space="preserve"> * (3)</t>
    </r>
  </si>
  <si>
    <t>(4)*(5)*(6)</t>
  </si>
  <si>
    <r>
      <t>Predicted N</t>
    </r>
    <r>
      <rPr>
        <b/>
        <vertAlign val="subscript"/>
        <sz val="10"/>
        <rFont val="Arial"/>
        <family val="2"/>
      </rPr>
      <t>pedr</t>
    </r>
  </si>
  <si>
    <r>
      <t>f</t>
    </r>
    <r>
      <rPr>
        <b/>
        <vertAlign val="subscript"/>
        <sz val="10"/>
        <rFont val="Arial"/>
        <family val="2"/>
      </rPr>
      <t>biker</t>
    </r>
  </si>
  <si>
    <r>
      <t>Predicted N</t>
    </r>
    <r>
      <rPr>
        <b/>
        <vertAlign val="subscript"/>
        <sz val="10"/>
        <rFont val="Arial"/>
        <family val="2"/>
      </rPr>
      <t>br</t>
    </r>
  </si>
  <si>
    <t>(9) from Worksheet 1C</t>
  </si>
  <si>
    <t>(9) from Worksheet 1E</t>
  </si>
  <si>
    <t>(7) from Worksheet 1H</t>
  </si>
  <si>
    <t>(2)+(3)+(4)</t>
  </si>
  <si>
    <r>
      <t>f</t>
    </r>
    <r>
      <rPr>
        <b/>
        <vertAlign val="subscript"/>
        <sz val="10"/>
        <rFont val="Arial"/>
        <family val="2"/>
      </rPr>
      <t>pedr</t>
    </r>
  </si>
  <si>
    <t>Worksheet 1K -- Crash Severity Distribution for Urban and Suburban Roadway Segments</t>
  </si>
  <si>
    <t>(3) from Worksheet 1D and 1F;</t>
  </si>
  <si>
    <t>(5) from Worksheet 1D and 1F; and</t>
  </si>
  <si>
    <t>(6) from Worksheet 1D and 1F;</t>
  </si>
  <si>
    <t>MULTIPLE-VEHICLE</t>
  </si>
  <si>
    <t>SINGLE-VEHICLE</t>
  </si>
  <si>
    <t>Rear-end collisions (from Worksheet 1D)</t>
  </si>
  <si>
    <t>Head-on collisions (from Worksheet 1D)</t>
  </si>
  <si>
    <t>Angle collisions (from Worksheet 1D)</t>
  </si>
  <si>
    <t>Sideswipe, same direction (from Worksheet 1D)</t>
  </si>
  <si>
    <t>Sideswipe, opposite direction (from Worksheet 1D)</t>
  </si>
  <si>
    <t>Driveway-related collisions (from Worksheet 1H)</t>
  </si>
  <si>
    <t>Other multiple-vehicle collision (from Worksheet 1D)</t>
  </si>
  <si>
    <t>Subtotal</t>
  </si>
  <si>
    <t>Collision with animal (from Worksheet 1F)</t>
  </si>
  <si>
    <t>Collision with fixed object (from Worksheet 1F)</t>
  </si>
  <si>
    <t>Collision with other object (from Worksheet 1F)</t>
  </si>
  <si>
    <t>Other single-vehicle collision (from Worksheet 1F)</t>
  </si>
  <si>
    <t>Worksheet 1L -- Summary Results for Urban and Suburban Roadway Segments</t>
  </si>
  <si>
    <r>
      <t>Predicted average crash frequency, N</t>
    </r>
    <r>
      <rPr>
        <b/>
        <vertAlign val="subscript"/>
        <sz val="10"/>
        <rFont val="Arial"/>
        <family val="2"/>
      </rPr>
      <t xml:space="preserve"> predicted rs</t>
    </r>
    <r>
      <rPr>
        <b/>
        <sz val="10"/>
        <rFont val="Arial"/>
        <family val="2"/>
      </rPr>
      <t xml:space="preserve"> (crashes/year)</t>
    </r>
  </si>
  <si>
    <t>Roadway segment length, L (mi)</t>
  </si>
  <si>
    <t>Crash rate (crashes/mi/year)</t>
  </si>
  <si>
    <t>(Total) from Worksheet 1K</t>
  </si>
  <si>
    <t>(2) / (3)</t>
  </si>
  <si>
    <t>Driveway type (j)</t>
  </si>
  <si>
    <r>
      <t>Number of driveway-related collisions per driveway per year (N</t>
    </r>
    <r>
      <rPr>
        <b/>
        <vertAlign val="subscript"/>
        <sz val="10"/>
        <rFont val="Arial"/>
        <family val="2"/>
      </rPr>
      <t>j</t>
    </r>
    <r>
      <rPr>
        <b/>
        <sz val="10"/>
        <rFont val="Arial"/>
        <family val="2"/>
      </rPr>
      <t>)</t>
    </r>
  </si>
  <si>
    <t>Major industrial / industrial</t>
  </si>
  <si>
    <t>Minor industrial / institutional</t>
  </si>
  <si>
    <t>Regression coefficient for AADT (t)</t>
  </si>
  <si>
    <t>All driveways</t>
  </si>
  <si>
    <t>Overdispersion parameter (k)</t>
  </si>
  <si>
    <r>
      <t>Proportion of fatal-and-injury crashes (f</t>
    </r>
    <r>
      <rPr>
        <b/>
        <vertAlign val="subscript"/>
        <sz val="10"/>
        <rFont val="Arial"/>
        <family val="2"/>
      </rPr>
      <t>dwy</t>
    </r>
    <r>
      <rPr>
        <b/>
        <sz val="10"/>
        <rFont val="Arial"/>
        <family val="2"/>
      </rPr>
      <t>)</t>
    </r>
  </si>
  <si>
    <t>Proportion of property-damage-only crashes</t>
  </si>
  <si>
    <t>Coefficients for specific roadway types</t>
  </si>
  <si>
    <t>Note: Includes only unsignalized driveways; signalized driveways are analyzed as signalized intersections. Majjor driveways serve 50 or more parking spaces; minor driveways serve less thanh 50 parking spaces.</t>
  </si>
  <si>
    <t>Posted Speed 30 mph or Lower</t>
  </si>
  <si>
    <t>Posted Speed Greater than 30 mph</t>
  </si>
  <si>
    <t>Posted</t>
  </si>
  <si>
    <r>
      <t>Pedestrian Crash Adjustment Factor (f</t>
    </r>
    <r>
      <rPr>
        <b/>
        <vertAlign val="subscript"/>
        <sz val="10"/>
        <rFont val="Arial"/>
        <family val="2"/>
      </rPr>
      <t>pedr</t>
    </r>
    <r>
      <rPr>
        <b/>
        <sz val="10"/>
        <rFont val="Arial"/>
        <family val="2"/>
      </rPr>
      <t>)</t>
    </r>
  </si>
  <si>
    <r>
      <t>Bicycle Crash Adjustment Factor (f</t>
    </r>
    <r>
      <rPr>
        <b/>
        <vertAlign val="subscript"/>
        <sz val="10"/>
        <rFont val="Arial"/>
        <family val="2"/>
      </rPr>
      <t>biker</t>
    </r>
    <r>
      <rPr>
        <b/>
        <sz val="10"/>
        <rFont val="Arial"/>
        <family val="2"/>
      </rPr>
      <t>)</t>
    </r>
  </si>
  <si>
    <t>Note:  These factors apply to the methodology for predicting total crashes (all seerity levels combined). All pedestrian collisions resulting from this adjustment factor are treated as fatal-and-injury crashes and none as property-damage-only crashes.  Source:  HSIS data for Washington (2002-2006)</t>
  </si>
  <si>
    <t>Note:  These factors apply to the methodology for predicting total crashes (all seerity levels combined). All bicycle collisions resulting from this adjustment factor are treated as fatal-and-injury crashes and none as property-damage-only crashes.  Source:  HSIS data for Washington (2002-2006)</t>
  </si>
  <si>
    <t>Note:  Values from 2 to 30 can be estimated using the following equation:</t>
  </si>
  <si>
    <r>
      <t>y=0.3566 x</t>
    </r>
    <r>
      <rPr>
        <vertAlign val="superscript"/>
        <sz val="10"/>
        <rFont val="Arial"/>
        <family val="2"/>
      </rPr>
      <t>-0.614</t>
    </r>
  </si>
  <si>
    <r>
      <t>f</t>
    </r>
    <r>
      <rPr>
        <vertAlign val="subscript"/>
        <sz val="10"/>
        <rFont val="Arial"/>
        <family val="2"/>
      </rPr>
      <t>offset</t>
    </r>
  </si>
  <si>
    <t>Offset to roadside fixed objects (ft) [If greater than 30 or Not Present, input 30]</t>
  </si>
  <si>
    <r>
      <t>Calculated CMF</t>
    </r>
    <r>
      <rPr>
        <vertAlign val="subscript"/>
        <sz val="10"/>
        <rFont val="Arial"/>
        <family val="2"/>
      </rPr>
      <t>2r</t>
    </r>
  </si>
  <si>
    <r>
      <t>Adjusted CMF</t>
    </r>
    <r>
      <rPr>
        <vertAlign val="subscript"/>
        <sz val="10"/>
        <rFont val="Arial"/>
        <family val="2"/>
      </rPr>
      <t>2r</t>
    </r>
  </si>
  <si>
    <t>Worksheet 2A -- General Information and Input Data for Urban and Suburban Arterial Intersections</t>
  </si>
  <si>
    <r>
      <t xml:space="preserve">AADT </t>
    </r>
    <r>
      <rPr>
        <vertAlign val="subscript"/>
        <sz val="10"/>
        <rFont val="Arial"/>
        <family val="2"/>
      </rPr>
      <t>major</t>
    </r>
    <r>
      <rPr>
        <sz val="10"/>
        <rFont val="Arial"/>
        <family val="2"/>
      </rPr>
      <t xml:space="preserve"> (veh/day)</t>
    </r>
  </si>
  <si>
    <r>
      <t xml:space="preserve">AADT </t>
    </r>
    <r>
      <rPr>
        <vertAlign val="subscript"/>
        <sz val="10"/>
        <rFont val="Arial"/>
        <family val="2"/>
      </rPr>
      <t>minor</t>
    </r>
    <r>
      <rPr>
        <sz val="10"/>
        <rFont val="Arial"/>
        <family val="2"/>
      </rPr>
      <t xml:space="preserve"> (veh/day)</t>
    </r>
  </si>
  <si>
    <t>Data for unsignalized intersections only:</t>
  </si>
  <si>
    <t>Intersection red light cameras (present/not present)</t>
  </si>
  <si>
    <t>Permissive</t>
  </si>
  <si>
    <t>Tlanes</t>
  </si>
  <si>
    <t>from Equation 12-35</t>
  </si>
  <si>
    <t>from Equation 12-36</t>
  </si>
  <si>
    <t>from Equation 12-37</t>
  </si>
  <si>
    <t>(1)*(2)*(3)*(4)*(5)*(6)</t>
  </si>
  <si>
    <t>Worksheet 2C -- Multiple-Vehicle Collisions by Severity Level for Urban and Suburban Arterial Intersections</t>
  </si>
  <si>
    <r>
      <t>Initial N</t>
    </r>
    <r>
      <rPr>
        <b/>
        <vertAlign val="subscript"/>
        <sz val="10"/>
        <rFont val="Arial"/>
        <family val="2"/>
      </rPr>
      <t>bimv</t>
    </r>
  </si>
  <si>
    <t>c</t>
  </si>
  <si>
    <r>
      <t>Adjusted N</t>
    </r>
    <r>
      <rPr>
        <b/>
        <vertAlign val="subscript"/>
        <sz val="10"/>
        <rFont val="Arial"/>
        <family val="2"/>
      </rPr>
      <t>bimv</t>
    </r>
  </si>
  <si>
    <r>
      <t>Predicted N</t>
    </r>
    <r>
      <rPr>
        <b/>
        <vertAlign val="subscript"/>
        <sz val="10"/>
        <rFont val="Arial"/>
        <family val="2"/>
      </rPr>
      <t>bimv</t>
    </r>
  </si>
  <si>
    <t>Worksheet 2D -- Multiple-Vehicle Collisions by Collision Type for Urban and Suburban Arterial Intersections</t>
  </si>
  <si>
    <r>
      <t xml:space="preserve">Predicted N </t>
    </r>
    <r>
      <rPr>
        <b/>
        <i/>
        <sz val="6"/>
        <rFont val="Arial"/>
        <family val="2"/>
      </rPr>
      <t>bimv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</si>
  <si>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2C</t>
    </r>
  </si>
  <si>
    <r>
      <t xml:space="preserve">Predicted N </t>
    </r>
    <r>
      <rPr>
        <b/>
        <i/>
        <sz val="6"/>
        <rFont val="Arial"/>
        <family val="2"/>
      </rPr>
      <t>bimv</t>
    </r>
    <r>
      <rPr>
        <b/>
        <sz val="6"/>
        <rFont val="Arial"/>
        <family val="2"/>
      </rPr>
      <t xml:space="preserve"> (PDO)</t>
    </r>
    <r>
      <rPr>
        <b/>
        <sz val="10"/>
        <rFont val="Arial"/>
        <family val="2"/>
      </rPr>
      <t xml:space="preserve"> (crashes/year)</t>
    </r>
  </si>
  <si>
    <r>
      <t xml:space="preserve">Predicted N </t>
    </r>
    <r>
      <rPr>
        <b/>
        <i/>
        <vertAlign val="subscript"/>
        <sz val="10"/>
        <rFont val="Arial"/>
        <family val="2"/>
      </rPr>
      <t>bimv</t>
    </r>
    <r>
      <rPr>
        <b/>
        <vertAlign val="subscript"/>
        <sz val="10"/>
        <rFont val="Arial"/>
        <family val="2"/>
      </rPr>
      <t xml:space="preserve"> (TOTAL) </t>
    </r>
    <r>
      <rPr>
        <b/>
        <sz val="10"/>
        <rFont val="Arial"/>
        <family val="2"/>
      </rPr>
      <t>(crashes/year)</t>
    </r>
  </si>
  <si>
    <t>Worksheet 2E -- Single-Vehicle Collisions by Severity Level for Urban and Suburban Arterial Intersections</t>
  </si>
  <si>
    <r>
      <t>Initial N</t>
    </r>
    <r>
      <rPr>
        <b/>
        <vertAlign val="subscript"/>
        <sz val="10"/>
        <rFont val="Arial"/>
        <family val="2"/>
      </rPr>
      <t>bisv</t>
    </r>
  </si>
  <si>
    <t>(7) from Worksheet 2B</t>
  </si>
  <si>
    <r>
      <t>Predicted N</t>
    </r>
    <r>
      <rPr>
        <b/>
        <vertAlign val="subscript"/>
        <sz val="10"/>
        <rFont val="Arial"/>
        <family val="2"/>
      </rPr>
      <t>bisv</t>
    </r>
  </si>
  <si>
    <t>Worksheet 2F -- Single-Vehicle Collisions by Collision Type for Urban and Suburban Arterial Intersections</t>
  </si>
  <si>
    <t>Collision with parked vehicle</t>
  </si>
  <si>
    <t>Single-vehicle noncollision</t>
  </si>
  <si>
    <r>
      <t>(9)</t>
    </r>
    <r>
      <rPr>
        <sz val="6"/>
        <rFont val="Arial"/>
        <family val="2"/>
      </rPr>
      <t>PDO</t>
    </r>
    <r>
      <rPr>
        <sz val="10"/>
        <rFont val="Arial"/>
        <family val="2"/>
      </rPr>
      <t xml:space="preserve"> from Worksheet 2C</t>
    </r>
  </si>
  <si>
    <r>
      <t>(9)</t>
    </r>
    <r>
      <rPr>
        <sz val="6"/>
        <rFont val="Arial"/>
        <family val="2"/>
      </rPr>
      <t>FI</t>
    </r>
    <r>
      <rPr>
        <sz val="10"/>
        <rFont val="Arial"/>
        <family val="2"/>
      </rPr>
      <t xml:space="preserve"> from Worksheet 2E</t>
    </r>
  </si>
  <si>
    <r>
      <t>(9)</t>
    </r>
    <r>
      <rPr>
        <sz val="6"/>
        <rFont val="Arial"/>
        <family val="2"/>
      </rPr>
      <t>PDO</t>
    </r>
    <r>
      <rPr>
        <sz val="10"/>
        <rFont val="Arial"/>
        <family val="2"/>
      </rPr>
      <t xml:space="preserve"> from Worksheet 2E</t>
    </r>
  </si>
  <si>
    <r>
      <t xml:space="preserve">Predicted N </t>
    </r>
    <r>
      <rPr>
        <b/>
        <i/>
        <vertAlign val="subscript"/>
        <sz val="10"/>
        <rFont val="Arial"/>
        <family val="2"/>
      </rPr>
      <t>bisv</t>
    </r>
    <r>
      <rPr>
        <b/>
        <vertAlign val="subscript"/>
        <sz val="10"/>
        <rFont val="Arial"/>
        <family val="2"/>
      </rPr>
      <t xml:space="preserve"> (TOTAL) </t>
    </r>
    <r>
      <rPr>
        <b/>
        <sz val="10"/>
        <rFont val="Arial"/>
        <family val="2"/>
      </rPr>
      <t>(crashes/year)</t>
    </r>
  </si>
  <si>
    <r>
      <t>Predicted N</t>
    </r>
    <r>
      <rPr>
        <b/>
        <i/>
        <sz val="10"/>
        <rFont val="Arial"/>
        <family val="2"/>
      </rPr>
      <t xml:space="preserve"> </t>
    </r>
    <r>
      <rPr>
        <b/>
        <i/>
        <sz val="6"/>
        <rFont val="Arial"/>
        <family val="2"/>
      </rPr>
      <t>bisv</t>
    </r>
    <r>
      <rPr>
        <b/>
        <sz val="6"/>
        <rFont val="Arial"/>
        <family val="2"/>
      </rPr>
      <t xml:space="preserve"> (PDO)</t>
    </r>
    <r>
      <rPr>
        <b/>
        <sz val="10"/>
        <rFont val="Arial"/>
        <family val="2"/>
      </rPr>
      <t xml:space="preserve"> (crashes/year)</t>
    </r>
  </si>
  <si>
    <r>
      <t xml:space="preserve">Predicted N </t>
    </r>
    <r>
      <rPr>
        <b/>
        <i/>
        <sz val="6"/>
        <rFont val="Arial"/>
        <family val="2"/>
      </rPr>
      <t>bisv</t>
    </r>
    <r>
      <rPr>
        <b/>
        <sz val="6"/>
        <rFont val="Arial"/>
        <family val="2"/>
      </rPr>
      <t xml:space="preserve"> (FI)</t>
    </r>
    <r>
      <rPr>
        <b/>
        <sz val="10"/>
        <rFont val="Arial"/>
        <family val="2"/>
      </rPr>
      <t xml:space="preserve"> (crashes/year)</t>
    </r>
  </si>
  <si>
    <r>
      <t>Calibration factor, C</t>
    </r>
    <r>
      <rPr>
        <b/>
        <vertAlign val="subscript"/>
        <sz val="10"/>
        <rFont val="Arial"/>
        <family val="2"/>
      </rPr>
      <t>i</t>
    </r>
  </si>
  <si>
    <r>
      <t>Predicted N</t>
    </r>
    <r>
      <rPr>
        <b/>
        <vertAlign val="subscript"/>
        <sz val="10"/>
        <rFont val="Arial"/>
        <family val="2"/>
      </rPr>
      <t>pedi</t>
    </r>
  </si>
  <si>
    <t>Worksheet 2K -- Crash Severity Distribution for Urban and Suburban Arterial Intersections</t>
  </si>
  <si>
    <t>(3) from Worksheet 2D and 2F;</t>
  </si>
  <si>
    <t>(5) from Worksheet 2D and 2F</t>
  </si>
  <si>
    <t>(6) from Worksheet 2D and 2F;</t>
  </si>
  <si>
    <t>Rear-end collisions (from Worksheet 2D)</t>
  </si>
  <si>
    <t>Head-on collisions (from Worksheet 2D)</t>
  </si>
  <si>
    <t>Angle collisions (from Worksheet 2D)</t>
  </si>
  <si>
    <t>Sideswipe (from Worksheet 2D)</t>
  </si>
  <si>
    <t>Other multiple-vehicle collision (from Worksheet 2D)</t>
  </si>
  <si>
    <t>Collision with parked vehicle (from Worksheet 2F)</t>
  </si>
  <si>
    <t>Collision with animal (from Worksheet 2F)</t>
  </si>
  <si>
    <t>Collision with fixed object (from Worksheet 2F)</t>
  </si>
  <si>
    <t>Collision with other object (from Worksheet 2F)</t>
  </si>
  <si>
    <t>Other single-vehicle collision (from Worksheet 2F)</t>
  </si>
  <si>
    <t>Single-vehicle noncollision (from Worksheet 2F)</t>
  </si>
  <si>
    <t>Worksheet 2L -- Summary Results for Urban and Suburban Arterial Intersections</t>
  </si>
  <si>
    <r>
      <t>Predicted average crash frequency, N</t>
    </r>
    <r>
      <rPr>
        <b/>
        <i/>
        <vertAlign val="subscript"/>
        <sz val="10"/>
        <rFont val="Arial"/>
        <family val="2"/>
      </rPr>
      <t>predicted int</t>
    </r>
    <r>
      <rPr>
        <b/>
        <sz val="10"/>
        <rFont val="Arial"/>
        <family val="2"/>
      </rPr>
      <t xml:space="preserve"> (crashes/year)</t>
    </r>
  </si>
  <si>
    <t>(Total) from Worksheet 2K</t>
  </si>
  <si>
    <t>Tables Affiliated with SPF Computation:</t>
  </si>
  <si>
    <t>(c)</t>
  </si>
  <si>
    <t>Intersection type</t>
  </si>
  <si>
    <r>
      <t>AADT</t>
    </r>
    <r>
      <rPr>
        <b/>
        <vertAlign val="subscript"/>
        <sz val="10"/>
        <rFont val="Arial"/>
        <family val="2"/>
      </rPr>
      <t>maj</t>
    </r>
  </si>
  <si>
    <r>
      <t>AADT</t>
    </r>
    <r>
      <rPr>
        <b/>
        <vertAlign val="subscript"/>
        <sz val="10"/>
        <rFont val="Arial"/>
        <family val="2"/>
      </rPr>
      <t>min</t>
    </r>
  </si>
  <si>
    <t>Coefficients use in Eqn. 12-21</t>
  </si>
  <si>
    <t>3SG</t>
  </si>
  <si>
    <t>Coefficients use in Eqn. 12-24</t>
  </si>
  <si>
    <t>Note:  Where no models are available, Equations 12-27 is used.</t>
  </si>
  <si>
    <t>Equation 12-27:</t>
  </si>
  <si>
    <t>Nbisv(FI) = Nbisv(TOTAL) x fbisv</t>
  </si>
  <si>
    <t>Coefficients use in Eqn. 12-29</t>
  </si>
  <si>
    <r>
      <t>AADT</t>
    </r>
    <r>
      <rPr>
        <b/>
        <vertAlign val="subscript"/>
        <sz val="10"/>
        <rFont val="Arial"/>
        <family val="2"/>
      </rPr>
      <t>tot</t>
    </r>
  </si>
  <si>
    <r>
      <t>AADT</t>
    </r>
    <r>
      <rPr>
        <b/>
        <vertAlign val="subscript"/>
        <sz val="10"/>
        <rFont val="Arial"/>
        <family val="2"/>
      </rPr>
      <t>min</t>
    </r>
    <r>
      <rPr>
        <b/>
        <sz val="10"/>
        <rFont val="Arial"/>
        <family val="2"/>
      </rPr>
      <t>/AADT</t>
    </r>
    <r>
      <rPr>
        <b/>
        <vertAlign val="subscript"/>
        <sz val="10"/>
        <rFont val="Arial"/>
        <family val="2"/>
      </rPr>
      <t>maj</t>
    </r>
  </si>
  <si>
    <t>(d)</t>
  </si>
  <si>
    <t>PedVol</t>
  </si>
  <si>
    <t>(e)</t>
  </si>
  <si>
    <r>
      <t>n</t>
    </r>
    <r>
      <rPr>
        <b/>
        <vertAlign val="subscript"/>
        <sz val="10"/>
        <rFont val="Arial"/>
        <family val="2"/>
      </rPr>
      <t>lanesx</t>
    </r>
  </si>
  <si>
    <t>Proportion of crashes by severity level for specific intersection types</t>
  </si>
  <si>
    <t>Tables Affiliated with Crash Statistics:</t>
  </si>
  <si>
    <t>Noncollision</t>
  </si>
  <si>
    <t>Intersection Type</t>
  </si>
  <si>
    <r>
      <t>Proportion of crashes that occur at night, p</t>
    </r>
    <r>
      <rPr>
        <b/>
        <vertAlign val="subscript"/>
        <sz val="10"/>
        <rFont val="Arial"/>
        <family val="2"/>
      </rPr>
      <t>ni</t>
    </r>
  </si>
  <si>
    <t>Tables Affiliated with Crash Modification Factors:</t>
  </si>
  <si>
    <t>Intersection traffic control</t>
  </si>
  <si>
    <r>
      <t>Minor-road STOP control</t>
    </r>
    <r>
      <rPr>
        <vertAlign val="superscript"/>
        <sz val="10"/>
        <rFont val="Arial"/>
        <family val="2"/>
      </rPr>
      <t>b</t>
    </r>
  </si>
  <si>
    <t>Traffic signal</t>
  </si>
  <si>
    <r>
      <t>Minor-road STOP control</t>
    </r>
    <r>
      <rPr>
        <vertAlign val="superscript"/>
        <sz val="10"/>
        <rFont val="Arial"/>
        <family val="2"/>
      </rPr>
      <t>a</t>
    </r>
  </si>
  <si>
    <r>
      <t xml:space="preserve">a </t>
    </r>
    <r>
      <rPr>
        <sz val="8"/>
        <rFont val="Arial"/>
        <family val="2"/>
      </rPr>
      <t>STOP-controlled approaches are not considered in determining the number of approaches with left-turn lanes.</t>
    </r>
  </si>
  <si>
    <r>
      <t xml:space="preserve">b </t>
    </r>
    <r>
      <rPr>
        <sz val="8"/>
        <rFont val="Arial"/>
        <family val="2"/>
      </rPr>
      <t>Stop signs present on minor-road approaches only.</t>
    </r>
  </si>
  <si>
    <t>Two approaches</t>
  </si>
  <si>
    <t xml:space="preserve"> One  approach</t>
  </si>
  <si>
    <t>Three approaches</t>
  </si>
  <si>
    <t>Four approaches</t>
  </si>
  <si>
    <r>
      <t xml:space="preserve">Number of approaches with left-turn lanes </t>
    </r>
    <r>
      <rPr>
        <b/>
        <vertAlign val="superscript"/>
        <sz val="10"/>
        <rFont val="Arial"/>
        <family val="2"/>
      </rPr>
      <t>a</t>
    </r>
  </si>
  <si>
    <r>
      <t xml:space="preserve">Number of approaches with right-turn lanes </t>
    </r>
    <r>
      <rPr>
        <b/>
        <vertAlign val="superscript"/>
        <sz val="10"/>
        <rFont val="Arial"/>
        <family val="2"/>
      </rPr>
      <t>a</t>
    </r>
  </si>
  <si>
    <r>
      <t xml:space="preserve">a </t>
    </r>
    <r>
      <rPr>
        <sz val="8"/>
        <rFont val="Arial"/>
        <family val="2"/>
      </rPr>
      <t>STOP-controlled approaches are not considered in determining the number of approaches with right-turn lanes.</t>
    </r>
  </si>
  <si>
    <t>Itype2</t>
  </si>
  <si>
    <t>Phasing</t>
  </si>
  <si>
    <t>Protected</t>
  </si>
  <si>
    <t>Protected / Permissive</t>
  </si>
  <si>
    <t>Permissive / Protected</t>
  </si>
  <si>
    <t>Data for signalized intersections only:</t>
  </si>
  <si>
    <t>Number of major-road approaches with left-turn lanes (0,1,2)</t>
  </si>
  <si>
    <t>Number of major-road approaches with right-turn lanes (0,1,2)</t>
  </si>
  <si>
    <t>UnsigApproach</t>
  </si>
  <si>
    <t>Phasing2</t>
  </si>
  <si>
    <t>Not Applicable</t>
  </si>
  <si>
    <t>Type of left-turn signal phasing for Leg #4 (if applicable)</t>
  </si>
  <si>
    <t>Type of left-turn signal phasing for Leg #3</t>
  </si>
  <si>
    <t>Type of left-turn signal phasing for Leg #1</t>
  </si>
  <si>
    <t>Type of left-turn signal phasing for Leg #2</t>
  </si>
  <si>
    <t>Composite Value:</t>
  </si>
  <si>
    <t>Number of approaches with right-turn lanes (0,1,2,3,4) [for 3SG, use maximum value of 3]</t>
  </si>
  <si>
    <t>Number of approaches with left-turn signal phasing [for 3SG, use maximum value of 3]</t>
  </si>
  <si>
    <t>Number of approaches with left-turn lanes (0,1,2,3,4) [for 3SG, use maximum value of 3]</t>
  </si>
  <si>
    <t>Number of approaches with right-turn-on-red prohibited [for 3SG, use maximum value of 3]</t>
  </si>
  <si>
    <r>
      <t>p</t>
    </r>
    <r>
      <rPr>
        <vertAlign val="subscript"/>
        <sz val="10"/>
        <rFont val="Arial"/>
        <family val="2"/>
      </rPr>
      <t xml:space="preserve">ramv(FI) </t>
    </r>
    <r>
      <rPr>
        <sz val="10"/>
        <rFont val="Arial"/>
        <family val="2"/>
      </rPr>
      <t>:</t>
    </r>
  </si>
  <si>
    <r>
      <t>p</t>
    </r>
    <r>
      <rPr>
        <vertAlign val="subscript"/>
        <sz val="10"/>
        <rFont val="Arial"/>
        <family val="2"/>
      </rPr>
      <t xml:space="preserve">ramv(PDO) </t>
    </r>
    <r>
      <rPr>
        <sz val="10"/>
        <rFont val="Arial"/>
        <family val="2"/>
      </rPr>
      <t>:</t>
    </r>
  </si>
  <si>
    <r>
      <t>N</t>
    </r>
    <r>
      <rPr>
        <vertAlign val="subscript"/>
        <sz val="10"/>
        <rFont val="Arial"/>
        <family val="2"/>
      </rPr>
      <t>bimv(FI)</t>
    </r>
    <r>
      <rPr>
        <sz val="10"/>
        <rFont val="Arial"/>
        <family val="2"/>
      </rPr>
      <t xml:space="preserve"> :</t>
    </r>
  </si>
  <si>
    <r>
      <t>N</t>
    </r>
    <r>
      <rPr>
        <vertAlign val="subscript"/>
        <sz val="10"/>
        <rFont val="Arial"/>
        <family val="2"/>
      </rPr>
      <t>bimv(PDO)</t>
    </r>
    <r>
      <rPr>
        <sz val="10"/>
        <rFont val="Arial"/>
        <family val="2"/>
      </rPr>
      <t xml:space="preserve"> :</t>
    </r>
  </si>
  <si>
    <r>
      <t>N</t>
    </r>
    <r>
      <rPr>
        <vertAlign val="subscript"/>
        <sz val="10"/>
        <rFont val="Arial"/>
        <family val="2"/>
      </rPr>
      <t>bisv</t>
    </r>
    <r>
      <rPr>
        <sz val="10"/>
        <rFont val="Arial"/>
        <family val="2"/>
      </rPr>
      <t xml:space="preserve"> :</t>
    </r>
  </si>
  <si>
    <r>
      <t>p</t>
    </r>
    <r>
      <rPr>
        <vertAlign val="subscript"/>
        <sz val="10"/>
        <rFont val="Arial"/>
        <family val="2"/>
      </rPr>
      <t>ra</t>
    </r>
    <r>
      <rPr>
        <sz val="10"/>
        <rFont val="Arial"/>
        <family val="2"/>
      </rPr>
      <t xml:space="preserve"> :</t>
    </r>
  </si>
  <si>
    <r>
      <t>p</t>
    </r>
    <r>
      <rPr>
        <vertAlign val="subscript"/>
        <sz val="10"/>
        <rFont val="Arial"/>
        <family val="2"/>
      </rPr>
      <t xml:space="preserve">remv(FI) </t>
    </r>
    <r>
      <rPr>
        <sz val="10"/>
        <rFont val="Arial"/>
        <family val="2"/>
      </rPr>
      <t>:</t>
    </r>
  </si>
  <si>
    <r>
      <t>p</t>
    </r>
    <r>
      <rPr>
        <vertAlign val="subscript"/>
        <sz val="10"/>
        <rFont val="Arial"/>
        <family val="2"/>
      </rPr>
      <t xml:space="preserve">remv(PDO) </t>
    </r>
    <r>
      <rPr>
        <sz val="10"/>
        <rFont val="Arial"/>
        <family val="2"/>
      </rPr>
      <t>:</t>
    </r>
  </si>
  <si>
    <r>
      <t>p</t>
    </r>
    <r>
      <rPr>
        <vertAlign val="subscript"/>
        <sz val="10"/>
        <rFont val="Arial"/>
        <family val="2"/>
      </rPr>
      <t>re</t>
    </r>
    <r>
      <rPr>
        <sz val="10"/>
        <rFont val="Arial"/>
        <family val="2"/>
      </rPr>
      <t xml:space="preserve"> :</t>
    </r>
  </si>
  <si>
    <t>from Equation 12-21</t>
  </si>
  <si>
    <t>from Eqn. 12-24; (FI) from Eqn. 12-24 or 12-27</t>
  </si>
  <si>
    <t>from Equation 12-29</t>
  </si>
  <si>
    <t>Collision type / Site type</t>
  </si>
  <si>
    <t>Multiple-vehicle nondriveway</t>
  </si>
  <si>
    <t>Single-vehicle</t>
  </si>
  <si>
    <t>Multiple-vehicle driveway-related</t>
  </si>
  <si>
    <t>Worksheet 3A -- Predicted Crashes by Severity and Site Type and Observed Crashes Using the Site-Specific EB Method for Urban and Suburban Arterials</t>
  </si>
  <si>
    <t>Multiple-vehicle</t>
  </si>
  <si>
    <t>Site Type</t>
  </si>
  <si>
    <r>
      <t>N</t>
    </r>
    <r>
      <rPr>
        <b/>
        <vertAlign val="subscript"/>
        <sz val="10"/>
        <rFont val="Arial"/>
        <family val="2"/>
      </rPr>
      <t>ped</t>
    </r>
  </si>
  <si>
    <r>
      <t>N</t>
    </r>
    <r>
      <rPr>
        <b/>
        <vertAlign val="subscript"/>
        <sz val="10"/>
        <rFont val="Arial"/>
        <family val="2"/>
      </rPr>
      <t>bike</t>
    </r>
  </si>
  <si>
    <r>
      <t>Predicted N</t>
    </r>
    <r>
      <rPr>
        <b/>
        <vertAlign val="subscript"/>
        <sz val="10"/>
        <rFont val="Arial"/>
        <family val="2"/>
      </rPr>
      <t>biker</t>
    </r>
  </si>
  <si>
    <t>Worksheet 3C -- Site-Specific EB Method Summary Results for Urban and Suburban Arterials</t>
  </si>
  <si>
    <r>
      <t xml:space="preserve">N </t>
    </r>
    <r>
      <rPr>
        <b/>
        <vertAlign val="subscript"/>
        <sz val="10"/>
        <rFont val="Arial"/>
        <family val="2"/>
      </rPr>
      <t>ped</t>
    </r>
  </si>
  <si>
    <r>
      <t>(2)</t>
    </r>
    <r>
      <rPr>
        <vertAlign val="subscript"/>
        <sz val="10"/>
        <rFont val="Arial"/>
        <family val="2"/>
      </rPr>
      <t>COMB</t>
    </r>
    <r>
      <rPr>
        <sz val="10"/>
        <rFont val="Arial"/>
        <family val="2"/>
      </rPr>
      <t xml:space="preserve"> from Worksheet 3B</t>
    </r>
  </si>
  <si>
    <r>
      <t>(3)</t>
    </r>
    <r>
      <rPr>
        <vertAlign val="subscript"/>
        <sz val="10"/>
        <rFont val="Arial"/>
        <family val="2"/>
      </rPr>
      <t>COMB</t>
    </r>
    <r>
      <rPr>
        <sz val="10"/>
        <rFont val="Arial"/>
        <family val="2"/>
      </rPr>
      <t xml:space="preserve"> from Worksheet 3B</t>
    </r>
  </si>
  <si>
    <r>
      <t xml:space="preserve">N </t>
    </r>
    <r>
      <rPr>
        <b/>
        <vertAlign val="subscript"/>
        <sz val="10"/>
        <rFont val="Arial"/>
        <family val="2"/>
      </rPr>
      <t>bike</t>
    </r>
  </si>
  <si>
    <r>
      <t>(5)</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</si>
  <si>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(5)</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</si>
  <si>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(3)+(4)+(5)</t>
  </si>
  <si>
    <r>
      <t>(8)</t>
    </r>
    <r>
      <rPr>
        <vertAlign val="subscript"/>
        <sz val="10"/>
        <rFont val="Arial"/>
        <family val="2"/>
      </rPr>
      <t>COMB</t>
    </r>
    <r>
      <rPr>
        <sz val="10"/>
        <rFont val="Arial"/>
        <family val="2"/>
      </rPr>
      <t xml:space="preserve"> Worksheet 3A</t>
    </r>
  </si>
  <si>
    <t>Worksheet 4A -- Predicted Crashes by Collision and Site Type and Observed Crashes Using the Project-Level EB Method for Urban and Suburban Arterials</t>
  </si>
  <si>
    <t>Predicted crashes</t>
  </si>
  <si>
    <r>
      <t xml:space="preserve">  N</t>
    </r>
    <r>
      <rPr>
        <vertAlign val="subscript"/>
        <sz val="10"/>
        <rFont val="Arial"/>
        <family val="2"/>
      </rPr>
      <t xml:space="preserve"> predicted</t>
    </r>
    <r>
      <rPr>
        <sz val="10"/>
        <rFont val="Arial"/>
        <family val="2"/>
      </rPr>
      <t xml:space="preserve">     (FI)</t>
    </r>
  </si>
  <si>
    <r>
      <t>N</t>
    </r>
    <r>
      <rPr>
        <b/>
        <vertAlign val="subscript"/>
        <sz val="10"/>
        <rFont val="Arial"/>
        <family val="2"/>
      </rPr>
      <t>predicted w0</t>
    </r>
  </si>
  <si>
    <r>
      <t>N</t>
    </r>
    <r>
      <rPr>
        <b/>
        <vertAlign val="subscript"/>
        <sz val="10"/>
        <rFont val="Arial"/>
        <family val="2"/>
      </rPr>
      <t>predicted w1</t>
    </r>
  </si>
  <si>
    <r>
      <t>N</t>
    </r>
    <r>
      <rPr>
        <b/>
        <vertAlign val="subscript"/>
        <sz val="10"/>
        <rFont val="Arial"/>
        <family val="2"/>
      </rPr>
      <t>expected/comb</t>
    </r>
  </si>
  <si>
    <t xml:space="preserve">  Equation     A-14</t>
  </si>
  <si>
    <t>Worksheet 4B -- Predicted Pedestrian and Bicycle Crashes for Urban and Suburban Arterials</t>
  </si>
  <si>
    <t>Worksheet 4C -- Project-Specific EB Method Summary Results for Urban and Suburban Arterials</t>
  </si>
  <si>
    <r>
      <t>(2)</t>
    </r>
    <r>
      <rPr>
        <vertAlign val="subscript"/>
        <sz val="10"/>
        <rFont val="Arial"/>
        <family val="2"/>
      </rPr>
      <t>COMB</t>
    </r>
    <r>
      <rPr>
        <sz val="10"/>
        <rFont val="Arial"/>
        <family val="2"/>
      </rPr>
      <t xml:space="preserve"> from Worksheet 4B</t>
    </r>
  </si>
  <si>
    <r>
      <t>(3)</t>
    </r>
    <r>
      <rPr>
        <vertAlign val="subscript"/>
        <sz val="10"/>
        <rFont val="Arial"/>
        <family val="2"/>
      </rPr>
      <t>COMB</t>
    </r>
    <r>
      <rPr>
        <sz val="10"/>
        <rFont val="Arial"/>
        <family val="2"/>
      </rPr>
      <t xml:space="preserve"> from Worksheet 4B</t>
    </r>
  </si>
  <si>
    <r>
      <t>(13)</t>
    </r>
    <r>
      <rPr>
        <vertAlign val="subscript"/>
        <sz val="10"/>
        <rFont val="Arial"/>
        <family val="2"/>
      </rPr>
      <t>COMB</t>
    </r>
    <r>
      <rPr>
        <sz val="10"/>
        <rFont val="Arial"/>
        <family val="2"/>
      </rPr>
      <t xml:space="preserve"> Worksheet 4A</t>
    </r>
  </si>
  <si>
    <t>Calculations for CMF for Roadside Fixed Objects</t>
  </si>
  <si>
    <t>Nighttime crash Proportion for CMF for Lighting</t>
  </si>
  <si>
    <t>Highway Safety Manual 1st Edition, Volume 2, Chapter 12-- Predictive Method for Urban and Suburban Arterials -- Analysis Spreadsheet Summary</t>
  </si>
  <si>
    <t>Table 12-3: SPF Coefficients for Multiple-Vehicle Nondriveway Collisions on Roadway Segments</t>
  </si>
  <si>
    <t>Note:  HSM-Provided values based on HSIS data for Washington (2002-2006)</t>
  </si>
  <si>
    <t>Table 12-4: Distribution of Multiple-Vehicle Nondriveway Collisions for Roadway Segments by Manner of Collision Type</t>
  </si>
  <si>
    <t>Table 12-5: SPF Coefficients for Single-Vehicle Collisions on Roadway Segments</t>
  </si>
  <si>
    <t>Table 12-6: Distribution of Single-Vehicle Collisions for Roadway Segments by Collision Type</t>
  </si>
  <si>
    <t>Table 12-7: SPF Coefficients for Multiple-Vehicle Driveway Related Collisions</t>
  </si>
  <si>
    <t>Table 12-8: Pedestrian Crash Adjustment Factor for Roadway Segments</t>
  </si>
  <si>
    <t>Table 12-9: Bicycle Crash Adjustment Factor for Roadway Segments</t>
  </si>
  <si>
    <t>Table 12-10: SPF Coefficients for Multiple-Vehicle Collisions at Intersections</t>
  </si>
  <si>
    <t>Note:  HSM-Provided values based on HSIS data for California (2002-2006)</t>
  </si>
  <si>
    <t>Table 12-11: Distribution of Multiple-Vehicle Collisions for Intersections by Collision Type</t>
  </si>
  <si>
    <t>Table 12-12: SPF Coefficients for Single-Vehicle Crashes at Intersections</t>
  </si>
  <si>
    <t>Source: HSM-Provided values base on HSIS data for California (2002-2006)</t>
  </si>
  <si>
    <t>Table 12-13: Distribution of Single-Vehicle Crashes for Intersections by Collision Type</t>
  </si>
  <si>
    <t>Table 12-14: SPF for Vehicle-Pedestrian Collisions at Signalized Intersections</t>
  </si>
  <si>
    <r>
      <t>Table 12-19: Values of f</t>
    </r>
    <r>
      <rPr>
        <b/>
        <vertAlign val="subscript"/>
        <sz val="10"/>
        <rFont val="Arial"/>
        <family val="2"/>
      </rPr>
      <t>pk</t>
    </r>
    <r>
      <rPr>
        <b/>
        <sz val="10"/>
        <rFont val="Arial"/>
        <family val="2"/>
      </rPr>
      <t xml:space="preserve"> Used in Determing the CMF for On-Street Parking</t>
    </r>
  </si>
  <si>
    <t>Table 12-20: Fixed-Object Offset Factor</t>
  </si>
  <si>
    <t>Table 12-21: Proportion of Fixed-Object Collisions</t>
  </si>
  <si>
    <r>
      <t>Table 12-22: CMFs for Median Widths on Divided Roadway Segments without a Median Barrier (CMF</t>
    </r>
    <r>
      <rPr>
        <b/>
        <vertAlign val="subscript"/>
        <sz val="10"/>
        <rFont val="Arial"/>
        <family val="2"/>
      </rPr>
      <t>3r</t>
    </r>
    <r>
      <rPr>
        <b/>
        <sz val="10"/>
        <rFont val="Arial"/>
        <family val="2"/>
      </rPr>
      <t>)</t>
    </r>
  </si>
  <si>
    <t>Table 12-23: Nighttime Crash Proportions for Unlighted Roadway Segments</t>
  </si>
  <si>
    <r>
      <t>Table 12-24: Crash Modification Factor (CMF</t>
    </r>
    <r>
      <rPr>
        <b/>
        <vertAlign val="subscript"/>
        <sz val="10"/>
        <rFont val="Arial"/>
        <family val="2"/>
      </rPr>
      <t>1i</t>
    </r>
    <r>
      <rPr>
        <b/>
        <sz val="10"/>
        <rFont val="Arial"/>
        <family val="2"/>
      </rPr>
      <t>) for Installation of Left-Turn Lanes on Intersection Approaches</t>
    </r>
  </si>
  <si>
    <r>
      <t>Table 12-26: Crash Modification Factor (CMF</t>
    </r>
    <r>
      <rPr>
        <b/>
        <vertAlign val="subscript"/>
        <sz val="10"/>
        <rFont val="Arial"/>
        <family val="2"/>
      </rPr>
      <t>3i</t>
    </r>
    <r>
      <rPr>
        <b/>
        <sz val="10"/>
        <rFont val="Arial"/>
        <family val="2"/>
      </rPr>
      <t>) for Installation of Right-Turn Lanes on Intersection Approaches</t>
    </r>
  </si>
  <si>
    <t>Table 12-27: Nighttime Crash Proportions for Unlighted Intersections</t>
  </si>
  <si>
    <t>from Table 12-22</t>
  </si>
  <si>
    <t>from Table 12-3</t>
  </si>
  <si>
    <t>from Table 12-4</t>
  </si>
  <si>
    <t>from Table 12-5</t>
  </si>
  <si>
    <t>from Table 12-6</t>
  </si>
  <si>
    <t>from Table 12-7</t>
  </si>
  <si>
    <t>from Table 12-8</t>
  </si>
  <si>
    <t>from Table 12-9</t>
  </si>
  <si>
    <t>from Table 12-24</t>
  </si>
  <si>
    <t>from Table 12-25</t>
  </si>
  <si>
    <t>from Table 12-26</t>
  </si>
  <si>
    <t>from Table 12-10</t>
  </si>
  <si>
    <t>from Table 12-11</t>
  </si>
  <si>
    <t>from Table 12-12</t>
  </si>
  <si>
    <t>from Table 12-13</t>
  </si>
  <si>
    <t>from Table 12-14</t>
  </si>
  <si>
    <r>
      <t xml:space="preserve">N </t>
    </r>
    <r>
      <rPr>
        <b/>
        <vertAlign val="subscript"/>
        <sz val="10"/>
        <rFont val="Arial"/>
        <family val="2"/>
      </rPr>
      <t>expected (vehicle)</t>
    </r>
  </si>
  <si>
    <t>(veh/day)</t>
  </si>
  <si>
    <r>
      <t>AADT</t>
    </r>
    <r>
      <rPr>
        <vertAlign val="subscript"/>
        <sz val="10"/>
        <rFont val="Arial"/>
        <family val="2"/>
      </rPr>
      <t>MAX</t>
    </r>
    <r>
      <rPr>
        <sz val="10"/>
        <rFont val="Arial"/>
        <family val="2"/>
      </rPr>
      <t xml:space="preserve"> =</t>
    </r>
  </si>
  <si>
    <r>
      <t>Predicted N</t>
    </r>
    <r>
      <rPr>
        <b/>
        <i/>
        <vertAlign val="subscript"/>
        <sz val="10"/>
        <rFont val="Arial"/>
        <family val="2"/>
      </rPr>
      <t>pedi</t>
    </r>
  </si>
  <si>
    <r>
      <t>Predicted N</t>
    </r>
    <r>
      <rPr>
        <b/>
        <vertAlign val="subscript"/>
        <sz val="10"/>
        <rFont val="Arial"/>
        <family val="2"/>
      </rPr>
      <t>bikei</t>
    </r>
  </si>
  <si>
    <t>Spreadsheet developed by:</t>
  </si>
  <si>
    <t>Karen Dixon, Ph.D., P.E.</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</si>
  <si>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</si>
  <si>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</si>
  <si>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</si>
  <si>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</si>
  <si>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</si>
  <si>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</si>
  <si>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</si>
  <si>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</si>
  <si>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</si>
  <si>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</si>
  <si>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</si>
  <si>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</si>
  <si>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Karen Dixon (k-dixon@tamu.edu)</t>
  </si>
  <si>
    <t>Updates per errata, other</t>
  </si>
  <si>
    <t>July, 2019</t>
  </si>
  <si>
    <t>Tariq Shihadah (tariq.shihadah@jacobs.com)</t>
  </si>
  <si>
    <t>Last modified:</t>
  </si>
  <si>
    <t>This spreadsheet has been developed to demonstrate the predictive models for urban and suburban arterials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</si>
  <si>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</si>
  <si>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</si>
  <si>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</si>
  <si>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</si>
  <si>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Current worksheet displaying overview, summary of spreadsheet worksheets, and description of color coding included in the worksheets.</t>
  </si>
  <si>
    <t>Tables used for the segment analysis.  Includes Tables 12-3, 12-4, 12-5, 12-6, 12-7, 12-8, 12-9, 12-19, 12-20, 12-21, and 12-23.</t>
  </si>
  <si>
    <t>Tables used for the intersection analysis.  Includes Tables 12-10, 12-11, 12-12, 12-13, 12-14, 12-24, 12-26, and 12-27.</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</si>
  <si>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</si>
  <si>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(enter name)</t>
  </si>
  <si>
    <t>(enter agency)</t>
  </si>
  <si>
    <t>(enter date)</t>
  </si>
  <si>
    <t>(enter roadway name)</t>
  </si>
  <si>
    <t>(enter roadway section)</t>
  </si>
  <si>
    <t>(enter jurisdiction)</t>
  </si>
  <si>
    <t>(enter intersection name)</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</si>
  <si>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</si>
  <si>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</si>
  <si>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</si>
  <si>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</si>
  <si>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</si>
  <si>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</si>
  <si>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</si>
  <si>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</si>
  <si>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</si>
  <si>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</si>
  <si>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</si>
  <si>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</si>
  <si>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</si>
  <si>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</si>
  <si>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</si>
  <si>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</si>
  <si>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Segment_1-8</t>
  </si>
  <si>
    <t>Intersection_1-8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</si>
  <si>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</si>
  <si>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Summary Tables (Site Totals)</t>
  </si>
  <si>
    <t>Summary Tables (Project Total)</t>
  </si>
  <si>
    <t>Reference Tables (Segment)</t>
  </si>
  <si>
    <t>Reference Tables (Intersection)</t>
  </si>
  <si>
    <t>Construction - Do Not Delete</t>
  </si>
  <si>
    <t>Formatting, consistency, comments by HSM Steering Group; updated formulas in summary sheets for consistency, ease of use; modified instructional text for consistency between workbooks and clarity</t>
  </si>
  <si>
    <t>(8)*</t>
  </si>
  <si>
    <t>(5)*(6)</t>
  </si>
  <si>
    <t>* Column 7 has been removed due to redundant application of calibration factors and inconsistency with HSM Equation 12-19</t>
  </si>
  <si>
    <t>* Column 7 has been removed due to redundant application of calibration factors and inconsistency with HSM Equation 12-20</t>
  </si>
  <si>
    <t>April, 2020</t>
  </si>
  <si>
    <t>Removal of redundant application of calibration factors when calculating pedestrian and bicycle crash frequencies in segment model worksheets 1I and 1J for consistency with equations 12-19 and 12-20 of the HSM respectively. Removal of redundant appilcation of calibration factors when calculating pedestrian and bicycle crash frequencies in intersection model worksheets 2G and 2J for consistency with equations 12-30 and 12-31 of the HSM respectively.</t>
  </si>
  <si>
    <t>Number of auxiliary lanes</t>
  </si>
  <si>
    <t>Wide centerline (1 to 3 ft)</t>
  </si>
  <si>
    <t>Physical median width &gt;= 3 ft</t>
  </si>
  <si>
    <t>Centerline only (no median)</t>
  </si>
  <si>
    <t>Median type</t>
  </si>
  <si>
    <t>Not present</t>
  </si>
  <si>
    <t>Street lighting</t>
  </si>
  <si>
    <t>Vehicle parking</t>
  </si>
  <si>
    <t>Pedestrian fencing</t>
  </si>
  <si>
    <t>Limited</t>
  </si>
  <si>
    <t>Advance visibility of a pedestrian crossing</t>
  </si>
  <si>
    <t>School zone flashing beacons or other active warnings present</t>
  </si>
  <si>
    <t>School zone warning</t>
  </si>
  <si>
    <t>Unsignalized marked crossing without refuge but with pedestrian hybrid beacon</t>
  </si>
  <si>
    <t>Pedestrian crossing facility type</t>
  </si>
  <si>
    <t>Locations other than schools</t>
  </si>
  <si>
    <t>Location of pedestrian crossing</t>
  </si>
  <si>
    <t>6 to 25</t>
  </si>
  <si>
    <t>Peak hour pedestrian volume, midblock (ped/hr)</t>
  </si>
  <si>
    <t>Midblock Crossing 5</t>
  </si>
  <si>
    <t>Midblock Crossing 4</t>
  </si>
  <si>
    <t>Midblock Crossing 3</t>
  </si>
  <si>
    <t>Midblock Crossing 2</t>
  </si>
  <si>
    <t>Midblock Crossing 1</t>
  </si>
  <si>
    <t>Number of Midblock Crossing</t>
  </si>
  <si>
    <t>Pedestrian Midblock Crossing</t>
  </si>
  <si>
    <t>Bicycle facilities and paved shoulder provision</t>
  </si>
  <si>
    <t>Vehicle parking (Bicyclist)</t>
  </si>
  <si>
    <t>Vehicle parking (Pedestrians)</t>
  </si>
  <si>
    <t>Not applicable (no school zone at this location)</t>
  </si>
  <si>
    <t>Sidewalk or paved shoulder provision</t>
  </si>
  <si>
    <t>Shoulder rumble strips</t>
  </si>
  <si>
    <t>Clearly visible</t>
  </si>
  <si>
    <t>Presence and condition of delineation</t>
  </si>
  <si>
    <t>0% to &lt; 7.5%</t>
  </si>
  <si>
    <t>Percent grade</t>
  </si>
  <si>
    <t>Substantial</t>
  </si>
  <si>
    <t>Advanced visibility of a curve</t>
  </si>
  <si>
    <t>Straight or gently curving (advisory speed &gt;= 60 mph or curve radius &gt; 2600 ft)</t>
  </si>
  <si>
    <t>Horizontal curvature</t>
  </si>
  <si>
    <t>Wide (&gt;= 10.6 ft)</t>
  </si>
  <si>
    <t>Lane width</t>
  </si>
  <si>
    <t>One Lane</t>
  </si>
  <si>
    <t>Number of through traffic lanes</t>
  </si>
  <si>
    <t>Motor vehicle speed (mph)</t>
  </si>
  <si>
    <t>26 to 50</t>
  </si>
  <si>
    <t>Peak hour bicycle volume (bikes/hr) (includes both directions of travel combined)</t>
  </si>
  <si>
    <t>Peak hour pedestrian volume (peds/hr) (directional)</t>
  </si>
  <si>
    <t>Motor-vehicle traffic volume (veh/day) (directional)</t>
  </si>
  <si>
    <t>Roadway segment length (mi)</t>
  </si>
  <si>
    <t>Right side of roadway</t>
  </si>
  <si>
    <t>Left side of roadway</t>
  </si>
  <si>
    <t>Two-lane undivided</t>
  </si>
  <si>
    <t>Roadway Type</t>
  </si>
  <si>
    <t>Number of Bicyclists Injured</t>
  </si>
  <si>
    <t>Person Level</t>
  </si>
  <si>
    <t>Number of Pedestrians Injured</t>
  </si>
  <si>
    <t>Number of Bicycle Crashes</t>
  </si>
  <si>
    <t>Crash Level</t>
  </si>
  <si>
    <t>Number of Pedestrian Crashes</t>
  </si>
  <si>
    <r>
      <t>(N</t>
    </r>
    <r>
      <rPr>
        <vertAlign val="subscript"/>
        <sz val="11"/>
        <color theme="1"/>
        <rFont val="Calibri"/>
        <family val="2"/>
        <scheme val="minor"/>
      </rPr>
      <t>alongleft-ped</t>
    </r>
    <r>
      <rPr>
        <sz val="10"/>
        <rFont val="Arial"/>
        <family val="2"/>
      </rPr>
      <t xml:space="preserve"> + N</t>
    </r>
    <r>
      <rPr>
        <vertAlign val="subscript"/>
        <sz val="11"/>
        <color theme="1"/>
        <rFont val="Calibri"/>
        <family val="2"/>
        <scheme val="minor"/>
      </rPr>
      <t xml:space="preserve">alongright-ped </t>
    </r>
    <r>
      <rPr>
        <sz val="10"/>
        <rFont val="Arial"/>
        <family val="2"/>
      </rPr>
      <t>+</t>
    </r>
    <r>
      <rPr>
        <vertAlign val="subscript"/>
        <sz val="11"/>
        <color theme="1"/>
        <rFont val="Calibri"/>
        <family val="2"/>
        <scheme val="minor"/>
      </rPr>
      <t xml:space="preserve"> </t>
    </r>
    <r>
      <rPr>
        <sz val="11"/>
        <color theme="1"/>
        <rFont val="Calibri"/>
        <family val="2"/>
      </rPr>
      <t>∑N</t>
    </r>
    <r>
      <rPr>
        <vertAlign val="subscript"/>
        <sz val="11"/>
        <color theme="1"/>
        <rFont val="Calibri"/>
        <family val="2"/>
      </rPr>
      <t>midcrossing-ped</t>
    </r>
    <r>
      <rPr>
        <sz val="11"/>
        <color theme="1"/>
        <rFont val="Calibri"/>
        <family val="2"/>
      </rPr>
      <t xml:space="preserve"> )</t>
    </r>
  </si>
  <si>
    <t>Multilane divided</t>
  </si>
  <si>
    <t>Multilane undivided</t>
  </si>
  <si>
    <r>
      <t>AF</t>
    </r>
    <r>
      <rPr>
        <vertAlign val="subscript"/>
        <sz val="11"/>
        <color rgb="FF000000"/>
        <rFont val="Calibri"/>
        <family val="2"/>
        <charset val="1"/>
      </rPr>
      <t>SA1-ped</t>
    </r>
    <r>
      <rPr>
        <sz val="10"/>
        <rFont val="Arial"/>
        <family val="2"/>
      </rPr>
      <t xml:space="preserve"> (Sidewalk or paved shoulder provision)</t>
    </r>
  </si>
  <si>
    <t>Bicyclist</t>
  </si>
  <si>
    <t>Pedestrian</t>
  </si>
  <si>
    <t>Values</t>
  </si>
  <si>
    <t>Along the Road</t>
  </si>
  <si>
    <t>Along Right Side of Road</t>
  </si>
  <si>
    <t>Along Left Side of Road</t>
  </si>
  <si>
    <t>Calibration Factors:</t>
  </si>
  <si>
    <t>Intersection channelization</t>
  </si>
  <si>
    <t>Advance visibility of an intersection</t>
  </si>
  <si>
    <t>No bicycle path, no crossing facility, or no intersection</t>
  </si>
  <si>
    <t>Bicycle path presence and pedestrian crossing facility type</t>
  </si>
  <si>
    <t>Dedicated bicycle lane on roadway</t>
  </si>
  <si>
    <t>Bicycle facilities and paved shoulder provision (exiting)</t>
  </si>
  <si>
    <t>Bicycle facilities and paved shoulder provision (entering)</t>
  </si>
  <si>
    <t>201 to 300</t>
  </si>
  <si>
    <t>Peak hour bicycle volume (bikes/hr) (both directions)</t>
  </si>
  <si>
    <t>Minor Road</t>
  </si>
  <si>
    <t>Major Road</t>
  </si>
  <si>
    <t>Bicyclists</t>
  </si>
  <si>
    <t>Advance visiblity of a pedestrian crossing</t>
  </si>
  <si>
    <t>Unsignalized marked crossing without refuge</t>
  </si>
  <si>
    <t>Peak hour pedestrian volume - crossing intersection leg (ped/hr)</t>
  </si>
  <si>
    <t>Pedestrians</t>
  </si>
  <si>
    <t>Four Lanes</t>
  </si>
  <si>
    <t>Six Lanes</t>
  </si>
  <si>
    <t>Number of through traffic lanes (both directions)</t>
  </si>
  <si>
    <t>Motor-vehicle traffic volume (veh/day) (both directions)</t>
  </si>
  <si>
    <t>Minor Road (Leg 2)</t>
  </si>
  <si>
    <t>Minor Road (Leg 1)</t>
  </si>
  <si>
    <t>Major Road (Leg 2)</t>
  </si>
  <si>
    <t>Major Road (Leg 1)</t>
  </si>
  <si>
    <t>General Intersection Characteristics</t>
  </si>
  <si>
    <t>4-leg signalized with no exclusive left-turn lane</t>
  </si>
  <si>
    <r>
      <rPr>
        <b/>
        <sz val="11"/>
        <color rgb="FF000000"/>
        <rFont val="Calibri"/>
        <family val="2"/>
        <charset val="1"/>
      </rPr>
      <t>N</t>
    </r>
    <r>
      <rPr>
        <b/>
        <vertAlign val="subscript"/>
        <sz val="11"/>
        <color rgb="FF000000"/>
        <rFont val="Calibri"/>
        <family val="2"/>
        <charset val="1"/>
      </rPr>
      <t>pedi-C</t>
    </r>
  </si>
  <si>
    <r>
      <rPr>
        <b/>
        <sz val="11"/>
        <color rgb="FF000000"/>
        <rFont val="Calibri"/>
        <family val="2"/>
        <charset val="1"/>
      </rPr>
      <t>N</t>
    </r>
    <r>
      <rPr>
        <b/>
        <vertAlign val="subscript"/>
        <sz val="11"/>
        <color rgb="FF000000"/>
        <rFont val="Calibri"/>
        <family val="2"/>
        <charset val="1"/>
      </rPr>
      <t>pedi-B</t>
    </r>
  </si>
  <si>
    <r>
      <rPr>
        <b/>
        <sz val="11"/>
        <color rgb="FF000000"/>
        <rFont val="Calibri"/>
        <family val="2"/>
        <charset val="1"/>
      </rPr>
      <t>N</t>
    </r>
    <r>
      <rPr>
        <b/>
        <vertAlign val="subscript"/>
        <sz val="11"/>
        <color rgb="FF000000"/>
        <rFont val="Calibri"/>
        <family val="2"/>
        <charset val="1"/>
      </rPr>
      <t>pedi-A</t>
    </r>
  </si>
  <si>
    <r>
      <rPr>
        <b/>
        <sz val="11"/>
        <color rgb="FF000000"/>
        <rFont val="Calibri"/>
        <family val="2"/>
        <charset val="1"/>
      </rPr>
      <t>N</t>
    </r>
    <r>
      <rPr>
        <b/>
        <vertAlign val="subscript"/>
        <sz val="11"/>
        <color rgb="FF000000"/>
        <rFont val="Calibri"/>
        <family val="2"/>
        <charset val="1"/>
      </rPr>
      <t>pedi-K</t>
    </r>
  </si>
  <si>
    <r>
      <rPr>
        <b/>
        <sz val="11"/>
        <color rgb="FF000000"/>
        <rFont val="Calibri"/>
        <family val="2"/>
        <charset val="1"/>
      </rPr>
      <t>N</t>
    </r>
    <r>
      <rPr>
        <b/>
        <vertAlign val="subscript"/>
        <sz val="11"/>
        <color rgb="FF000000"/>
        <rFont val="Calibri"/>
        <family val="2"/>
        <charset val="1"/>
      </rPr>
      <t>pedi</t>
    </r>
  </si>
  <si>
    <r>
      <rPr>
        <sz val="10"/>
        <rFont val="Arial"/>
        <family val="2"/>
      </rPr>
      <t>C</t>
    </r>
    <r>
      <rPr>
        <vertAlign val="subscript"/>
        <sz val="11"/>
        <color rgb="FF000000"/>
        <rFont val="Calibri"/>
        <family val="2"/>
        <charset val="1"/>
      </rPr>
      <t>pedi</t>
    </r>
  </si>
  <si>
    <t>∑ Nintcrossing-ped-j</t>
  </si>
  <si>
    <t>Minor road leg 2</t>
  </si>
  <si>
    <t>Minor road leg 1</t>
  </si>
  <si>
    <r>
      <rPr>
        <sz val="10"/>
        <rFont val="Arial"/>
        <family val="2"/>
      </rPr>
      <t>C</t>
    </r>
    <r>
      <rPr>
        <vertAlign val="subscript"/>
        <sz val="11"/>
        <color rgb="FF000000"/>
        <rFont val="Calibri"/>
        <family val="2"/>
        <charset val="1"/>
      </rPr>
      <t>bikei</t>
    </r>
  </si>
  <si>
    <r>
      <t>N</t>
    </r>
    <r>
      <rPr>
        <vertAlign val="subscript"/>
        <sz val="11"/>
        <color theme="1"/>
        <rFont val="Calibri"/>
        <family val="2"/>
        <scheme val="minor"/>
      </rPr>
      <t>unadjusted-bikei</t>
    </r>
  </si>
  <si>
    <r>
      <t>N</t>
    </r>
    <r>
      <rPr>
        <vertAlign val="subscript"/>
        <sz val="11"/>
        <color theme="1"/>
        <rFont val="Calibri"/>
        <family val="2"/>
        <scheme val="minor"/>
      </rPr>
      <t>unadjusted-bikei-minor</t>
    </r>
    <r>
      <rPr>
        <sz val="10"/>
        <rFont val="Arial"/>
        <family val="2"/>
      </rPr>
      <t xml:space="preserve"> </t>
    </r>
  </si>
  <si>
    <t>Major road leg 2</t>
  </si>
  <si>
    <t>4-leg signalized with exclusive left-turn lane</t>
  </si>
  <si>
    <t>4-leg unsignalized with no exclusive left-turn lane</t>
  </si>
  <si>
    <t>4-leg unsignalized with exclusive left-turn lane</t>
  </si>
  <si>
    <t>3-leg signalized with no exclusive left-turn lane</t>
  </si>
  <si>
    <t>3-leg signalized with exclusive left-turn lane</t>
  </si>
  <si>
    <t>3-leg unsignalized with no exclusive left-turn lane</t>
  </si>
  <si>
    <t>3-leg unsignalized with exclusive left-turn lane</t>
  </si>
  <si>
    <t>Major road leg 1</t>
  </si>
  <si>
    <t>FT(pedrs)</t>
  </si>
  <si>
    <t>Facility Type Factors for Pedestrian Crashes</t>
  </si>
  <si>
    <t>Median Type (Undivided/Divided)</t>
  </si>
  <si>
    <t>more than 900</t>
  </si>
  <si>
    <t>501 to 900</t>
  </si>
  <si>
    <t>401 to 500</t>
  </si>
  <si>
    <t>301 to 400</t>
  </si>
  <si>
    <t>101 to 200</t>
  </si>
  <si>
    <t>51 to 100</t>
  </si>
  <si>
    <t>1 to 5</t>
  </si>
  <si>
    <t>PFF</t>
  </si>
  <si>
    <t>Pedestrian peak-hour flow for a specific side of road or crossing (p/h)</t>
  </si>
  <si>
    <t>90 or more</t>
  </si>
  <si>
    <t>20 or less</t>
  </si>
  <si>
    <t>MVTSF(ped)</t>
  </si>
  <si>
    <t>Mean speed of motor-vehicle traffic on a specific roadway segment (mph)</t>
  </si>
  <si>
    <r>
      <t>C-injury (P</t>
    </r>
    <r>
      <rPr>
        <b/>
        <i/>
        <vertAlign val="subscript"/>
        <sz val="8"/>
        <color rgb="FF000000"/>
        <rFont val="Arial"/>
        <family val="2"/>
      </rPr>
      <t>pedrs-C</t>
    </r>
    <r>
      <rPr>
        <b/>
        <sz val="8"/>
        <color rgb="FF000000"/>
        <rFont val="Arial"/>
        <family val="2"/>
      </rPr>
      <t>)</t>
    </r>
  </si>
  <si>
    <r>
      <t>B-injury (P</t>
    </r>
    <r>
      <rPr>
        <b/>
        <i/>
        <vertAlign val="subscript"/>
        <sz val="8"/>
        <color rgb="FF000000"/>
        <rFont val="Arial"/>
        <family val="2"/>
      </rPr>
      <t>pedrs-B</t>
    </r>
    <r>
      <rPr>
        <b/>
        <sz val="8"/>
        <color rgb="FF000000"/>
        <rFont val="Arial"/>
        <family val="2"/>
      </rPr>
      <t>)</t>
    </r>
  </si>
  <si>
    <r>
      <t>A-injury (P</t>
    </r>
    <r>
      <rPr>
        <b/>
        <i/>
        <vertAlign val="subscript"/>
        <sz val="8"/>
        <color rgb="FF000000"/>
        <rFont val="Arial"/>
        <family val="2"/>
      </rPr>
      <t>pedrs-A</t>
    </r>
    <r>
      <rPr>
        <b/>
        <sz val="8"/>
        <color rgb="FF000000"/>
        <rFont val="Arial"/>
        <family val="2"/>
      </rPr>
      <t>)</t>
    </r>
  </si>
  <si>
    <r>
      <t>Fatal (P</t>
    </r>
    <r>
      <rPr>
        <b/>
        <i/>
        <vertAlign val="subscript"/>
        <sz val="8"/>
        <color rgb="FF000000"/>
        <rFont val="Arial"/>
        <family val="2"/>
      </rPr>
      <t>pedrs-K</t>
    </r>
    <r>
      <rPr>
        <b/>
        <sz val="8"/>
        <color rgb="FF000000"/>
        <rFont val="Arial"/>
        <family val="2"/>
      </rPr>
      <t>)</t>
    </r>
  </si>
  <si>
    <t>Proportion of pedestrian Crashes by Most Severe Pedestrian Injury</t>
  </si>
  <si>
    <t>Central hatching or other flush separation (&gt; 3 ft)</t>
  </si>
  <si>
    <t>Centerline rumble strip (or flexipost)</t>
  </si>
  <si>
    <t>Continuous central turning lane</t>
  </si>
  <si>
    <t>Physical median with traffic barrier</t>
  </si>
  <si>
    <t>AF(LM15-ped)</t>
  </si>
  <si>
    <t>Eight Lanes</t>
  </si>
  <si>
    <t>Seven Lanes</t>
  </si>
  <si>
    <t>Five Lanes</t>
  </si>
  <si>
    <t>Three Lanes</t>
  </si>
  <si>
    <t>Two Lanes</t>
  </si>
  <si>
    <t>AF(LA14-ped), AF(LM14-ped)</t>
  </si>
  <si>
    <t>Number of traffic lanes</t>
  </si>
  <si>
    <t>AF(LA13-ped)</t>
  </si>
  <si>
    <t>Two sides</t>
  </si>
  <si>
    <t>One side</t>
  </si>
  <si>
    <t>AF(LM12-ped)</t>
  </si>
  <si>
    <t>Vehicle parking (crossing)</t>
  </si>
  <si>
    <t>Two sides (sidewalk present)</t>
  </si>
  <si>
    <t>One side (sidewalk present)</t>
  </si>
  <si>
    <t>AF(LA12-ped)</t>
  </si>
  <si>
    <t>AF(LA11-ped)</t>
  </si>
  <si>
    <t>Loss of reflectivity (e.g., weathered or faded) or absent</t>
  </si>
  <si>
    <t>AF(LA10-ped)</t>
  </si>
  <si>
    <t>&gt;= 10%</t>
  </si>
  <si>
    <t>7.5% to &lt; 10%</t>
  </si>
  <si>
    <t>AF(LA9-ped)</t>
  </si>
  <si>
    <t>Not applicable (no horizontal curve present)</t>
  </si>
  <si>
    <t>AF(LA8-ped)</t>
  </si>
  <si>
    <t>Advance visibility of a curve</t>
  </si>
  <si>
    <t>Very sharp curve (advisory speed &lt; 25 mph or curve radius &lt; 650 ft)</t>
  </si>
  <si>
    <t>Sharp curve (advisory speed in the range from 25 to &lt; 45 mph or curve radius in the range from 650 ft to &lt;= 1300 ft)</t>
  </si>
  <si>
    <t>Moderate curvature (advisory speed in the range from 45 to &lt; 60 mph or curve radius in the range from 1300 to &lt;= 2600 ft)</t>
  </si>
  <si>
    <t>AF(LA7-ped)</t>
  </si>
  <si>
    <t>Narrow (&lt; 9 ft)</t>
  </si>
  <si>
    <t>Medium (&gt;= 9 to &lt; 10.6 ft)</t>
  </si>
  <si>
    <t>AF(LA6-ped)</t>
  </si>
  <si>
    <t>At pedestrian crossing</t>
  </si>
  <si>
    <t>Full length of roadway segment</t>
  </si>
  <si>
    <t>AF(LM5-ped)</t>
  </si>
  <si>
    <t>Not applicable (no crossing present)</t>
  </si>
  <si>
    <t>AF(LM4-ped)</t>
  </si>
  <si>
    <t>Unsignalized marked crossing with refuge and pedestrian hybrid beacon</t>
  </si>
  <si>
    <t>No facility</t>
  </si>
  <si>
    <t>Refuge only</t>
  </si>
  <si>
    <t>Unsignalized marked crossing with refuge</t>
  </si>
  <si>
    <t>Signalized without refuge</t>
  </si>
  <si>
    <t>Signalized with refuge</t>
  </si>
  <si>
    <t>Grade separated facility</t>
  </si>
  <si>
    <t>Grade separated facility - pedestrian fencing present</t>
  </si>
  <si>
    <t>School locations without a crossing guard</t>
  </si>
  <si>
    <t>School locations with a crossing guard</t>
  </si>
  <si>
    <t>Pedestrian crossing facility type at midblock locations</t>
  </si>
  <si>
    <t>AF(SM3-ped)</t>
  </si>
  <si>
    <t>AF(LM3-ped)</t>
  </si>
  <si>
    <t>School zone with no school zone warning present</t>
  </si>
  <si>
    <t>School zone static signs or road markings present</t>
  </si>
  <si>
    <t>AF(LM2-ped)</t>
  </si>
  <si>
    <t>AF(LA2-ped)</t>
  </si>
  <si>
    <t>Informal path width &lt;= 3 ft separation from road with no barrier</t>
  </si>
  <si>
    <t>Informal path width &gt; 3 ft separation from road with no barrier</t>
  </si>
  <si>
    <t>Paved shoulder present with width &lt; 3 ft</t>
  </si>
  <si>
    <t>Paved shoulder present with width &gt;= 3 ft and &lt; 7.9 ft</t>
  </si>
  <si>
    <t>Paved shoulder present with width &gt;= 7.9 ft</t>
  </si>
  <si>
    <t>Sidewalk adjacent to the traveled way (within 3 ft)</t>
  </si>
  <si>
    <t>Sidewalk with &gt; 3 ft separation from traveled way with no barrier present</t>
  </si>
  <si>
    <t>Sidewalk with &gt; 10 ft separation from traveled way with no barrier present</t>
  </si>
  <si>
    <t>Physical barrier between sidewalk and traveled way</t>
  </si>
  <si>
    <t>AF(SA1-ped)</t>
  </si>
  <si>
    <t>AF(LA1-ped)</t>
  </si>
  <si>
    <t>FT(bikes)</t>
  </si>
  <si>
    <t>Facility Type Factors for Bicycle Crashes</t>
  </si>
  <si>
    <t>BFF(along)</t>
  </si>
  <si>
    <t>MVTSF(along-bike)</t>
  </si>
  <si>
    <r>
      <t>C-injury (P</t>
    </r>
    <r>
      <rPr>
        <b/>
        <i/>
        <vertAlign val="subscript"/>
        <sz val="8"/>
        <color rgb="FF000000"/>
        <rFont val="Arial"/>
        <family val="2"/>
      </rPr>
      <t>bikers-C</t>
    </r>
    <r>
      <rPr>
        <b/>
        <sz val="8"/>
        <color rgb="FF000000"/>
        <rFont val="Arial"/>
        <family val="2"/>
      </rPr>
      <t>)</t>
    </r>
  </si>
  <si>
    <r>
      <t>B-injury (P</t>
    </r>
    <r>
      <rPr>
        <b/>
        <i/>
        <vertAlign val="subscript"/>
        <sz val="8"/>
        <color rgb="FF000000"/>
        <rFont val="Arial"/>
        <family val="2"/>
      </rPr>
      <t>bikers-B</t>
    </r>
    <r>
      <rPr>
        <b/>
        <sz val="8"/>
        <color rgb="FF000000"/>
        <rFont val="Arial"/>
        <family val="2"/>
      </rPr>
      <t>)</t>
    </r>
  </si>
  <si>
    <r>
      <t>A-injury (P</t>
    </r>
    <r>
      <rPr>
        <b/>
        <i/>
        <vertAlign val="subscript"/>
        <sz val="8"/>
        <color rgb="FF000000"/>
        <rFont val="Arial"/>
        <family val="2"/>
      </rPr>
      <t>bikers-A</t>
    </r>
    <r>
      <rPr>
        <b/>
        <sz val="8"/>
        <color rgb="FF000000"/>
        <rFont val="Arial"/>
        <family val="2"/>
      </rPr>
      <t>)</t>
    </r>
  </si>
  <si>
    <r>
      <t>Fatal (P</t>
    </r>
    <r>
      <rPr>
        <b/>
        <i/>
        <vertAlign val="subscript"/>
        <sz val="8"/>
        <color rgb="FF000000"/>
        <rFont val="Arial"/>
        <family val="2"/>
      </rPr>
      <t>bikers-K</t>
    </r>
    <r>
      <rPr>
        <b/>
        <sz val="8"/>
        <color rgb="FF000000"/>
        <rFont val="Arial"/>
        <family val="2"/>
      </rPr>
      <t>)</t>
    </r>
  </si>
  <si>
    <t>Proportion of bicycle Crashes by Most Severe Pedestrian Injury</t>
  </si>
  <si>
    <t>AF(LA18-bike)</t>
  </si>
  <si>
    <t>Two sides (bicycle facility present)</t>
  </si>
  <si>
    <t>One side (bicycle facility present)</t>
  </si>
  <si>
    <t>AF(LA16-bike)</t>
  </si>
  <si>
    <t>AF(LA15-bike)</t>
  </si>
  <si>
    <t>AF(LA14-bike)</t>
  </si>
  <si>
    <t>Presence and Condition of Delineation</t>
  </si>
  <si>
    <t>AF(LA9-bike)</t>
  </si>
  <si>
    <t>AF(LA8-bike)</t>
  </si>
  <si>
    <t>Advance visibility of a Curve</t>
  </si>
  <si>
    <t>AF(LA7-bike)</t>
  </si>
  <si>
    <t>AF(LA6-bike)</t>
  </si>
  <si>
    <t>Signed or marked shared roadway</t>
  </si>
  <si>
    <t>Extra wide outside lane &gt;= 14 ft</t>
  </si>
  <si>
    <t>Separated bicycle path without barrier</t>
  </si>
  <si>
    <t>Separated bicycle path with barrier</t>
  </si>
  <si>
    <t>AF(SA1-bike)</t>
  </si>
  <si>
    <t>AF(LA1-bike)</t>
  </si>
  <si>
    <t>C-injury</t>
  </si>
  <si>
    <t>B-injury</t>
  </si>
  <si>
    <t>A-injury</t>
  </si>
  <si>
    <t>Fatal</t>
  </si>
  <si>
    <t>FT(pedi)</t>
  </si>
  <si>
    <t>AF(LI16-ped)</t>
  </si>
  <si>
    <t>AF(LI15-ped)</t>
  </si>
  <si>
    <t>AF(LI14-ped)</t>
  </si>
  <si>
    <t>AF(LI13-ped)</t>
  </si>
  <si>
    <t>AF(LI12-ped)</t>
  </si>
  <si>
    <t>AF(LI5-ped)</t>
  </si>
  <si>
    <t>AF(LI4-ped)</t>
  </si>
  <si>
    <t>AF(SI3-ped)</t>
  </si>
  <si>
    <t>AF(LI3-ped)</t>
  </si>
  <si>
    <t>AF(LI2-ped)</t>
  </si>
  <si>
    <t>BFF(intersection)</t>
  </si>
  <si>
    <t>MVTSF(intersection-bike)</t>
  </si>
  <si>
    <t>AF(LI18-bike)</t>
  </si>
  <si>
    <t>AF(LI5-bike)</t>
  </si>
  <si>
    <t>Not applicable</t>
  </si>
  <si>
    <t>AF(LI4-bike)</t>
  </si>
  <si>
    <t>Advance visibility of intersection</t>
  </si>
  <si>
    <t>FT(bikei)</t>
  </si>
  <si>
    <t>AF(SI3-bike)</t>
  </si>
  <si>
    <t>AF(LI3-bike)</t>
  </si>
  <si>
    <t>Bicycle path and refuge only</t>
  </si>
  <si>
    <t>Bicycle path and unsignalized marked crossing without refuge</t>
  </si>
  <si>
    <t>Bicycle path and unsignalized marked crossing with refuge</t>
  </si>
  <si>
    <t>Bicycle path and signalized without refuge</t>
  </si>
  <si>
    <t>Bicycle path and signalized with refuge</t>
  </si>
  <si>
    <t>Bicycle path and grade separated facility</t>
  </si>
  <si>
    <t>AF(LI2-bike)</t>
  </si>
  <si>
    <t>Bicycle path and pedestrian crossing facility type</t>
  </si>
  <si>
    <t>AF(LI1-bike)</t>
  </si>
  <si>
    <t>Roadway type (2U, 3T, 4U, 4D, 5T)</t>
  </si>
  <si>
    <t>AADP (ped/day)</t>
  </si>
  <si>
    <t>AADB (bike/day)</t>
  </si>
  <si>
    <t>Select type of SPF to calculate pedestrian and bicycle crashes</t>
  </si>
  <si>
    <t>SPFs based on regression analysis (applicable with EB method)</t>
  </si>
  <si>
    <t>SPFs based on modified RAP methodology (NOT applicable with EB method)</t>
  </si>
  <si>
    <t>Worksheet 1I -- Pedestrian Collisions for Urban and Suburban Roadway Segments (Applicable to 3T and 5T)</t>
  </si>
  <si>
    <t>AF for On-Street Parking</t>
  </si>
  <si>
    <t>AF 1r</t>
  </si>
  <si>
    <t>AF for Roadside Fixed Objects</t>
  </si>
  <si>
    <t>AF 2r</t>
  </si>
  <si>
    <t>AF 3r</t>
  </si>
  <si>
    <t>AF for Median Width</t>
  </si>
  <si>
    <t>AF for Lighting</t>
  </si>
  <si>
    <t>AF 4r</t>
  </si>
  <si>
    <t>AF 5r</t>
  </si>
  <si>
    <t>AF for Automated Speed Enforcement</t>
  </si>
  <si>
    <t>AF comb</t>
  </si>
  <si>
    <t>Combined AF</t>
  </si>
  <si>
    <t>Worksheet 1B -- Adjustment Factors for Urban and Suburban Roadway Segments (Multiple-Vehicle and Single-Vehicle Collisions)</t>
  </si>
  <si>
    <t>Worksheet X1-- Adjustment Factors for Pedestrian Colliosions on Urban and Suburban Roadway Segments (Applicable to 2U, 4U, 4D, and OW)</t>
  </si>
  <si>
    <t>AF for Presence of Sidewalk Buffer</t>
  </si>
  <si>
    <t>AF 1p,r</t>
  </si>
  <si>
    <t>AF 2p,r</t>
  </si>
  <si>
    <t>AF for Lane Width</t>
  </si>
  <si>
    <t>AF 3p,r</t>
  </si>
  <si>
    <t>AF for Speed Limit</t>
  </si>
  <si>
    <t>AF 4p,r</t>
  </si>
  <si>
    <t>AF for Number of Lanes</t>
  </si>
  <si>
    <t>AF 5p,r</t>
  </si>
  <si>
    <t>from Table 12-X4</t>
  </si>
  <si>
    <t>from Table 12-X5</t>
  </si>
  <si>
    <t>from Table 12-X6</t>
  </si>
  <si>
    <t>from Table 12-X7</t>
  </si>
  <si>
    <t>from Table 12-X8</t>
  </si>
  <si>
    <r>
      <t>Presence of s</t>
    </r>
    <r>
      <rPr>
        <b/>
        <sz val="9"/>
        <color rgb="FF000000"/>
        <rFont val="Arial"/>
        <family val="2"/>
      </rPr>
      <t>idewalk buffer</t>
    </r>
  </si>
  <si>
    <r>
      <t>AF</t>
    </r>
    <r>
      <rPr>
        <b/>
        <i/>
        <vertAlign val="subscript"/>
        <sz val="12"/>
        <color rgb="FF000000"/>
        <rFont val="Times New Roman"/>
        <family val="1"/>
      </rPr>
      <t>1p,r</t>
    </r>
  </si>
  <si>
    <t>Sidewalk buffer greater than 0 ft</t>
  </si>
  <si>
    <t>OW</t>
  </si>
  <si>
    <t>Table 12-X4. AF for Presence of a Sidewalk Buffer</t>
  </si>
  <si>
    <t>Speed limit</t>
  </si>
  <si>
    <t>Less than or equal to 25 mph</t>
  </si>
  <si>
    <t>Greater than 25 mph</t>
  </si>
  <si>
    <t>4U and 4D</t>
  </si>
  <si>
    <t>Number of lanes</t>
  </si>
  <si>
    <t>One-lane</t>
  </si>
  <si>
    <t>Input Data Applicable to SPFs based on regression models (2U, 4U, 4D, OW)</t>
  </si>
  <si>
    <r>
      <t>AADP</t>
    </r>
    <r>
      <rPr>
        <vertAlign val="subscript"/>
        <sz val="10"/>
        <rFont val="Arial"/>
        <family val="2"/>
      </rPr>
      <t>MAX</t>
    </r>
    <r>
      <rPr>
        <sz val="10"/>
        <rFont val="Arial"/>
        <family val="2"/>
      </rPr>
      <t xml:space="preserve"> =</t>
    </r>
  </si>
  <si>
    <t>(ped/day)</t>
  </si>
  <si>
    <r>
      <t>AADB</t>
    </r>
    <r>
      <rPr>
        <vertAlign val="subscript"/>
        <sz val="10"/>
        <rFont val="Arial"/>
        <family val="2"/>
      </rPr>
      <t>MAX</t>
    </r>
    <r>
      <rPr>
        <sz val="10"/>
        <rFont val="Arial"/>
        <family val="2"/>
      </rPr>
      <t xml:space="preserve"> =</t>
    </r>
  </si>
  <si>
    <t>(bike/day)</t>
  </si>
  <si>
    <r>
      <t>Number of lanes (</t>
    </r>
    <r>
      <rPr>
        <sz val="10"/>
        <color rgb="FFFF0000"/>
        <rFont val="Arial"/>
        <family val="2"/>
      </rPr>
      <t>OW</t>
    </r>
    <r>
      <rPr>
        <sz val="10"/>
        <rFont val="Arial"/>
        <family val="2"/>
      </rPr>
      <t>)</t>
    </r>
  </si>
  <si>
    <r>
      <t>Speed limit (</t>
    </r>
    <r>
      <rPr>
        <sz val="10"/>
        <color rgb="FFFF0000"/>
        <rFont val="Arial"/>
        <family val="2"/>
      </rPr>
      <t>4U and 4D</t>
    </r>
    <r>
      <rPr>
        <sz val="10"/>
        <rFont val="Arial"/>
        <family val="2"/>
      </rPr>
      <t>)</t>
    </r>
  </si>
  <si>
    <r>
      <t>Lane width (</t>
    </r>
    <r>
      <rPr>
        <sz val="10"/>
        <color rgb="FFFF0000"/>
        <rFont val="Arial"/>
        <family val="2"/>
      </rPr>
      <t>2U and OW</t>
    </r>
    <r>
      <rPr>
        <sz val="10"/>
        <rFont val="Arial"/>
        <family val="2"/>
      </rPr>
      <t>)</t>
    </r>
  </si>
  <si>
    <r>
      <t>Presence of sidewalk buffer (</t>
    </r>
    <r>
      <rPr>
        <sz val="10"/>
        <color rgb="FFFF0000"/>
        <rFont val="Arial"/>
        <family val="2"/>
      </rPr>
      <t>2U</t>
    </r>
    <r>
      <rPr>
        <sz val="10"/>
        <rFont val="Arial"/>
        <family val="2"/>
      </rPr>
      <t>)</t>
    </r>
  </si>
  <si>
    <t>Two-lanes</t>
  </si>
  <si>
    <t>Three-lanes</t>
  </si>
  <si>
    <t>AF 6p,r</t>
  </si>
  <si>
    <t>from Equations 12-X6 and 12-X7</t>
  </si>
  <si>
    <t>AADP</t>
  </si>
  <si>
    <t>Table 12-X1. SPF Coefficients for Total Pedestrian Collisions on Roadway Segments</t>
  </si>
  <si>
    <t>Coefficients use in Eqn. 12-X1</t>
  </si>
  <si>
    <r>
      <t>Initial N</t>
    </r>
    <r>
      <rPr>
        <b/>
        <vertAlign val="subscript"/>
        <sz val="10"/>
        <rFont val="Arial"/>
        <family val="2"/>
      </rPr>
      <t>pedbase rs</t>
    </r>
  </si>
  <si>
    <t>from Table 12-X1</t>
  </si>
  <si>
    <t>from Equation 12-X2</t>
  </si>
  <si>
    <t>Combined AFs</t>
  </si>
  <si>
    <t>AF p,r (Combined)</t>
  </si>
  <si>
    <t>(7) from Worksheet X1</t>
  </si>
  <si>
    <t>Input Data for Pedestrian and Bicycle Collisions</t>
  </si>
  <si>
    <t>Select type of SPF to calculate pedestrian and bicycle collisions</t>
  </si>
  <si>
    <t>Type of SPF to Calculate Pedestrian Collisions</t>
  </si>
  <si>
    <t>(4)*(5)*(6)*(7)</t>
  </si>
  <si>
    <t>Worksheet X2 -- Pedestrian Collisions for Urban and Suburban Roadway Segments (Applicable to 2U, 4U, 4D, and OW)</t>
  </si>
  <si>
    <t>AF for Presence of Buffered Bike Lane</t>
  </si>
  <si>
    <t>AF 1b,r</t>
  </si>
  <si>
    <t>from Table 12-X9</t>
  </si>
  <si>
    <t>AF 2b,r</t>
  </si>
  <si>
    <t>AF 3b,r</t>
  </si>
  <si>
    <t>from Table 12-X10</t>
  </si>
  <si>
    <t>AF 4b,r</t>
  </si>
  <si>
    <t>AF b,r (Combined)</t>
  </si>
  <si>
    <t>Presence of buffered bike lane</t>
  </si>
  <si>
    <r>
      <t>AF</t>
    </r>
    <r>
      <rPr>
        <b/>
        <i/>
        <vertAlign val="subscript"/>
        <sz val="12"/>
        <color rgb="FF000000"/>
        <rFont val="Times New Roman"/>
        <family val="1"/>
      </rPr>
      <t>1b,r</t>
    </r>
    <r>
      <rPr>
        <b/>
        <sz val="12"/>
        <color rgb="FF000000"/>
        <rFont val="Times New Roman"/>
        <family val="1"/>
      </rPr>
      <t xml:space="preserve"> </t>
    </r>
  </si>
  <si>
    <t>Present on at least one side of the road</t>
  </si>
  <si>
    <r>
      <t>AF</t>
    </r>
    <r>
      <rPr>
        <b/>
        <i/>
        <vertAlign val="subscript"/>
        <sz val="12"/>
        <color rgb="FF000000"/>
        <rFont val="Times New Roman"/>
        <family val="1"/>
      </rPr>
      <t>3b,r</t>
    </r>
    <r>
      <rPr>
        <b/>
        <sz val="12"/>
        <color rgb="FF000000"/>
        <rFont val="Times New Roman"/>
        <family val="1"/>
      </rPr>
      <t xml:space="preserve"> </t>
    </r>
  </si>
  <si>
    <t>Worksheet X4 -- Bicycle Collisions for Urban and Suburban Roadway Segments (Applicable to 2U, 4U, 4D, and OW)</t>
  </si>
  <si>
    <t>from Table 12-X2</t>
  </si>
  <si>
    <r>
      <t>Initial N</t>
    </r>
    <r>
      <rPr>
        <b/>
        <vertAlign val="subscript"/>
        <sz val="10"/>
        <rFont val="Arial"/>
        <family val="2"/>
      </rPr>
      <t>bikebase rs</t>
    </r>
  </si>
  <si>
    <t>(7) from Worksheet X3</t>
  </si>
  <si>
    <t>Overdispersion    parameter       (k)</t>
  </si>
  <si>
    <t>Coefficients use in Eqn. 12-X4</t>
  </si>
  <si>
    <t>Table 12-X2. SPF Coefficients for Total Bicycle Collisions on Roadway Segments</t>
  </si>
  <si>
    <t>from Equation 12-X4</t>
  </si>
  <si>
    <t>Multiple- and Single Vehicle Collisions</t>
  </si>
  <si>
    <t>Pedestrian Collisions</t>
  </si>
  <si>
    <t>Bicycle   Collisions</t>
  </si>
  <si>
    <r>
      <t>Calibration Factors (C</t>
    </r>
    <r>
      <rPr>
        <vertAlign val="subscript"/>
        <sz val="10"/>
        <rFont val="Arial"/>
        <family val="2"/>
      </rPr>
      <t>r</t>
    </r>
    <r>
      <rPr>
        <sz val="10"/>
        <rFont val="Arial"/>
        <family val="2"/>
      </rPr>
      <t>)</t>
    </r>
  </si>
  <si>
    <t>Worksheet 1J -- Bicycle Collisions for Urban and Suburban Roadway Segments (Applicable to 3T and 5T)</t>
  </si>
  <si>
    <t>Worksheet X3-- Adjustment Factors for Bicycle Collisions on Urban and Suburban Roadway Segments (Applicable to 2U, 4U, 4D, and OW)</t>
  </si>
  <si>
    <t>Worksheet X5. Input Data for Pedestrian and Bicycle Models Based on RAP Methodology for Urban and Suburban Roadway Segments</t>
  </si>
  <si>
    <t>Worksheet X6. Pedestrian Collisions for Urban and Suburban Roadway Segments (Based on RAP Methodology)</t>
  </si>
  <si>
    <t>Midblock Locations</t>
  </si>
  <si>
    <t>from Worksheet X6</t>
  </si>
  <si>
    <t>(7) from Worksheet 1H;</t>
  </si>
  <si>
    <r>
      <t>Sum of all pedestrian crossing volumes (AADP</t>
    </r>
    <r>
      <rPr>
        <vertAlign val="subscript"/>
        <sz val="10"/>
        <rFont val="Arial"/>
        <family val="2"/>
      </rPr>
      <t>crossing</t>
    </r>
    <r>
      <rPr>
        <sz val="10"/>
        <rFont val="Arial"/>
        <family val="2"/>
      </rPr>
      <t>)</t>
    </r>
  </si>
  <si>
    <r>
      <t>Sum of all bicycle crossing volumes (AADB</t>
    </r>
    <r>
      <rPr>
        <vertAlign val="subscript"/>
        <sz val="10"/>
        <rFont val="Arial"/>
        <family val="2"/>
      </rPr>
      <t>crossing</t>
    </r>
    <r>
      <rPr>
        <sz val="10"/>
        <rFont val="Arial"/>
        <family val="2"/>
      </rPr>
      <t>)</t>
    </r>
  </si>
  <si>
    <t>Intersection Types</t>
  </si>
  <si>
    <t>4SG (1x2)</t>
  </si>
  <si>
    <t>Table 12-14. SPF Coefficients for Total Pedestrian Collisions at Intersections</t>
  </si>
  <si>
    <r>
      <t>AADT</t>
    </r>
    <r>
      <rPr>
        <b/>
        <vertAlign val="subscript"/>
        <sz val="10"/>
        <rFont val="Arial"/>
        <family val="2"/>
      </rPr>
      <t>total</t>
    </r>
  </si>
  <si>
    <r>
      <t>AADP</t>
    </r>
    <r>
      <rPr>
        <b/>
        <vertAlign val="subscript"/>
        <sz val="10"/>
        <rFont val="Arial"/>
        <family val="2"/>
      </rPr>
      <t>crossing</t>
    </r>
  </si>
  <si>
    <r>
      <t>AADB</t>
    </r>
    <r>
      <rPr>
        <b/>
        <vertAlign val="subscript"/>
        <sz val="10"/>
        <rFont val="Arial"/>
        <family val="2"/>
      </rPr>
      <t>crossing</t>
    </r>
  </si>
  <si>
    <t>Coefficients use in Eqn. 12-31</t>
  </si>
  <si>
    <t>Table 12-X3. SPF Coefficients for Total Bicycle Collisions at Intersections</t>
  </si>
  <si>
    <t>Overdispersion    parameter          (k)</t>
  </si>
  <si>
    <t>Overdispersion    parameter              (k)</t>
  </si>
  <si>
    <t>Right-turn-on-red</t>
  </si>
  <si>
    <r>
      <t>AF</t>
    </r>
    <r>
      <rPr>
        <b/>
        <i/>
        <vertAlign val="subscript"/>
        <sz val="12"/>
        <color rgb="FF000000"/>
        <rFont val="Times New Roman"/>
        <family val="1"/>
      </rPr>
      <t>1p,i</t>
    </r>
  </si>
  <si>
    <t>Allowed on all approaches</t>
  </si>
  <si>
    <t>Prohibited at one or more approaches</t>
  </si>
  <si>
    <t>Type of left-turn signal phasing</t>
  </si>
  <si>
    <r>
      <t>AF</t>
    </r>
    <r>
      <rPr>
        <b/>
        <i/>
        <vertAlign val="subscript"/>
        <sz val="12"/>
        <color rgb="FF000000"/>
        <rFont val="Times New Roman"/>
        <family val="1"/>
      </rPr>
      <t>2p,i</t>
    </r>
  </si>
  <si>
    <t>All permissive</t>
  </si>
  <si>
    <t>Protected/permissive or protected/protected</t>
  </si>
  <si>
    <t>Table 12-X14. AF for Presence of Bicycle Facility</t>
  </si>
  <si>
    <t>Presence of at least one bicycle facility entering the intersection</t>
  </si>
  <si>
    <r>
      <t>AF</t>
    </r>
    <r>
      <rPr>
        <b/>
        <i/>
        <vertAlign val="subscript"/>
        <sz val="12"/>
        <color rgb="FF000000"/>
        <rFont val="Times New Roman"/>
        <family val="1"/>
      </rPr>
      <t>1b,i</t>
    </r>
  </si>
  <si>
    <r>
      <t>AF</t>
    </r>
    <r>
      <rPr>
        <b/>
        <i/>
        <vertAlign val="subscript"/>
        <sz val="12"/>
        <color rgb="FF000000"/>
        <rFont val="Times New Roman"/>
        <family val="1"/>
      </rPr>
      <t>2b,i</t>
    </r>
  </si>
  <si>
    <t>Table 12-X15. AF for Left-Turn Signal Phasing</t>
  </si>
  <si>
    <t>Intesection Type</t>
  </si>
  <si>
    <r>
      <t>Calibration Factors (C</t>
    </r>
    <r>
      <rPr>
        <vertAlign val="subscript"/>
        <sz val="10"/>
        <rFont val="Arial"/>
        <family val="2"/>
      </rPr>
      <t>i</t>
    </r>
    <r>
      <rPr>
        <sz val="10"/>
        <rFont val="Arial"/>
        <family val="2"/>
      </rPr>
      <t>)</t>
    </r>
  </si>
  <si>
    <t>Worksheet 2B -- Adjustment Factors for Urban and Suburban Arterial Intersections (Multiple- and Single-Vehicle Collisions)</t>
  </si>
  <si>
    <t>AF for Left-Turn Lanes</t>
  </si>
  <si>
    <t>AF for Left-Turn Signal Phasing</t>
  </si>
  <si>
    <t>AF for Right-Turn Lanes</t>
  </si>
  <si>
    <t>AF for Right Turn on Red</t>
  </si>
  <si>
    <t>AF for Red Light Cameras</t>
  </si>
  <si>
    <t>AF 1i</t>
  </si>
  <si>
    <t>AF 2i</t>
  </si>
  <si>
    <t>AF 3i</t>
  </si>
  <si>
    <t>AF 4i</t>
  </si>
  <si>
    <t>AF 5i</t>
  </si>
  <si>
    <t>AF 6i</t>
  </si>
  <si>
    <t>AF COMB</t>
  </si>
  <si>
    <t>Calculations for AF2i</t>
  </si>
  <si>
    <t>Leg #1 AF:</t>
  </si>
  <si>
    <t>Leg #2 AF:</t>
  </si>
  <si>
    <t>Leg #3 AF:</t>
  </si>
  <si>
    <t>Leg #4 AF:</t>
  </si>
  <si>
    <t>Calculations for AF6i</t>
  </si>
  <si>
    <t>AF6i :</t>
  </si>
  <si>
    <t>Worksheet 2H -- Adjustment Factors for Pedestrian Collisions for Urban and Suburban Arterial Intersections (4SG)</t>
  </si>
  <si>
    <t>AF for Right-Turn-On-Red</t>
  </si>
  <si>
    <t>AF1p,i</t>
  </si>
  <si>
    <t>from Table 12-X12</t>
  </si>
  <si>
    <t>AF2p,i</t>
  </si>
  <si>
    <t>All Permissive</t>
  </si>
  <si>
    <t>AF for Presence of Bicycle Facility</t>
  </si>
  <si>
    <t>AF1b,i</t>
  </si>
  <si>
    <t>AF2b,i</t>
  </si>
  <si>
    <t>from Table 12-X3</t>
  </si>
  <si>
    <t>from Equation 12-X5</t>
  </si>
  <si>
    <r>
      <t>Predicted N</t>
    </r>
    <r>
      <rPr>
        <b/>
        <i/>
        <vertAlign val="subscript"/>
        <sz val="10"/>
        <rFont val="Arial"/>
        <family val="2"/>
      </rPr>
      <t>bikei</t>
    </r>
  </si>
  <si>
    <r>
      <t>N</t>
    </r>
    <r>
      <rPr>
        <b/>
        <i/>
        <vertAlign val="subscript"/>
        <sz val="10"/>
        <rFont val="Arial"/>
        <family val="2"/>
      </rPr>
      <t>bikebase int</t>
    </r>
  </si>
  <si>
    <r>
      <t>N</t>
    </r>
    <r>
      <rPr>
        <b/>
        <i/>
        <vertAlign val="subscript"/>
        <sz val="10"/>
        <rFont val="Arial"/>
        <family val="2"/>
      </rPr>
      <t>pedbase</t>
    </r>
    <r>
      <rPr>
        <b/>
        <vertAlign val="subscript"/>
        <sz val="10"/>
        <rFont val="Arial"/>
        <family val="2"/>
      </rPr>
      <t xml:space="preserve"> int</t>
    </r>
  </si>
  <si>
    <t>Worksheet 2J-- Bicycle Collisions for Urban and Suburban Arterial Intersections</t>
  </si>
  <si>
    <t>Type of SPF to Calculate Bicycle Collisions</t>
  </si>
  <si>
    <t>Worksheet X7. Bicycle Collisions for Urban and Suburban Roadway Segments (Based on RAP Methodology)</t>
  </si>
  <si>
    <t>Worksheet X8--Pedestrian and Bicycle Collisions from Segment Models Based on RAP Methodology</t>
  </si>
  <si>
    <t>Worksheet X9 -- Adjustment Factors for Bicycle Collisions for Urban and Suburban Arterial Intersections (4SG)</t>
  </si>
  <si>
    <t>Worksheet X10. Input Data for Pedestrian and Bicycle Models Based on RAP Methodology for Urban and Suburban intersections</t>
  </si>
  <si>
    <t>Parameters</t>
  </si>
  <si>
    <t>Worksheet X11. Pedestrian Collisions for Urban and Suburban Intersections (Based on RAP Methodology)</t>
  </si>
  <si>
    <r>
      <t>N</t>
    </r>
    <r>
      <rPr>
        <vertAlign val="subscript"/>
        <sz val="11"/>
        <color theme="1"/>
        <rFont val="Calibri"/>
        <family val="2"/>
        <scheme val="minor"/>
      </rPr>
      <t>unadjusted-bikei-major</t>
    </r>
    <r>
      <rPr>
        <sz val="11"/>
        <color rgb="FF000000"/>
        <rFont val="Calibri"/>
        <family val="2"/>
        <charset val="1"/>
      </rPr>
      <t xml:space="preserve"> (Equation 12-X42)</t>
    </r>
  </si>
  <si>
    <r>
      <t>N</t>
    </r>
    <r>
      <rPr>
        <b/>
        <vertAlign val="subscript"/>
        <sz val="11"/>
        <color rgb="FF000000"/>
        <rFont val="Calibri"/>
        <family val="2"/>
        <charset val="1"/>
      </rPr>
      <t>int-bike-C</t>
    </r>
    <r>
      <rPr>
        <b/>
        <sz val="11"/>
        <color rgb="FF000000"/>
        <rFont val="Calibri"/>
        <family val="2"/>
        <charset val="1"/>
      </rPr>
      <t xml:space="preserve"> </t>
    </r>
  </si>
  <si>
    <r>
      <t>N</t>
    </r>
    <r>
      <rPr>
        <b/>
        <vertAlign val="subscript"/>
        <sz val="11"/>
        <color rgb="FF000000"/>
        <rFont val="Calibri"/>
        <family val="2"/>
        <charset val="1"/>
      </rPr>
      <t>int-bike</t>
    </r>
    <r>
      <rPr>
        <b/>
        <sz val="11"/>
        <color rgb="FF000000"/>
        <rFont val="Calibri"/>
        <family val="2"/>
        <charset val="1"/>
      </rPr>
      <t xml:space="preserve"> </t>
    </r>
  </si>
  <si>
    <r>
      <t>N</t>
    </r>
    <r>
      <rPr>
        <b/>
        <vertAlign val="subscript"/>
        <sz val="11"/>
        <color rgb="FF000000"/>
        <rFont val="Calibri"/>
        <family val="2"/>
        <charset val="1"/>
      </rPr>
      <t>int-bike-K</t>
    </r>
    <r>
      <rPr>
        <b/>
        <sz val="11"/>
        <color rgb="FF000000"/>
        <rFont val="Calibri"/>
        <family val="2"/>
        <charset val="1"/>
      </rPr>
      <t xml:space="preserve"> </t>
    </r>
  </si>
  <si>
    <r>
      <t>N</t>
    </r>
    <r>
      <rPr>
        <b/>
        <vertAlign val="subscript"/>
        <sz val="11"/>
        <color rgb="FF000000"/>
        <rFont val="Calibri"/>
        <family val="2"/>
        <charset val="1"/>
      </rPr>
      <t>int-bike-A</t>
    </r>
    <r>
      <rPr>
        <b/>
        <sz val="11"/>
        <color rgb="FF000000"/>
        <rFont val="Calibri"/>
        <family val="2"/>
        <charset val="1"/>
      </rPr>
      <t xml:space="preserve"> </t>
    </r>
  </si>
  <si>
    <r>
      <t>N</t>
    </r>
    <r>
      <rPr>
        <b/>
        <vertAlign val="subscript"/>
        <sz val="11"/>
        <color rgb="FF000000"/>
        <rFont val="Calibri"/>
        <family val="2"/>
        <charset val="1"/>
      </rPr>
      <t>int-bike-B</t>
    </r>
    <r>
      <rPr>
        <b/>
        <sz val="11"/>
        <color rgb="FF000000"/>
        <rFont val="Calibri"/>
        <family val="2"/>
        <charset val="1"/>
      </rPr>
      <t xml:space="preserve"> </t>
    </r>
  </si>
  <si>
    <t>from Worksheet X12</t>
  </si>
  <si>
    <t>from Worksheet X11</t>
  </si>
  <si>
    <t>Worksheet X13--Pedestrian and Bicycle Collisions from Segment Models Based on RAP Methodology</t>
  </si>
  <si>
    <t>Predicted average crash frequency (crashes/year)                                      (Excluding Ped &amp; Bike Collisions)</t>
  </si>
  <si>
    <r>
      <t>Observed crashes,</t>
    </r>
    <r>
      <rPr>
        <sz val="10"/>
        <rFont val="Arial"/>
        <family val="2"/>
      </rPr>
      <t xml:space="preserve">   N</t>
    </r>
    <r>
      <rPr>
        <vertAlign val="subscript"/>
        <sz val="10"/>
        <rFont val="Arial"/>
        <family val="2"/>
      </rPr>
      <t>observed</t>
    </r>
    <r>
      <rPr>
        <sz val="10"/>
        <rFont val="Arial"/>
        <family val="2"/>
      </rPr>
      <t xml:space="preserve"> (crashes/year)</t>
    </r>
    <r>
      <rPr>
        <b/>
        <sz val="10"/>
        <rFont val="Arial"/>
        <family val="2"/>
      </rPr>
      <t xml:space="preserve"> (Excluding Ped &amp; Bike Collisions)</t>
    </r>
  </si>
  <si>
    <r>
      <t>Expected average crash frequency, N</t>
    </r>
    <r>
      <rPr>
        <b/>
        <vertAlign val="subscript"/>
        <sz val="10"/>
        <rFont val="Arial"/>
        <family val="2"/>
      </rPr>
      <t>expected</t>
    </r>
    <r>
      <rPr>
        <b/>
        <sz val="10"/>
        <rFont val="Arial"/>
        <family val="2"/>
      </rPr>
      <t xml:space="preserve"> (Excluding Ped &amp; Bike Collisions)</t>
    </r>
  </si>
  <si>
    <r>
      <t xml:space="preserve">Analysis for the urban and suburban arterial segment analysis. The associated HSM worksheets are  Worksheets 1A, 1B, 1C, 1D, 1E, 1F, 1G, 1H, 1I, 1J, 1K, and 1L. </t>
    </r>
    <r>
      <rPr>
        <sz val="10"/>
        <color rgb="FFFF0000"/>
        <rFont val="Arial"/>
        <family val="2"/>
      </rPr>
      <t>Updated to include estimates of pedestrian and bicycle crashes.</t>
    </r>
  </si>
  <si>
    <r>
      <t xml:space="preserve">Analysis for the urban and suburban arterial intersection analysis. The associated worksheets are Worksheets 2A, 2B, 2C, 2D, 2E, 2F, 2G, 2H, 2I, 2J, 2K, and 2L. Worksheets specific to STOP control or traffic signals may be blank if they do not apply to the specific intersection type selected for analysis. </t>
    </r>
    <r>
      <rPr>
        <sz val="10"/>
        <color rgb="FFFF0000"/>
        <rFont val="Arial"/>
        <family val="2"/>
      </rPr>
      <t>Updated to include estimates of pedestrian and bicycle crashes.</t>
    </r>
  </si>
  <si>
    <r>
      <t xml:space="preserve">Analysis for site-specific EB analysis using results from the urban segment and intersection worksheets.  This analysis can be performed if the analyst knows the exact location of historic crashes within the study limits. The associated HSM worksheets are Worksheets 3A, 3B, and 3C. </t>
    </r>
    <r>
      <rPr>
        <sz val="10"/>
        <color rgb="FFFF0000"/>
        <rFont val="Arial"/>
        <family val="2"/>
      </rPr>
      <t>Updates to this worksheet have been started to include estimates for pedestrian and bicycle crashes, but the updates are not complete (WORK IN PROGRESS).</t>
    </r>
  </si>
  <si>
    <r>
      <t xml:space="preserve">Analysis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4B, and 4C. </t>
    </r>
    <r>
      <rPr>
        <sz val="10"/>
        <color rgb="FFFF0000"/>
        <rFont val="Arial"/>
        <family val="2"/>
      </rPr>
      <t>Updates to this worksheet have been started to include estimates for pedestrian and bicycle crashes, but the updates are not complete (WORK IN PROGRESS).</t>
    </r>
  </si>
  <si>
    <t>Ped&amp;Bike (Segments)</t>
  </si>
  <si>
    <r>
      <t xml:space="preserve">Analysis of pedestrian and bicycle collisions on segments of urban and suburban arterials that uses lookup tables from exhibits included in the worksheet "Ped&amp;Bike (Segment Results)". Lookup tables for the calculations are provided in "Reference Tables (Ped Segment)" and "Reference Tables (Bike Segment)" worksheets. This analysis procedure was developed in NCHRP 17-84. </t>
    </r>
    <r>
      <rPr>
        <b/>
        <sz val="10"/>
        <color rgb="FFFF0000"/>
        <rFont val="Arial"/>
        <family val="2"/>
      </rPr>
      <t>An analyst uses this spreadsheet when they select to use "SPFs based on modified RAP methodology (NOT applicable with EB method)"</t>
    </r>
  </si>
  <si>
    <t>Ped&amp;Bike (Intersections)</t>
  </si>
  <si>
    <r>
      <t xml:space="preserve">Analysis of pedestrian and bicycle collisions for intersectons on urban and suburban arterials that uses lookup tables from exhibits included in the worksheet "Ped&amp;Bike (Intersection Results)". Lookup tables for the calculations are provided in "Reference Tables (Ped Intersct)" and "Reference Tables (Bike Intersct)" worksheets. This analysis procedure was developed in NCHRP 17-84. </t>
    </r>
    <r>
      <rPr>
        <b/>
        <sz val="10"/>
        <color rgb="FFFF0000"/>
        <rFont val="Arial"/>
        <family val="2"/>
      </rPr>
      <t>An analyst uses this spreadsheet when they select to use "SPFs based on modified RAP methodology (NOT applicable with EB method)".</t>
    </r>
  </si>
  <si>
    <t>Ped&amp;Bike (Segment Results)</t>
  </si>
  <si>
    <t>Summary of calculations for pedestrian and bicycle crashes on segments based on user input from "Ped&amp;Bike (Segment)" worksheet. Lookup tables for the calculations are provided in "Reference Tables (Ped Segment)" and "Reference Tables (Bike Segment)" worksheets. This analysis procedure was developed in NCHRP 17-84.</t>
  </si>
  <si>
    <t>Ped&amp;Bike (Intersection Results)</t>
  </si>
  <si>
    <t>Summary of calculations for pedestrian and bicycle crashes at intersections based on user input from "Ped&amp;Bike (Intersections)" worksheet. Lookup tables for the calculations are provided in "Reference Tables (Ped Intersct)" and "Reference Tables (Bike Intersct)" worksheets. This analysis procedure was developed in NCHRP 17-84.</t>
  </si>
  <si>
    <t>Reference Tables (Ped Segment)</t>
  </si>
  <si>
    <t>Includes reference tables used for analysis of pedestrian crashes on roadway segments. The tables reference tables from the NCHRP 17-84 Final Report.</t>
  </si>
  <si>
    <t>Reference Tables (Bike Segment)</t>
  </si>
  <si>
    <t>Includes reference tables used for analysis of bicycle crashes on roadway segments. The tables reference tables from the NCHRP 17-84 Final Report.</t>
  </si>
  <si>
    <t>Reference Tables (Ped Intersct)</t>
  </si>
  <si>
    <t>Includes reference tables used for analysis of pedestrian crashes at intersections. The tables reference tables from the NCHRP 17-84 Final Report.</t>
  </si>
  <si>
    <t>Reference Tables (Bike Intersct)</t>
  </si>
  <si>
    <t>Includes reference tables used for analysis of bicycle crashes at intersections. The tables reference tables from the NCHRP 17-84 Final Report.</t>
  </si>
  <si>
    <t>March, 2022</t>
  </si>
  <si>
    <t>Updated calculations to include analysis of pedestrian and bicycle crashes based on research from NCHRP 17-84.</t>
  </si>
  <si>
    <t>Darren Torbic (d-torbic@tti.tamu.edu)</t>
  </si>
  <si>
    <t>March, 2022 by Darren Torbic</t>
  </si>
  <si>
    <t>Email: d-torbic@tti.tamu.edu</t>
  </si>
  <si>
    <t>This spreadsheet has been updated to incorporate analysis of pedestrian and bicycle crashes based on the results of NCHRP Project 17-84.</t>
  </si>
  <si>
    <t>Two-lane undivided (3ST)</t>
  </si>
  <si>
    <t>Two-lane undivided (3SG)</t>
  </si>
  <si>
    <t>Two-lane undivided (4ST)</t>
  </si>
  <si>
    <t>Two-lane undivided (4SG)</t>
  </si>
  <si>
    <t>Multilane undivided (3ST)</t>
  </si>
  <si>
    <t>Multilane undivided (3SG)</t>
  </si>
  <si>
    <t>Multilane undivided (4ST)</t>
  </si>
  <si>
    <t>Mulilane undivided (4SG)</t>
  </si>
  <si>
    <t>Multilane divided (3ST)</t>
  </si>
  <si>
    <t>Multilane divided (3SG)</t>
  </si>
  <si>
    <t>Multilane divided (4ST)</t>
  </si>
  <si>
    <t>Multilane divided (4SG)</t>
  </si>
  <si>
    <t>Multilane undivided (4SG)</t>
  </si>
  <si>
    <t>Updated 8/29/22</t>
  </si>
  <si>
    <t>Table 12-X5. AF for Number of Lanes</t>
  </si>
  <si>
    <t>AF for Number of Bus/Transit Stops</t>
  </si>
  <si>
    <t>from Equation 12-X8</t>
  </si>
  <si>
    <r>
      <t>No. of bus/transit stops within 1000 ft of the center of the roadway segement (</t>
    </r>
    <r>
      <rPr>
        <sz val="10"/>
        <color rgb="FFFF0000"/>
        <rFont val="Arial"/>
        <family val="2"/>
      </rPr>
      <t>2U</t>
    </r>
    <r>
      <rPr>
        <sz val="10"/>
        <rFont val="Arial"/>
        <family val="2"/>
      </rPr>
      <t>)</t>
    </r>
  </si>
  <si>
    <r>
      <t>Presence of buffered bike lane (</t>
    </r>
    <r>
      <rPr>
        <sz val="10"/>
        <color rgb="FFFF0000"/>
        <rFont val="Arial"/>
        <family val="2"/>
      </rPr>
      <t>2U</t>
    </r>
    <r>
      <rPr>
        <sz val="10"/>
        <rFont val="Arial"/>
        <family val="2"/>
      </rPr>
      <t>)</t>
    </r>
  </si>
  <si>
    <r>
      <t>No. of alcohol sales establishments within 1000 ft of the center of the roadway segment (</t>
    </r>
    <r>
      <rPr>
        <sz val="10"/>
        <color rgb="FFFF0000"/>
        <rFont val="Arial"/>
        <family val="2"/>
      </rPr>
      <t>4U, 4D, and OW</t>
    </r>
    <r>
      <rPr>
        <sz val="10"/>
        <rFont val="Arial"/>
        <family val="2"/>
      </rPr>
      <t>)</t>
    </r>
  </si>
  <si>
    <r>
      <t>No. of schools within 1000 ft of the center of the roadway segement (</t>
    </r>
    <r>
      <rPr>
        <sz val="10"/>
        <color rgb="FFFF0000"/>
        <rFont val="Arial"/>
        <family val="2"/>
      </rPr>
      <t>2U, 4U, and 4D</t>
    </r>
    <r>
      <rPr>
        <sz val="10"/>
        <rFont val="Arial"/>
        <family val="2"/>
      </rPr>
      <t>)</t>
    </r>
  </si>
  <si>
    <t>AF for Number of Schools</t>
  </si>
  <si>
    <t>AF for Number of Alcohol Sales Establishments</t>
  </si>
  <si>
    <t>from Equation 12-X9</t>
  </si>
  <si>
    <t>from Equation 12-X10</t>
  </si>
  <si>
    <t>from Equations 12-X11</t>
  </si>
  <si>
    <t>Table 12-X6. AF for Presence of Buffered Bike Lane</t>
  </si>
  <si>
    <t>Table 12-X7. AF for Speed Limit</t>
  </si>
  <si>
    <r>
      <t>AF</t>
    </r>
    <r>
      <rPr>
        <b/>
        <i/>
        <vertAlign val="subscript"/>
        <sz val="12"/>
        <color rgb="FF000000"/>
        <rFont val="Times New Roman"/>
        <family val="1"/>
      </rPr>
      <t>3p,r</t>
    </r>
    <r>
      <rPr>
        <b/>
        <sz val="12"/>
        <color rgb="FF000000"/>
        <rFont val="Times New Roman"/>
        <family val="1"/>
      </rPr>
      <t xml:space="preserve"> </t>
    </r>
  </si>
  <si>
    <t>Table 12-X8. AF for Number of Lanes</t>
  </si>
  <si>
    <r>
      <t>AF</t>
    </r>
    <r>
      <rPr>
        <b/>
        <i/>
        <vertAlign val="subscript"/>
        <sz val="12"/>
        <color rgb="FF000000"/>
        <rFont val="Times New Roman"/>
        <family val="1"/>
      </rPr>
      <t>4b,r</t>
    </r>
    <r>
      <rPr>
        <b/>
        <sz val="12"/>
        <color rgb="FF000000"/>
        <rFont val="Times New Roman"/>
        <family val="1"/>
      </rPr>
      <t xml:space="preserve"> </t>
    </r>
  </si>
  <si>
    <t>AF 5b,r</t>
  </si>
  <si>
    <t>from Equation 12-X12</t>
  </si>
  <si>
    <t>AF 6b,r</t>
  </si>
  <si>
    <t>from Equation 12-X13</t>
  </si>
  <si>
    <t>from Equations 12-X14 and 12-X15</t>
  </si>
  <si>
    <t>(1)*(2)*(3)*(4)*(5)*(6)*(7)</t>
  </si>
  <si>
    <t>12 ft</t>
  </si>
  <si>
    <t>AF 7b,r</t>
  </si>
  <si>
    <t>(8) from Worksheet 1I and 1J; (8) from Worksheet X2; (8) from Worksheet X4; and (2) and (3) from Worksheet X8</t>
  </si>
  <si>
    <t>Collision with pedestrian (from Worksheets 1I, X2, and X8)</t>
  </si>
  <si>
    <t>(8) from Worksheet 1I and 1J; (8) from Worksheet X2; (8) from Worksheet X4); and (2) and (3) from Worksheet X8</t>
  </si>
  <si>
    <t>Table 12-X9. AF for Right-Turn-On-Red</t>
  </si>
  <si>
    <t>Table 12-X10. AF for Left-Turn Signal Phasing</t>
  </si>
  <si>
    <t>(1)*(2)*(3)</t>
  </si>
  <si>
    <t>AF3p,i</t>
  </si>
  <si>
    <t>from Equation 12-X16</t>
  </si>
  <si>
    <r>
      <t>No. of schools within 1000 ft of the center of the intersection (4SG 2</t>
    </r>
    <r>
      <rPr>
        <sz val="10"/>
        <rFont val="Calibri"/>
        <family val="2"/>
      </rPr>
      <t>×</t>
    </r>
    <r>
      <rPr>
        <sz val="10"/>
        <rFont val="Arial"/>
        <family val="2"/>
      </rPr>
      <t>2)</t>
    </r>
  </si>
  <si>
    <t>No. of alcohol sales establishments within 1000 ft of the center of the intersection (4SG 2×2)</t>
  </si>
  <si>
    <t>Type of left-turn phasing (4SG 2×2)</t>
  </si>
  <si>
    <t>Presence of at least one bicycle facility entering the intersection (4SG 2×2)</t>
  </si>
  <si>
    <t>from Equation 12-X17</t>
  </si>
  <si>
    <t>from Table 12-X11</t>
  </si>
  <si>
    <t>AF3b,i</t>
  </si>
  <si>
    <t>AF p,i (Combined)</t>
  </si>
  <si>
    <t>AF b,i (Combined)</t>
  </si>
  <si>
    <t>Worksheet 2G -- Vehicle-Pedestrian Collisions for Urban and Suburban Arterial Stop-Controlled Intersections</t>
  </si>
  <si>
    <t>(7)*</t>
  </si>
  <si>
    <r>
      <t>Predicted N</t>
    </r>
    <r>
      <rPr>
        <b/>
        <vertAlign val="subscript"/>
        <sz val="10"/>
        <rFont val="Arial"/>
        <family val="2"/>
      </rPr>
      <t>bi</t>
    </r>
  </si>
  <si>
    <r>
      <t>f</t>
    </r>
    <r>
      <rPr>
        <b/>
        <i/>
        <vertAlign val="subscript"/>
        <sz val="10"/>
        <rFont val="Arial"/>
        <family val="2"/>
      </rPr>
      <t>pedi</t>
    </r>
  </si>
  <si>
    <t>(9) from Worksheet 2C</t>
  </si>
  <si>
    <t>(9) from Worksheet 2E</t>
  </si>
  <si>
    <r>
      <t>(2)</t>
    </r>
    <r>
      <rPr>
        <sz val="10"/>
        <rFont val="Arial"/>
        <family val="2"/>
      </rPr>
      <t xml:space="preserve"> + (3)</t>
    </r>
  </si>
  <si>
    <t>from Table 12-16</t>
  </si>
  <si>
    <t>(4)*(5)</t>
  </si>
  <si>
    <t>* Column 6 has been removed due to redundant application of calibration factors and inconsistency with HSM Equation 12-30</t>
  </si>
  <si>
    <t>Worksheet 2I -- Pedestrian Collisions for Urban and Suburban Arterial Signalized Intersections</t>
  </si>
  <si>
    <t>(7) from Worksheet 2G, (8) from Worksheets 2I and 2J, and (2) and (3) from Worksheet X13</t>
  </si>
  <si>
    <r>
      <t>AF</t>
    </r>
    <r>
      <rPr>
        <vertAlign val="subscript"/>
        <sz val="11"/>
        <color rgb="FF000000"/>
        <rFont val="Calibri"/>
        <family val="2"/>
        <charset val="1"/>
      </rPr>
      <t>LA1-ped</t>
    </r>
    <r>
      <rPr>
        <sz val="10"/>
        <rFont val="Arial"/>
        <family val="2"/>
      </rPr>
      <t xml:space="preserve"> (Sidewalk or paved shoulder provision)</t>
    </r>
    <r>
      <rPr>
        <sz val="11"/>
        <color rgb="FF000000"/>
        <rFont val="Calibri"/>
        <family val="2"/>
        <charset val="1"/>
      </rPr>
      <t xml:space="preserve"> (Table 12-X16)</t>
    </r>
  </si>
  <si>
    <r>
      <t>AF</t>
    </r>
    <r>
      <rPr>
        <vertAlign val="subscript"/>
        <sz val="11"/>
        <color rgb="FF000000"/>
        <rFont val="Calibri"/>
        <family val="2"/>
        <charset val="1"/>
      </rPr>
      <t>LA2-ped</t>
    </r>
    <r>
      <rPr>
        <sz val="10"/>
        <rFont val="Arial"/>
        <family val="2"/>
      </rPr>
      <t xml:space="preserve"> (Presence of warning signs in school zones)</t>
    </r>
    <r>
      <rPr>
        <sz val="11"/>
        <color rgb="FF000000"/>
        <rFont val="Calibri"/>
        <family val="2"/>
        <charset val="1"/>
      </rPr>
      <t xml:space="preserve"> (Table 12-X17)</t>
    </r>
  </si>
  <si>
    <r>
      <t>AF</t>
    </r>
    <r>
      <rPr>
        <vertAlign val="subscript"/>
        <sz val="11"/>
        <color rgb="FF000000"/>
        <rFont val="Calibri"/>
        <family val="2"/>
        <charset val="1"/>
      </rPr>
      <t>LA6-ped</t>
    </r>
    <r>
      <rPr>
        <sz val="10"/>
        <rFont val="Arial"/>
        <family val="2"/>
      </rPr>
      <t xml:space="preserve"> (Lane width)</t>
    </r>
    <r>
      <rPr>
        <sz val="11"/>
        <color rgb="FF000000"/>
        <rFont val="Calibri"/>
        <family val="2"/>
        <charset val="1"/>
      </rPr>
      <t xml:space="preserve"> (Table 12-X21)</t>
    </r>
  </si>
  <si>
    <r>
      <t>AF</t>
    </r>
    <r>
      <rPr>
        <vertAlign val="subscript"/>
        <sz val="11"/>
        <color rgb="FF000000"/>
        <rFont val="Calibri"/>
        <family val="2"/>
        <charset val="1"/>
      </rPr>
      <t>LA7-ped</t>
    </r>
    <r>
      <rPr>
        <sz val="10"/>
        <rFont val="Arial"/>
        <family val="2"/>
      </rPr>
      <t xml:space="preserve"> (Horizontal curvature)</t>
    </r>
    <r>
      <rPr>
        <sz val="11"/>
        <color rgb="FF000000"/>
        <rFont val="Calibri"/>
        <family val="2"/>
        <charset val="1"/>
      </rPr>
      <t xml:space="preserve"> (Table 12-X22)</t>
    </r>
  </si>
  <si>
    <r>
      <t>AF</t>
    </r>
    <r>
      <rPr>
        <vertAlign val="subscript"/>
        <sz val="11"/>
        <color rgb="FF000000"/>
        <rFont val="Calibri"/>
        <family val="2"/>
        <charset val="1"/>
      </rPr>
      <t>LA8-ped</t>
    </r>
    <r>
      <rPr>
        <sz val="10"/>
        <rFont val="Arial"/>
        <family val="2"/>
      </rPr>
      <t xml:space="preserve"> (Advanced visibility of a curve)</t>
    </r>
    <r>
      <rPr>
        <sz val="11"/>
        <color rgb="FF000000"/>
        <rFont val="Calibri"/>
        <family val="2"/>
        <charset val="1"/>
      </rPr>
      <t xml:space="preserve"> (Table 12-X23)</t>
    </r>
  </si>
  <si>
    <r>
      <t>AF</t>
    </r>
    <r>
      <rPr>
        <vertAlign val="subscript"/>
        <sz val="11"/>
        <color rgb="FF000000"/>
        <rFont val="Calibri"/>
        <family val="2"/>
        <charset val="1"/>
      </rPr>
      <t>LA9-ped</t>
    </r>
    <r>
      <rPr>
        <sz val="10"/>
        <rFont val="Arial"/>
        <family val="2"/>
      </rPr>
      <t xml:space="preserve"> (Percent grade)</t>
    </r>
    <r>
      <rPr>
        <sz val="11"/>
        <color rgb="FF000000"/>
        <rFont val="Calibri"/>
        <family val="2"/>
        <charset val="1"/>
      </rPr>
      <t xml:space="preserve"> (Table 12-X24)</t>
    </r>
  </si>
  <si>
    <r>
      <t>AF</t>
    </r>
    <r>
      <rPr>
        <vertAlign val="subscript"/>
        <sz val="11"/>
        <color rgb="FF000000"/>
        <rFont val="Calibri"/>
        <family val="2"/>
        <charset val="1"/>
      </rPr>
      <t>LA10-ped</t>
    </r>
    <r>
      <rPr>
        <sz val="10"/>
        <rFont val="Arial"/>
        <family val="2"/>
      </rPr>
      <t xml:space="preserve"> (Presence and condition of delineation)</t>
    </r>
    <r>
      <rPr>
        <sz val="11"/>
        <color rgb="FF000000"/>
        <rFont val="Calibri"/>
        <family val="2"/>
        <charset val="1"/>
      </rPr>
      <t xml:space="preserve"> (Table 12-X25)</t>
    </r>
  </si>
  <si>
    <r>
      <t>AF</t>
    </r>
    <r>
      <rPr>
        <vertAlign val="subscript"/>
        <sz val="11"/>
        <color rgb="FF000000"/>
        <rFont val="Calibri"/>
        <family val="2"/>
        <charset val="1"/>
      </rPr>
      <t>LA11-ped</t>
    </r>
    <r>
      <rPr>
        <sz val="10"/>
        <rFont val="Arial"/>
        <family val="2"/>
      </rPr>
      <t xml:space="preserve"> (Shoulder rumble strips)</t>
    </r>
    <r>
      <rPr>
        <sz val="11"/>
        <color rgb="FF000000"/>
        <rFont val="Calibri"/>
        <family val="2"/>
        <charset val="1"/>
      </rPr>
      <t xml:space="preserve"> (Table 12-X26)</t>
    </r>
  </si>
  <si>
    <r>
      <t>AF</t>
    </r>
    <r>
      <rPr>
        <vertAlign val="subscript"/>
        <sz val="11"/>
        <color rgb="FF000000"/>
        <rFont val="Calibri"/>
        <family val="2"/>
        <charset val="1"/>
      </rPr>
      <t>LA12-ped</t>
    </r>
    <r>
      <rPr>
        <sz val="10"/>
        <rFont val="Arial"/>
        <family val="2"/>
      </rPr>
      <t xml:space="preserve"> (Vehicle parking)</t>
    </r>
    <r>
      <rPr>
        <sz val="11"/>
        <color rgb="FF000000"/>
        <rFont val="Calibri"/>
        <family val="2"/>
        <charset val="1"/>
      </rPr>
      <t xml:space="preserve"> (Table 12-X27)</t>
    </r>
  </si>
  <si>
    <r>
      <t>AF</t>
    </r>
    <r>
      <rPr>
        <vertAlign val="subscript"/>
        <sz val="11"/>
        <color rgb="FF000000"/>
        <rFont val="Calibri"/>
        <family val="2"/>
        <charset val="1"/>
      </rPr>
      <t>LA13-ped</t>
    </r>
    <r>
      <rPr>
        <sz val="10"/>
        <rFont val="Arial"/>
        <family val="2"/>
      </rPr>
      <t xml:space="preserve"> (Street lighting)</t>
    </r>
    <r>
      <rPr>
        <sz val="11"/>
        <color rgb="FF000000"/>
        <rFont val="Calibri"/>
        <family val="2"/>
        <charset val="1"/>
      </rPr>
      <t xml:space="preserve"> (Table 12-X29)</t>
    </r>
  </si>
  <si>
    <r>
      <rPr>
        <sz val="10"/>
        <rFont val="Arial"/>
        <family val="2"/>
      </rPr>
      <t>Likelihood</t>
    </r>
    <r>
      <rPr>
        <vertAlign val="subscript"/>
        <sz val="11"/>
        <color rgb="FF000000"/>
        <rFont val="Calibri"/>
        <family val="2"/>
        <charset val="1"/>
      </rPr>
      <t>alongleft-ped</t>
    </r>
    <r>
      <rPr>
        <sz val="11"/>
        <color rgb="FF000000"/>
        <rFont val="Calibri"/>
        <family val="2"/>
        <charset val="1"/>
      </rPr>
      <t xml:space="preserve"> (Equation 12-X22)</t>
    </r>
  </si>
  <si>
    <r>
      <rPr>
        <sz val="10"/>
        <rFont val="Arial"/>
        <family val="2"/>
      </rPr>
      <t>Severity</t>
    </r>
    <r>
      <rPr>
        <vertAlign val="subscript"/>
        <sz val="11"/>
        <color rgb="FF000000"/>
        <rFont val="Calibri"/>
        <family val="2"/>
        <charset val="1"/>
      </rPr>
      <t>alongleft-ped</t>
    </r>
    <r>
      <rPr>
        <sz val="11"/>
        <color rgb="FF000000"/>
        <rFont val="Calibri"/>
        <family val="2"/>
        <charset val="1"/>
      </rPr>
      <t xml:space="preserve"> (Equation 12-X25)</t>
    </r>
  </si>
  <si>
    <r>
      <rPr>
        <sz val="10"/>
        <rFont val="Arial"/>
        <family val="2"/>
      </rPr>
      <t>PFF</t>
    </r>
    <r>
      <rPr>
        <vertAlign val="subscript"/>
        <sz val="11"/>
        <color rgb="FF000000"/>
        <rFont val="Calibri"/>
        <family val="2"/>
        <charset val="1"/>
      </rPr>
      <t>along-left</t>
    </r>
    <r>
      <rPr>
        <sz val="11"/>
        <color rgb="FF000000"/>
        <rFont val="Calibri"/>
        <family val="2"/>
        <charset val="1"/>
      </rPr>
      <t xml:space="preserve"> (Table 12-X15)</t>
    </r>
  </si>
  <si>
    <r>
      <rPr>
        <sz val="10"/>
        <rFont val="Arial"/>
        <family val="2"/>
      </rPr>
      <t>Severity</t>
    </r>
    <r>
      <rPr>
        <vertAlign val="subscript"/>
        <sz val="11"/>
        <color rgb="FF000000"/>
        <rFont val="Calibri"/>
        <family val="2"/>
        <charset val="1"/>
      </rPr>
      <t>alongright-ped</t>
    </r>
    <r>
      <rPr>
        <sz val="11"/>
        <color rgb="FF000000"/>
        <rFont val="Calibri"/>
        <family val="2"/>
        <charset val="1"/>
      </rPr>
      <t xml:space="preserve"> (Equation 12-X26)</t>
    </r>
  </si>
  <si>
    <r>
      <rPr>
        <sz val="10"/>
        <rFont val="Arial"/>
        <family val="2"/>
      </rPr>
      <t>PFF</t>
    </r>
    <r>
      <rPr>
        <vertAlign val="subscript"/>
        <sz val="11"/>
        <color rgb="FF000000"/>
        <rFont val="Calibri"/>
        <family val="2"/>
        <charset val="1"/>
      </rPr>
      <t>along-right</t>
    </r>
    <r>
      <rPr>
        <sz val="11"/>
        <color rgb="FF000000"/>
        <rFont val="Calibri"/>
        <family val="2"/>
        <charset val="1"/>
      </rPr>
      <t xml:space="preserve"> (Table 12-X15)</t>
    </r>
  </si>
  <si>
    <r>
      <t>MVTFF</t>
    </r>
    <r>
      <rPr>
        <vertAlign val="subscript"/>
        <sz val="11"/>
        <color rgb="FF000000"/>
        <rFont val="Calibri"/>
        <family val="2"/>
        <charset val="1"/>
      </rPr>
      <t>pedr</t>
    </r>
    <r>
      <rPr>
        <sz val="11"/>
        <color rgb="FF000000"/>
        <rFont val="Calibri"/>
        <family val="2"/>
        <charset val="1"/>
      </rPr>
      <t xml:space="preserve"> (Equation 12-X28)</t>
    </r>
  </si>
  <si>
    <r>
      <t>MVTSF</t>
    </r>
    <r>
      <rPr>
        <vertAlign val="subscript"/>
        <sz val="11"/>
        <color rgb="FF000000"/>
        <rFont val="Calibri"/>
        <family val="2"/>
        <charset val="1"/>
      </rPr>
      <t>pedr</t>
    </r>
    <r>
      <rPr>
        <sz val="11"/>
        <color rgb="FF000000"/>
        <rFont val="Calibri"/>
        <family val="2"/>
        <charset val="1"/>
      </rPr>
      <t xml:space="preserve"> (Table 12-X14)</t>
    </r>
  </si>
  <si>
    <r>
      <t>AF</t>
    </r>
    <r>
      <rPr>
        <vertAlign val="subscript"/>
        <sz val="11"/>
        <color rgb="FF000000"/>
        <rFont val="Calibri"/>
        <family val="2"/>
        <charset val="1"/>
      </rPr>
      <t>LM2-ped</t>
    </r>
    <r>
      <rPr>
        <sz val="10"/>
        <rFont val="Arial"/>
        <family val="2"/>
      </rPr>
      <t xml:space="preserve"> (School zone warning)</t>
    </r>
    <r>
      <rPr>
        <sz val="11"/>
        <color rgb="FF000000"/>
        <rFont val="Calibri"/>
        <family val="2"/>
        <charset val="1"/>
      </rPr>
      <t xml:space="preserve"> (Table 12-X17)</t>
    </r>
  </si>
  <si>
    <r>
      <t>AF</t>
    </r>
    <r>
      <rPr>
        <vertAlign val="subscript"/>
        <sz val="11"/>
        <color rgb="FF000000"/>
        <rFont val="Calibri"/>
        <family val="2"/>
        <charset val="1"/>
      </rPr>
      <t>LM3-ped</t>
    </r>
    <r>
      <rPr>
        <sz val="10"/>
        <rFont val="Arial"/>
        <family val="2"/>
      </rPr>
      <t xml:space="preserve"> (Pedestrian crossing facility type)</t>
    </r>
    <r>
      <rPr>
        <sz val="11"/>
        <color rgb="FF000000"/>
        <rFont val="Calibri"/>
        <family val="2"/>
        <charset val="1"/>
      </rPr>
      <t xml:space="preserve"> (Table 12-X18)</t>
    </r>
  </si>
  <si>
    <r>
      <t>AF</t>
    </r>
    <r>
      <rPr>
        <vertAlign val="subscript"/>
        <sz val="11"/>
        <color rgb="FF000000"/>
        <rFont val="Calibri"/>
        <family val="2"/>
        <charset val="1"/>
      </rPr>
      <t>LM4-ped</t>
    </r>
    <r>
      <rPr>
        <sz val="10"/>
        <rFont val="Arial"/>
        <family val="2"/>
      </rPr>
      <t xml:space="preserve"> (Advance visibility of a pedestrian crossing)</t>
    </r>
    <r>
      <rPr>
        <sz val="11"/>
        <color rgb="FF000000"/>
        <rFont val="Calibri"/>
        <family val="2"/>
        <charset val="1"/>
      </rPr>
      <t xml:space="preserve"> (Table 12-X19)</t>
    </r>
  </si>
  <si>
    <r>
      <t>AF</t>
    </r>
    <r>
      <rPr>
        <vertAlign val="subscript"/>
        <sz val="11"/>
        <color rgb="FF000000"/>
        <rFont val="Calibri"/>
        <family val="2"/>
        <charset val="1"/>
      </rPr>
      <t>LM5-ped</t>
    </r>
    <r>
      <rPr>
        <sz val="10"/>
        <rFont val="Arial"/>
        <family val="2"/>
      </rPr>
      <t xml:space="preserve"> (Pedestrian fencing)</t>
    </r>
    <r>
      <rPr>
        <sz val="11"/>
        <color rgb="FF000000"/>
        <rFont val="Calibri"/>
        <family val="2"/>
        <charset val="1"/>
      </rPr>
      <t xml:space="preserve"> (Table 12-X20)</t>
    </r>
  </si>
  <si>
    <r>
      <t>AF</t>
    </r>
    <r>
      <rPr>
        <vertAlign val="subscript"/>
        <sz val="11"/>
        <color rgb="FF000000"/>
        <rFont val="Calibri"/>
        <family val="2"/>
        <charset val="1"/>
      </rPr>
      <t>LM12-ped</t>
    </r>
    <r>
      <rPr>
        <sz val="10"/>
        <rFont val="Arial"/>
        <family val="2"/>
      </rPr>
      <t xml:space="preserve"> (Vehicle parking)</t>
    </r>
    <r>
      <rPr>
        <sz val="11"/>
        <color rgb="FF000000"/>
        <rFont val="Calibri"/>
        <family val="2"/>
        <charset val="1"/>
      </rPr>
      <t xml:space="preserve"> (Table 12-X28)</t>
    </r>
  </si>
  <si>
    <r>
      <t>AF</t>
    </r>
    <r>
      <rPr>
        <vertAlign val="subscript"/>
        <sz val="11"/>
        <color rgb="FF000000"/>
        <rFont val="Calibri"/>
        <family val="2"/>
        <charset val="1"/>
      </rPr>
      <t>LM13-ped</t>
    </r>
    <r>
      <rPr>
        <sz val="10"/>
        <rFont val="Arial"/>
        <family val="2"/>
      </rPr>
      <t xml:space="preserve"> (Street lighting)</t>
    </r>
    <r>
      <rPr>
        <sz val="11"/>
        <color rgb="FF000000"/>
        <rFont val="Calibri"/>
        <family val="2"/>
        <charset val="1"/>
      </rPr>
      <t xml:space="preserve"> (Table 12-X29)</t>
    </r>
  </si>
  <si>
    <r>
      <t>AF</t>
    </r>
    <r>
      <rPr>
        <vertAlign val="subscript"/>
        <sz val="11"/>
        <color rgb="FF000000"/>
        <rFont val="Calibri"/>
        <family val="2"/>
        <charset val="1"/>
      </rPr>
      <t>LM14-ped</t>
    </r>
    <r>
      <rPr>
        <sz val="10"/>
        <rFont val="Arial"/>
        <family val="2"/>
      </rPr>
      <t xml:space="preserve"> (Number of traffic lanes to be crossed)</t>
    </r>
    <r>
      <rPr>
        <sz val="11"/>
        <color rgb="FF000000"/>
        <rFont val="Calibri"/>
        <family val="2"/>
        <charset val="1"/>
      </rPr>
      <t xml:space="preserve"> (Table 12-X30)</t>
    </r>
  </si>
  <si>
    <r>
      <t>AF</t>
    </r>
    <r>
      <rPr>
        <vertAlign val="subscript"/>
        <sz val="11"/>
        <color rgb="FF000000"/>
        <rFont val="Calibri"/>
        <family val="2"/>
        <charset val="1"/>
      </rPr>
      <t>LM15-ped</t>
    </r>
    <r>
      <rPr>
        <sz val="10"/>
        <rFont val="Arial"/>
        <family val="2"/>
      </rPr>
      <t xml:space="preserve"> (Median type)</t>
    </r>
    <r>
      <rPr>
        <sz val="11"/>
        <color rgb="FF000000"/>
        <rFont val="Calibri"/>
        <family val="2"/>
        <charset val="1"/>
      </rPr>
      <t xml:space="preserve"> (Table 12-X31)</t>
    </r>
  </si>
  <si>
    <r>
      <rPr>
        <sz val="10"/>
        <rFont val="Arial"/>
        <family val="2"/>
      </rPr>
      <t>Likelihood</t>
    </r>
    <r>
      <rPr>
        <vertAlign val="subscript"/>
        <sz val="11"/>
        <color rgb="FF000000"/>
        <rFont val="Calibri"/>
        <family val="2"/>
        <charset val="1"/>
      </rPr>
      <t>midcrossing-ped</t>
    </r>
    <r>
      <rPr>
        <sz val="11"/>
        <color rgb="FF000000"/>
        <rFont val="Calibri"/>
        <family val="2"/>
        <charset val="1"/>
      </rPr>
      <t xml:space="preserve"> (Equation 12-X24)</t>
    </r>
  </si>
  <si>
    <r>
      <rPr>
        <sz val="10"/>
        <rFont val="Arial"/>
        <family val="2"/>
      </rPr>
      <t>Severity</t>
    </r>
    <r>
      <rPr>
        <vertAlign val="subscript"/>
        <sz val="11"/>
        <color rgb="FF000000"/>
        <rFont val="Calibri"/>
        <family val="2"/>
        <charset val="1"/>
      </rPr>
      <t>midcrossing-ped</t>
    </r>
    <r>
      <rPr>
        <sz val="11"/>
        <color rgb="FF000000"/>
        <rFont val="Calibri"/>
        <family val="2"/>
        <charset val="1"/>
      </rPr>
      <t xml:space="preserve"> (Equation 12-X27)</t>
    </r>
  </si>
  <si>
    <r>
      <rPr>
        <sz val="10"/>
        <rFont val="Arial"/>
        <family val="2"/>
      </rPr>
      <t>N</t>
    </r>
    <r>
      <rPr>
        <vertAlign val="subscript"/>
        <sz val="11"/>
        <color rgb="FF000000"/>
        <rFont val="Calibri"/>
        <family val="2"/>
        <charset val="1"/>
      </rPr>
      <t>midcrossing-ped</t>
    </r>
    <r>
      <rPr>
        <sz val="11"/>
        <color rgb="FF000000"/>
        <rFont val="Calibri"/>
        <family val="2"/>
        <charset val="1"/>
      </rPr>
      <t xml:space="preserve"> (Equation 12-X21)</t>
    </r>
  </si>
  <si>
    <r>
      <t>PFF</t>
    </r>
    <r>
      <rPr>
        <vertAlign val="subscript"/>
        <sz val="11"/>
        <color rgb="FF000000"/>
        <rFont val="Calibri"/>
        <family val="2"/>
        <charset val="1"/>
      </rPr>
      <t>r</t>
    </r>
    <r>
      <rPr>
        <sz val="11"/>
        <color rgb="FF000000"/>
        <rFont val="Calibri"/>
        <family val="2"/>
        <charset val="1"/>
      </rPr>
      <t xml:space="preserve"> (Table 12-X15)</t>
    </r>
  </si>
  <si>
    <r>
      <t>Ft</t>
    </r>
    <r>
      <rPr>
        <vertAlign val="subscript"/>
        <sz val="11"/>
        <color rgb="FF000000"/>
        <rFont val="Calibri"/>
        <family val="2"/>
      </rPr>
      <t>pedr</t>
    </r>
    <r>
      <rPr>
        <sz val="11"/>
        <color rgb="FF000000"/>
        <rFont val="Calibri"/>
        <family val="2"/>
        <charset val="1"/>
      </rPr>
      <t xml:space="preserve"> (Table 12-X13)</t>
    </r>
  </si>
  <si>
    <r>
      <rPr>
        <sz val="10"/>
        <rFont val="Arial"/>
        <family val="2"/>
      </rPr>
      <t>C</t>
    </r>
    <r>
      <rPr>
        <vertAlign val="subscript"/>
        <sz val="11"/>
        <color rgb="FF000000"/>
        <rFont val="Calibri"/>
        <family val="2"/>
        <charset val="1"/>
      </rPr>
      <t>pedr</t>
    </r>
  </si>
  <si>
    <r>
      <t>N</t>
    </r>
    <r>
      <rPr>
        <b/>
        <vertAlign val="subscript"/>
        <sz val="11"/>
        <color rgb="FF000000"/>
        <rFont val="Calibri"/>
        <family val="2"/>
        <charset val="1"/>
      </rPr>
      <t>pedr</t>
    </r>
    <r>
      <rPr>
        <b/>
        <sz val="11"/>
        <color rgb="FF000000"/>
        <rFont val="Calibri"/>
        <family val="2"/>
        <charset val="1"/>
      </rPr>
      <t xml:space="preserve"> (Equation 12-X9)</t>
    </r>
  </si>
  <si>
    <r>
      <t>N</t>
    </r>
    <r>
      <rPr>
        <b/>
        <vertAlign val="subscript"/>
        <sz val="11"/>
        <color rgb="FF000000"/>
        <rFont val="Calibri"/>
        <family val="2"/>
        <charset val="1"/>
      </rPr>
      <t>pedr-K</t>
    </r>
    <r>
      <rPr>
        <b/>
        <sz val="11"/>
        <color rgb="FF000000"/>
        <rFont val="Calibri"/>
        <family val="2"/>
        <charset val="1"/>
      </rPr>
      <t xml:space="preserve"> (Equation 12-X29)</t>
    </r>
  </si>
  <si>
    <r>
      <t>N</t>
    </r>
    <r>
      <rPr>
        <b/>
        <vertAlign val="subscript"/>
        <sz val="11"/>
        <color rgb="FF000000"/>
        <rFont val="Calibri"/>
        <family val="2"/>
        <charset val="1"/>
      </rPr>
      <t>pedr-A</t>
    </r>
    <r>
      <rPr>
        <b/>
        <sz val="11"/>
        <color rgb="FF000000"/>
        <rFont val="Calibri"/>
        <family val="2"/>
        <charset val="1"/>
      </rPr>
      <t xml:space="preserve"> (Equation 12-X30)</t>
    </r>
  </si>
  <si>
    <r>
      <t>N</t>
    </r>
    <r>
      <rPr>
        <b/>
        <vertAlign val="subscript"/>
        <sz val="11"/>
        <color rgb="FF000000"/>
        <rFont val="Calibri"/>
        <family val="2"/>
        <charset val="1"/>
      </rPr>
      <t>pedr-B</t>
    </r>
    <r>
      <rPr>
        <b/>
        <sz val="11"/>
        <color rgb="FF000000"/>
        <rFont val="Calibri"/>
        <family val="2"/>
        <charset val="1"/>
      </rPr>
      <t xml:space="preserve"> (Equation 12-X31)</t>
    </r>
  </si>
  <si>
    <r>
      <t>N</t>
    </r>
    <r>
      <rPr>
        <b/>
        <vertAlign val="subscript"/>
        <sz val="11"/>
        <color rgb="FF000000"/>
        <rFont val="Calibri"/>
        <family val="2"/>
        <charset val="1"/>
      </rPr>
      <t>pedr-C</t>
    </r>
    <r>
      <rPr>
        <b/>
        <sz val="11"/>
        <color rgb="FF000000"/>
        <rFont val="Calibri"/>
        <family val="2"/>
        <charset val="1"/>
      </rPr>
      <t xml:space="preserve"> (Equation 12-X32)</t>
    </r>
  </si>
  <si>
    <r>
      <t>N</t>
    </r>
    <r>
      <rPr>
        <b/>
        <vertAlign val="subscript"/>
        <sz val="11"/>
        <color rgb="FF000000"/>
        <rFont val="Calibri"/>
        <family val="2"/>
        <charset val="1"/>
      </rPr>
      <t>pedr</t>
    </r>
  </si>
  <si>
    <r>
      <t>N</t>
    </r>
    <r>
      <rPr>
        <b/>
        <vertAlign val="subscript"/>
        <sz val="11"/>
        <color rgb="FF000000"/>
        <rFont val="Calibri"/>
        <family val="2"/>
        <charset val="1"/>
      </rPr>
      <t>pedr-K</t>
    </r>
  </si>
  <si>
    <r>
      <t>N</t>
    </r>
    <r>
      <rPr>
        <b/>
        <vertAlign val="subscript"/>
        <sz val="11"/>
        <color rgb="FF000000"/>
        <rFont val="Calibri"/>
        <family val="2"/>
        <charset val="1"/>
      </rPr>
      <t>pedr-A</t>
    </r>
  </si>
  <si>
    <r>
      <t>N</t>
    </r>
    <r>
      <rPr>
        <b/>
        <vertAlign val="subscript"/>
        <sz val="11"/>
        <color rgb="FF000000"/>
        <rFont val="Calibri"/>
        <family val="2"/>
        <charset val="1"/>
      </rPr>
      <t>pedr-B</t>
    </r>
  </si>
  <si>
    <r>
      <t>N</t>
    </r>
    <r>
      <rPr>
        <b/>
        <vertAlign val="subscript"/>
        <sz val="11"/>
        <color rgb="FF000000"/>
        <rFont val="Calibri"/>
        <family val="2"/>
        <charset val="1"/>
      </rPr>
      <t>pedr-C</t>
    </r>
  </si>
  <si>
    <r>
      <t>AF</t>
    </r>
    <r>
      <rPr>
        <vertAlign val="subscript"/>
        <sz val="11"/>
        <color rgb="FF000000"/>
        <rFont val="Calibri"/>
        <family val="2"/>
        <charset val="1"/>
      </rPr>
      <t>LA1-bike</t>
    </r>
    <r>
      <rPr>
        <sz val="10"/>
        <rFont val="Arial"/>
        <family val="2"/>
      </rPr>
      <t xml:space="preserve"> (Bicycle facilities or paved shoulder provision)</t>
    </r>
    <r>
      <rPr>
        <sz val="11"/>
        <color rgb="FF000000"/>
        <rFont val="Calibri"/>
        <family val="2"/>
        <charset val="1"/>
      </rPr>
      <t xml:space="preserve"> (Table 12-X42)</t>
    </r>
  </si>
  <si>
    <r>
      <t>AF</t>
    </r>
    <r>
      <rPr>
        <vertAlign val="subscript"/>
        <sz val="11"/>
        <color rgb="FF000000"/>
        <rFont val="Calibri"/>
        <family val="2"/>
        <charset val="1"/>
      </rPr>
      <t>SA1-bike</t>
    </r>
    <r>
      <rPr>
        <sz val="10"/>
        <rFont val="Arial"/>
        <family val="2"/>
      </rPr>
      <t xml:space="preserve"> (Bicycle facilities or paved shoulder provision)</t>
    </r>
    <r>
      <rPr>
        <sz val="11"/>
        <color rgb="FF000000"/>
        <rFont val="Calibri"/>
        <family val="2"/>
        <charset val="1"/>
      </rPr>
      <t xml:space="preserve"> (Table 12-X51)</t>
    </r>
  </si>
  <si>
    <r>
      <t>AF</t>
    </r>
    <r>
      <rPr>
        <vertAlign val="subscript"/>
        <sz val="11"/>
        <color rgb="FF000000"/>
        <rFont val="Calibri"/>
        <family val="2"/>
        <charset val="1"/>
      </rPr>
      <t>LA6-bike</t>
    </r>
    <r>
      <rPr>
        <sz val="10"/>
        <rFont val="Arial"/>
        <family val="2"/>
      </rPr>
      <t xml:space="preserve"> (Lane width)</t>
    </r>
    <r>
      <rPr>
        <sz val="11"/>
        <color rgb="FF000000"/>
        <rFont val="Calibri"/>
        <family val="2"/>
        <charset val="1"/>
      </rPr>
      <t xml:space="preserve"> (Table 12-X43)</t>
    </r>
  </si>
  <si>
    <r>
      <t>AF</t>
    </r>
    <r>
      <rPr>
        <vertAlign val="subscript"/>
        <sz val="11"/>
        <color rgb="FF000000"/>
        <rFont val="Calibri"/>
        <family val="2"/>
        <charset val="1"/>
      </rPr>
      <t>LA7-bike</t>
    </r>
    <r>
      <rPr>
        <sz val="10"/>
        <rFont val="Arial"/>
        <family val="2"/>
      </rPr>
      <t xml:space="preserve"> (Horizontal curvature)</t>
    </r>
    <r>
      <rPr>
        <sz val="11"/>
        <color rgb="FF000000"/>
        <rFont val="Calibri"/>
        <family val="2"/>
        <charset val="1"/>
      </rPr>
      <t xml:space="preserve"> (Table 12-X44)</t>
    </r>
  </si>
  <si>
    <r>
      <t>AF</t>
    </r>
    <r>
      <rPr>
        <vertAlign val="subscript"/>
        <sz val="11"/>
        <color rgb="FF000000"/>
        <rFont val="Calibri"/>
        <family val="2"/>
        <charset val="1"/>
      </rPr>
      <t>LA8-bike</t>
    </r>
    <r>
      <rPr>
        <sz val="10"/>
        <rFont val="Arial"/>
        <family val="2"/>
      </rPr>
      <t xml:space="preserve"> (Advance visibility of a curve)</t>
    </r>
    <r>
      <rPr>
        <sz val="11"/>
        <color rgb="FF000000"/>
        <rFont val="Calibri"/>
        <family val="2"/>
        <charset val="1"/>
      </rPr>
      <t xml:space="preserve"> (Table 12-X45)</t>
    </r>
  </si>
  <si>
    <r>
      <t>AF</t>
    </r>
    <r>
      <rPr>
        <vertAlign val="subscript"/>
        <sz val="11"/>
        <color rgb="FF000000"/>
        <rFont val="Calibri"/>
        <family val="2"/>
        <charset val="1"/>
      </rPr>
      <t>LA9-bike</t>
    </r>
    <r>
      <rPr>
        <sz val="10"/>
        <rFont val="Arial"/>
        <family val="2"/>
      </rPr>
      <t xml:space="preserve"> (Percent grade)</t>
    </r>
    <r>
      <rPr>
        <sz val="11"/>
        <color rgb="FF000000"/>
        <rFont val="Calibri"/>
        <family val="2"/>
        <charset val="1"/>
      </rPr>
      <t xml:space="preserve"> (Table 12-X46)</t>
    </r>
  </si>
  <si>
    <r>
      <t>AF</t>
    </r>
    <r>
      <rPr>
        <vertAlign val="subscript"/>
        <sz val="11"/>
        <color rgb="FF000000"/>
        <rFont val="Calibri"/>
        <family val="2"/>
        <charset val="1"/>
      </rPr>
      <t>LA14-bike</t>
    </r>
    <r>
      <rPr>
        <sz val="10"/>
        <rFont val="Arial"/>
        <family val="2"/>
      </rPr>
      <t xml:space="preserve"> (Presence and condition of delineation)</t>
    </r>
    <r>
      <rPr>
        <sz val="11"/>
        <color rgb="FF000000"/>
        <rFont val="Calibri"/>
        <family val="2"/>
        <charset val="1"/>
      </rPr>
      <t xml:space="preserve"> (Table 12-X47)</t>
    </r>
  </si>
  <si>
    <r>
      <t>AF</t>
    </r>
    <r>
      <rPr>
        <vertAlign val="subscript"/>
        <sz val="11"/>
        <color rgb="FF000000"/>
        <rFont val="Calibri"/>
        <family val="2"/>
        <charset val="1"/>
      </rPr>
      <t>LA15-bike</t>
    </r>
    <r>
      <rPr>
        <sz val="10"/>
        <rFont val="Arial"/>
        <family val="2"/>
      </rPr>
      <t xml:space="preserve"> (Shoulder rumble strips)</t>
    </r>
    <r>
      <rPr>
        <sz val="11"/>
        <color rgb="FF000000"/>
        <rFont val="Calibri"/>
        <family val="2"/>
        <charset val="1"/>
      </rPr>
      <t xml:space="preserve"> (Table 12-X48)</t>
    </r>
  </si>
  <si>
    <r>
      <t>AF</t>
    </r>
    <r>
      <rPr>
        <vertAlign val="subscript"/>
        <sz val="11"/>
        <color rgb="FF000000"/>
        <rFont val="Calibri"/>
        <family val="2"/>
        <charset val="1"/>
      </rPr>
      <t>LA16-bike</t>
    </r>
    <r>
      <rPr>
        <sz val="10"/>
        <rFont val="Arial"/>
        <family val="2"/>
      </rPr>
      <t xml:space="preserve"> (Vehicle parking)</t>
    </r>
    <r>
      <rPr>
        <sz val="11"/>
        <color rgb="FF000000"/>
        <rFont val="Calibri"/>
        <family val="2"/>
        <charset val="1"/>
      </rPr>
      <t xml:space="preserve"> (Table 12-X49)</t>
    </r>
  </si>
  <si>
    <r>
      <t>AF</t>
    </r>
    <r>
      <rPr>
        <vertAlign val="subscript"/>
        <sz val="11"/>
        <color rgb="FF000000"/>
        <rFont val="Calibri"/>
        <family val="2"/>
        <charset val="1"/>
      </rPr>
      <t>LA18-bike</t>
    </r>
    <r>
      <rPr>
        <sz val="10"/>
        <rFont val="Arial"/>
        <family val="2"/>
      </rPr>
      <t xml:space="preserve"> (Street lighting)</t>
    </r>
    <r>
      <rPr>
        <sz val="11"/>
        <color rgb="FF000000"/>
        <rFont val="Calibri"/>
        <family val="2"/>
        <charset val="1"/>
      </rPr>
      <t xml:space="preserve"> (Table 12-X50)</t>
    </r>
  </si>
  <si>
    <r>
      <t>MVTSF</t>
    </r>
    <r>
      <rPr>
        <vertAlign val="subscript"/>
        <sz val="11"/>
        <color rgb="FF000000"/>
        <rFont val="Calibri"/>
        <family val="2"/>
        <charset val="1"/>
      </rPr>
      <t>biker</t>
    </r>
    <r>
      <rPr>
        <sz val="11"/>
        <color rgb="FF000000"/>
        <rFont val="Calibri"/>
        <family val="2"/>
        <charset val="1"/>
      </rPr>
      <t xml:space="preserve"> (Table 12-X39)</t>
    </r>
  </si>
  <si>
    <r>
      <t>Likelihood</t>
    </r>
    <r>
      <rPr>
        <vertAlign val="subscript"/>
        <sz val="11"/>
        <color rgb="FF000000"/>
        <rFont val="Calibri"/>
        <family val="2"/>
        <charset val="1"/>
      </rPr>
      <t>biker</t>
    </r>
    <r>
      <rPr>
        <sz val="11"/>
        <color rgb="FF000000"/>
        <rFont val="Calibri"/>
        <family val="2"/>
        <charset val="1"/>
      </rPr>
      <t xml:space="preserve"> (Equation 12-X43)</t>
    </r>
  </si>
  <si>
    <r>
      <t>Severity</t>
    </r>
    <r>
      <rPr>
        <vertAlign val="subscript"/>
        <sz val="11"/>
        <color rgb="FF000000"/>
        <rFont val="Calibri"/>
        <family val="2"/>
        <charset val="1"/>
      </rPr>
      <t>biker</t>
    </r>
    <r>
      <rPr>
        <sz val="11"/>
        <color rgb="FF000000"/>
        <rFont val="Calibri"/>
        <family val="2"/>
        <charset val="1"/>
      </rPr>
      <t xml:space="preserve"> (Equation 12-X44)</t>
    </r>
  </si>
  <si>
    <r>
      <t>MVTFF</t>
    </r>
    <r>
      <rPr>
        <vertAlign val="subscript"/>
        <sz val="11"/>
        <color rgb="FF000000"/>
        <rFont val="Calibri"/>
        <family val="2"/>
        <charset val="1"/>
      </rPr>
      <t>biker</t>
    </r>
    <r>
      <rPr>
        <sz val="11"/>
        <color rgb="FF000000"/>
        <rFont val="Calibri"/>
        <family val="2"/>
        <charset val="1"/>
      </rPr>
      <t xml:space="preserve"> (Equation 12-X45)</t>
    </r>
  </si>
  <si>
    <r>
      <t>BFF</t>
    </r>
    <r>
      <rPr>
        <vertAlign val="subscript"/>
        <sz val="11"/>
        <color rgb="FF000000"/>
        <rFont val="Calibri"/>
        <family val="2"/>
        <charset val="1"/>
      </rPr>
      <t>r</t>
    </r>
    <r>
      <rPr>
        <sz val="11"/>
        <color rgb="FF000000"/>
        <rFont val="Calibri"/>
        <family val="2"/>
        <charset val="1"/>
      </rPr>
      <t xml:space="preserve"> (Table 12-X41)</t>
    </r>
  </si>
  <si>
    <r>
      <t>N</t>
    </r>
    <r>
      <rPr>
        <vertAlign val="subscript"/>
        <sz val="11"/>
        <color rgb="FF000000"/>
        <rFont val="Calibri"/>
        <family val="2"/>
        <charset val="1"/>
      </rPr>
      <t>unadjusted-bikers</t>
    </r>
    <r>
      <rPr>
        <sz val="11"/>
        <color rgb="FF000000"/>
        <rFont val="Calibri"/>
        <family val="2"/>
        <charset val="1"/>
      </rPr>
      <t xml:space="preserve"> (Equation 12-X42)</t>
    </r>
  </si>
  <si>
    <r>
      <rPr>
        <sz val="10"/>
        <rFont val="Arial"/>
        <family val="2"/>
      </rPr>
      <t>C</t>
    </r>
    <r>
      <rPr>
        <vertAlign val="subscript"/>
        <sz val="11"/>
        <color rgb="FF000000"/>
        <rFont val="Calibri"/>
        <family val="2"/>
        <charset val="1"/>
      </rPr>
      <t>biker</t>
    </r>
  </si>
  <si>
    <r>
      <t>N</t>
    </r>
    <r>
      <rPr>
        <b/>
        <vertAlign val="subscript"/>
        <sz val="11"/>
        <color rgb="FF000000"/>
        <rFont val="Calibri"/>
        <family val="2"/>
        <charset val="1"/>
      </rPr>
      <t>biker</t>
    </r>
    <r>
      <rPr>
        <b/>
        <sz val="11"/>
        <color rgb="FF000000"/>
        <rFont val="Calibri"/>
        <family val="2"/>
        <charset val="1"/>
      </rPr>
      <t xml:space="preserve"> (Equation 12-X41)</t>
    </r>
  </si>
  <si>
    <r>
      <t>N</t>
    </r>
    <r>
      <rPr>
        <b/>
        <vertAlign val="subscript"/>
        <sz val="11"/>
        <color rgb="FF000000"/>
        <rFont val="Calibri"/>
        <family val="2"/>
        <charset val="1"/>
      </rPr>
      <t>biker-K</t>
    </r>
    <r>
      <rPr>
        <b/>
        <sz val="11"/>
        <color rgb="FF000000"/>
        <rFont val="Calibri"/>
        <family val="2"/>
        <charset val="1"/>
      </rPr>
      <t xml:space="preserve"> (Equation 12-X46)</t>
    </r>
  </si>
  <si>
    <r>
      <t>N</t>
    </r>
    <r>
      <rPr>
        <b/>
        <vertAlign val="subscript"/>
        <sz val="11"/>
        <color rgb="FF000000"/>
        <rFont val="Calibri"/>
        <family val="2"/>
        <charset val="1"/>
      </rPr>
      <t>biker-A</t>
    </r>
    <r>
      <rPr>
        <b/>
        <sz val="11"/>
        <color rgb="FF000000"/>
        <rFont val="Calibri"/>
        <family val="2"/>
        <charset val="1"/>
      </rPr>
      <t xml:space="preserve"> (Equation 12-X47)</t>
    </r>
  </si>
  <si>
    <r>
      <t>N</t>
    </r>
    <r>
      <rPr>
        <b/>
        <vertAlign val="subscript"/>
        <sz val="11"/>
        <color rgb="FF000000"/>
        <rFont val="Calibri"/>
        <family val="2"/>
        <charset val="1"/>
      </rPr>
      <t>biker-B</t>
    </r>
    <r>
      <rPr>
        <b/>
        <sz val="11"/>
        <color rgb="FF000000"/>
        <rFont val="Calibri"/>
        <family val="2"/>
        <charset val="1"/>
      </rPr>
      <t xml:space="preserve"> (Equation 12-X48)</t>
    </r>
  </si>
  <si>
    <r>
      <t>N</t>
    </r>
    <r>
      <rPr>
        <b/>
        <vertAlign val="subscript"/>
        <sz val="11"/>
        <color rgb="FF000000"/>
        <rFont val="Calibri"/>
        <family val="2"/>
        <charset val="1"/>
      </rPr>
      <t>biker-C</t>
    </r>
    <r>
      <rPr>
        <b/>
        <sz val="11"/>
        <color rgb="FF000000"/>
        <rFont val="Calibri"/>
        <family val="2"/>
        <charset val="1"/>
      </rPr>
      <t xml:space="preserve"> (Equation 12-X49)</t>
    </r>
  </si>
  <si>
    <r>
      <t>N</t>
    </r>
    <r>
      <rPr>
        <b/>
        <vertAlign val="subscript"/>
        <sz val="11"/>
        <color rgb="FF000000"/>
        <rFont val="Calibri"/>
        <family val="2"/>
        <charset val="1"/>
      </rPr>
      <t>biker</t>
    </r>
  </si>
  <si>
    <r>
      <t>N</t>
    </r>
    <r>
      <rPr>
        <b/>
        <vertAlign val="subscript"/>
        <sz val="11"/>
        <color rgb="FF000000"/>
        <rFont val="Calibri"/>
        <family val="2"/>
        <charset val="1"/>
      </rPr>
      <t>biker-K</t>
    </r>
  </si>
  <si>
    <r>
      <t>N</t>
    </r>
    <r>
      <rPr>
        <b/>
        <vertAlign val="subscript"/>
        <sz val="11"/>
        <color rgb="FF000000"/>
        <rFont val="Calibri"/>
        <family val="2"/>
        <charset val="1"/>
      </rPr>
      <t>biker-A</t>
    </r>
  </si>
  <si>
    <r>
      <t>N</t>
    </r>
    <r>
      <rPr>
        <b/>
        <vertAlign val="subscript"/>
        <sz val="11"/>
        <color rgb="FF000000"/>
        <rFont val="Calibri"/>
        <family val="2"/>
        <charset val="1"/>
      </rPr>
      <t>biker-B</t>
    </r>
  </si>
  <si>
    <r>
      <t>N</t>
    </r>
    <r>
      <rPr>
        <b/>
        <vertAlign val="subscript"/>
        <sz val="11"/>
        <color rgb="FF000000"/>
        <rFont val="Calibri"/>
        <family val="2"/>
        <charset val="1"/>
      </rPr>
      <t>biker-C</t>
    </r>
  </si>
  <si>
    <r>
      <t>AF</t>
    </r>
    <r>
      <rPr>
        <vertAlign val="subscript"/>
        <sz val="11"/>
        <color rgb="FF000000"/>
        <rFont val="Calibri"/>
        <family val="2"/>
        <charset val="1"/>
      </rPr>
      <t>LI2-ped</t>
    </r>
    <r>
      <rPr>
        <sz val="10"/>
        <rFont val="Arial"/>
        <family val="2"/>
      </rPr>
      <t xml:space="preserve"> (School zone warning)</t>
    </r>
    <r>
      <rPr>
        <sz val="11"/>
        <color rgb="FF000000"/>
        <rFont val="Calibri"/>
        <family val="2"/>
        <charset val="1"/>
      </rPr>
      <t xml:space="preserve"> (Table 12-X17)</t>
    </r>
  </si>
  <si>
    <r>
      <t>AF</t>
    </r>
    <r>
      <rPr>
        <vertAlign val="subscript"/>
        <sz val="11"/>
        <color rgb="FF000000"/>
        <rFont val="Calibri"/>
        <family val="2"/>
        <charset val="1"/>
      </rPr>
      <t>LI3-ped</t>
    </r>
    <r>
      <rPr>
        <sz val="10"/>
        <rFont val="Arial"/>
        <family val="2"/>
      </rPr>
      <t xml:space="preserve"> (Pedestrian crossing facility type)</t>
    </r>
    <r>
      <rPr>
        <sz val="11"/>
        <color rgb="FF000000"/>
        <rFont val="Calibri"/>
        <family val="2"/>
        <charset val="1"/>
      </rPr>
      <t xml:space="preserve"> (Table 12-X18)</t>
    </r>
  </si>
  <si>
    <r>
      <t>AF</t>
    </r>
    <r>
      <rPr>
        <vertAlign val="subscript"/>
        <sz val="11"/>
        <color rgb="FF000000"/>
        <rFont val="Calibri"/>
        <family val="2"/>
        <charset val="1"/>
      </rPr>
      <t>LI4-ped</t>
    </r>
    <r>
      <rPr>
        <sz val="10"/>
        <rFont val="Arial"/>
        <family val="2"/>
      </rPr>
      <t xml:space="preserve"> (Advance visibility of a pedestrian crossing)</t>
    </r>
    <r>
      <rPr>
        <sz val="11"/>
        <color rgb="FF000000"/>
        <rFont val="Calibri"/>
        <family val="2"/>
        <charset val="1"/>
      </rPr>
      <t xml:space="preserve"> (Table 12-X19)</t>
    </r>
  </si>
  <si>
    <r>
      <t>AF</t>
    </r>
    <r>
      <rPr>
        <vertAlign val="subscript"/>
        <sz val="11"/>
        <color rgb="FF000000"/>
        <rFont val="Calibri"/>
        <family val="2"/>
        <charset val="1"/>
      </rPr>
      <t>LI5-ped</t>
    </r>
    <r>
      <rPr>
        <sz val="10"/>
        <rFont val="Arial"/>
        <family val="2"/>
      </rPr>
      <t xml:space="preserve"> (Pedestrian fencing)</t>
    </r>
    <r>
      <rPr>
        <sz val="11"/>
        <color rgb="FF000000"/>
        <rFont val="Calibri"/>
        <family val="2"/>
        <charset val="1"/>
      </rPr>
      <t xml:space="preserve"> (Table 12-X20)</t>
    </r>
  </si>
  <si>
    <r>
      <t>AF</t>
    </r>
    <r>
      <rPr>
        <vertAlign val="subscript"/>
        <sz val="11"/>
        <color rgb="FF000000"/>
        <rFont val="Calibri"/>
        <family val="2"/>
        <charset val="1"/>
      </rPr>
      <t>LI12-ped</t>
    </r>
    <r>
      <rPr>
        <sz val="10"/>
        <rFont val="Arial"/>
        <family val="2"/>
      </rPr>
      <t xml:space="preserve"> (Vehicle parking)</t>
    </r>
    <r>
      <rPr>
        <sz val="11"/>
        <color rgb="FF000000"/>
        <rFont val="Calibri"/>
        <family val="2"/>
        <charset val="1"/>
      </rPr>
      <t xml:space="preserve"> (Table 12-X28)</t>
    </r>
  </si>
  <si>
    <r>
      <t>AF</t>
    </r>
    <r>
      <rPr>
        <vertAlign val="subscript"/>
        <sz val="11"/>
        <color rgb="FF000000"/>
        <rFont val="Calibri"/>
        <family val="2"/>
        <charset val="1"/>
      </rPr>
      <t>LI13-ped</t>
    </r>
    <r>
      <rPr>
        <sz val="10"/>
        <rFont val="Arial"/>
        <family val="2"/>
      </rPr>
      <t xml:space="preserve"> (Street lighting)</t>
    </r>
    <r>
      <rPr>
        <sz val="11"/>
        <color rgb="FF000000"/>
        <rFont val="Calibri"/>
        <family val="2"/>
        <charset val="1"/>
      </rPr>
      <t xml:space="preserve"> (Table 12-X29)</t>
    </r>
  </si>
  <si>
    <r>
      <t>AF</t>
    </r>
    <r>
      <rPr>
        <vertAlign val="subscript"/>
        <sz val="11"/>
        <color rgb="FF000000"/>
        <rFont val="Calibri"/>
        <family val="2"/>
        <charset val="1"/>
      </rPr>
      <t>LI14-ped</t>
    </r>
    <r>
      <rPr>
        <sz val="10"/>
        <rFont val="Arial"/>
        <family val="2"/>
      </rPr>
      <t xml:space="preserve"> (Number of traffic lanes to be crossed)</t>
    </r>
    <r>
      <rPr>
        <sz val="11"/>
        <color rgb="FF000000"/>
        <rFont val="Calibri"/>
        <family val="2"/>
        <charset val="1"/>
      </rPr>
      <t xml:space="preserve"> (Table 12-X30)</t>
    </r>
  </si>
  <si>
    <r>
      <t>AF</t>
    </r>
    <r>
      <rPr>
        <vertAlign val="subscript"/>
        <sz val="11"/>
        <color rgb="FF000000"/>
        <rFont val="Calibri"/>
        <family val="2"/>
        <charset val="1"/>
      </rPr>
      <t>LI15-ped</t>
    </r>
    <r>
      <rPr>
        <sz val="10"/>
        <rFont val="Arial"/>
        <family val="2"/>
      </rPr>
      <t xml:space="preserve"> (Median type)</t>
    </r>
    <r>
      <rPr>
        <sz val="11"/>
        <color rgb="FF000000"/>
        <rFont val="Calibri"/>
        <family val="2"/>
        <charset val="1"/>
      </rPr>
      <t xml:space="preserve"> (Table 12-X31)</t>
    </r>
  </si>
  <si>
    <r>
      <t>AF</t>
    </r>
    <r>
      <rPr>
        <vertAlign val="subscript"/>
        <sz val="11"/>
        <color rgb="FF000000"/>
        <rFont val="Calibri"/>
        <family val="2"/>
        <charset val="1"/>
      </rPr>
      <t>LI16-ped</t>
    </r>
    <r>
      <rPr>
        <sz val="10"/>
        <rFont val="Arial"/>
        <family val="2"/>
      </rPr>
      <t xml:space="preserve"> (Intersection type)</t>
    </r>
    <r>
      <rPr>
        <sz val="11"/>
        <color rgb="FF000000"/>
        <rFont val="Calibri"/>
        <family val="2"/>
        <charset val="1"/>
      </rPr>
      <t xml:space="preserve"> (Table 12-X36)</t>
    </r>
  </si>
  <si>
    <r>
      <rPr>
        <sz val="10"/>
        <rFont val="Arial"/>
        <family val="2"/>
      </rPr>
      <t>Likelihood</t>
    </r>
    <r>
      <rPr>
        <vertAlign val="subscript"/>
        <sz val="11"/>
        <color rgb="FF000000"/>
        <rFont val="Calibri"/>
        <family val="2"/>
        <charset val="1"/>
      </rPr>
      <t>intcrossing-ped-j</t>
    </r>
    <r>
      <rPr>
        <sz val="11"/>
        <color rgb="FF000000"/>
        <rFont val="Calibri"/>
        <family val="2"/>
        <charset val="1"/>
      </rPr>
      <t xml:space="preserve"> (Equation 12-X35)</t>
    </r>
  </si>
  <si>
    <r>
      <rPr>
        <sz val="10"/>
        <rFont val="Arial"/>
        <family val="2"/>
      </rPr>
      <t>Severity</t>
    </r>
    <r>
      <rPr>
        <vertAlign val="subscript"/>
        <sz val="11"/>
        <color rgb="FF000000"/>
        <rFont val="Calibri"/>
        <family val="2"/>
        <charset val="1"/>
      </rPr>
      <t>intcrossing-ped-j</t>
    </r>
    <r>
      <rPr>
        <sz val="11"/>
        <color rgb="FF000000"/>
        <rFont val="Calibri"/>
        <family val="2"/>
        <charset val="1"/>
      </rPr>
      <t xml:space="preserve"> (Equation 12-X36)</t>
    </r>
  </si>
  <si>
    <r>
      <rPr>
        <sz val="10"/>
        <rFont val="Arial"/>
        <family val="2"/>
      </rPr>
      <t>MVTSF</t>
    </r>
    <r>
      <rPr>
        <vertAlign val="subscript"/>
        <sz val="11"/>
        <color rgb="FF000000"/>
        <rFont val="Calibri"/>
        <family val="2"/>
        <charset val="1"/>
      </rPr>
      <t>intcrossing-ped-j</t>
    </r>
    <r>
      <rPr>
        <sz val="11"/>
        <color rgb="FF000000"/>
        <rFont val="Calibri"/>
        <family val="2"/>
        <charset val="1"/>
      </rPr>
      <t xml:space="preserve"> (Table 12-X14)</t>
    </r>
  </si>
  <si>
    <r>
      <rPr>
        <sz val="10"/>
        <rFont val="Arial"/>
        <family val="2"/>
      </rPr>
      <t>MVTFF</t>
    </r>
    <r>
      <rPr>
        <vertAlign val="subscript"/>
        <sz val="11"/>
        <color rgb="FF000000"/>
        <rFont val="Calibri"/>
        <family val="2"/>
        <charset val="1"/>
      </rPr>
      <t>intrcrossing-ped-j</t>
    </r>
    <r>
      <rPr>
        <sz val="11"/>
        <color rgb="FF000000"/>
        <rFont val="Calibri"/>
        <family val="2"/>
        <charset val="1"/>
      </rPr>
      <t xml:space="preserve"> (Equation 12-X28)</t>
    </r>
  </si>
  <si>
    <r>
      <rPr>
        <sz val="10"/>
        <rFont val="Arial"/>
        <family val="2"/>
      </rPr>
      <t>PFF</t>
    </r>
    <r>
      <rPr>
        <vertAlign val="subscript"/>
        <sz val="11"/>
        <color rgb="FF000000"/>
        <rFont val="Calibri"/>
        <family val="2"/>
        <charset val="1"/>
      </rPr>
      <t>intcrossing-j</t>
    </r>
    <r>
      <rPr>
        <sz val="11"/>
        <color rgb="FF000000"/>
        <rFont val="Calibri"/>
        <family val="2"/>
        <charset val="1"/>
      </rPr>
      <t xml:space="preserve"> (Table 12-X15)</t>
    </r>
  </si>
  <si>
    <r>
      <rPr>
        <sz val="10"/>
        <rFont val="Arial"/>
        <family val="2"/>
      </rPr>
      <t>N</t>
    </r>
    <r>
      <rPr>
        <vertAlign val="subscript"/>
        <sz val="11"/>
        <color rgb="FF000000"/>
        <rFont val="Calibri"/>
        <family val="2"/>
        <charset val="1"/>
      </rPr>
      <t>intcrossing-ped-j</t>
    </r>
    <r>
      <rPr>
        <sz val="11"/>
        <color rgb="FF000000"/>
        <rFont val="Calibri"/>
        <family val="2"/>
        <charset val="1"/>
      </rPr>
      <t xml:space="preserve"> (Equation 12-X34)</t>
    </r>
  </si>
  <si>
    <r>
      <t>N</t>
    </r>
    <r>
      <rPr>
        <b/>
        <vertAlign val="subscript"/>
        <sz val="11"/>
        <color rgb="FF000000"/>
        <rFont val="Calibri"/>
        <family val="2"/>
        <charset val="1"/>
      </rPr>
      <t>pedi</t>
    </r>
    <r>
      <rPr>
        <b/>
        <sz val="11"/>
        <color rgb="FF000000"/>
        <rFont val="Calibri"/>
        <family val="2"/>
        <charset val="1"/>
      </rPr>
      <t xml:space="preserve"> (Equation 12-X33)</t>
    </r>
  </si>
  <si>
    <r>
      <t>N</t>
    </r>
    <r>
      <rPr>
        <b/>
        <vertAlign val="subscript"/>
        <sz val="11"/>
        <color rgb="FF000000"/>
        <rFont val="Calibri"/>
        <family val="2"/>
        <charset val="1"/>
      </rPr>
      <t>pedi-K</t>
    </r>
    <r>
      <rPr>
        <b/>
        <sz val="11"/>
        <color rgb="FF000000"/>
        <rFont val="Calibri"/>
        <family val="2"/>
        <charset val="1"/>
      </rPr>
      <t xml:space="preserve"> (Equation 12-X37)</t>
    </r>
  </si>
  <si>
    <r>
      <t>N</t>
    </r>
    <r>
      <rPr>
        <b/>
        <vertAlign val="subscript"/>
        <sz val="11"/>
        <color rgb="FF000000"/>
        <rFont val="Calibri"/>
        <family val="2"/>
        <charset val="1"/>
      </rPr>
      <t>pedi-A</t>
    </r>
    <r>
      <rPr>
        <b/>
        <sz val="11"/>
        <color rgb="FF000000"/>
        <rFont val="Calibri"/>
        <family val="2"/>
        <charset val="1"/>
      </rPr>
      <t xml:space="preserve"> (Equation 12-X38)</t>
    </r>
  </si>
  <si>
    <r>
      <t>N</t>
    </r>
    <r>
      <rPr>
        <b/>
        <vertAlign val="subscript"/>
        <sz val="11"/>
        <color rgb="FF000000"/>
        <rFont val="Calibri"/>
        <family val="2"/>
        <charset val="1"/>
      </rPr>
      <t>pedi-B</t>
    </r>
    <r>
      <rPr>
        <b/>
        <sz val="11"/>
        <color rgb="FF000000"/>
        <rFont val="Calibri"/>
        <family val="2"/>
        <charset val="1"/>
      </rPr>
      <t xml:space="preserve"> (Equation 12-X39)</t>
    </r>
  </si>
  <si>
    <t>Worksheet X12. Bicycle Collisions for Urban and Suburban Intersections (Based on RAP Methodology)</t>
  </si>
  <si>
    <r>
      <t>AF</t>
    </r>
    <r>
      <rPr>
        <vertAlign val="subscript"/>
        <sz val="11"/>
        <color rgb="FF000000"/>
        <rFont val="Calibri"/>
        <family val="2"/>
        <charset val="1"/>
      </rPr>
      <t>LI1-bike</t>
    </r>
    <r>
      <rPr>
        <sz val="10"/>
        <rFont val="Arial"/>
        <family val="2"/>
      </rPr>
      <t xml:space="preserve"> (Bicycle facilities or paved shoulder provision)</t>
    </r>
    <r>
      <rPr>
        <sz val="11"/>
        <color rgb="FF000000"/>
        <rFont val="Calibri"/>
        <family val="2"/>
        <charset val="1"/>
      </rPr>
      <t xml:space="preserve"> (Table 12-X55)</t>
    </r>
  </si>
  <si>
    <r>
      <t>AF</t>
    </r>
    <r>
      <rPr>
        <vertAlign val="subscript"/>
        <sz val="11"/>
        <color rgb="FF000000"/>
        <rFont val="Calibri"/>
        <family val="2"/>
        <charset val="1"/>
      </rPr>
      <t>LI2-bike</t>
    </r>
    <r>
      <rPr>
        <sz val="10"/>
        <rFont val="Arial"/>
        <family val="2"/>
      </rPr>
      <t xml:space="preserve"> (Bicycle path and pedestrian crossing type)</t>
    </r>
    <r>
      <rPr>
        <sz val="11"/>
        <color rgb="FF000000"/>
        <rFont val="Calibri"/>
        <family val="2"/>
        <charset val="1"/>
      </rPr>
      <t xml:space="preserve"> (Table 12-X56)</t>
    </r>
  </si>
  <si>
    <r>
      <t>AF</t>
    </r>
    <r>
      <rPr>
        <vertAlign val="subscript"/>
        <sz val="11"/>
        <color rgb="FF000000"/>
        <rFont val="Calibri"/>
        <family val="2"/>
        <charset val="1"/>
      </rPr>
      <t>LI3-bike</t>
    </r>
    <r>
      <rPr>
        <sz val="10"/>
        <rFont val="Arial"/>
        <family val="2"/>
      </rPr>
      <t xml:space="preserve"> (Intersection type)</t>
    </r>
    <r>
      <rPr>
        <sz val="11"/>
        <color rgb="FF000000"/>
        <rFont val="Calibri"/>
        <family val="2"/>
        <charset val="1"/>
      </rPr>
      <t xml:space="preserve"> (Table 12-X57)</t>
    </r>
  </si>
  <si>
    <r>
      <t>AF</t>
    </r>
    <r>
      <rPr>
        <vertAlign val="subscript"/>
        <sz val="11"/>
        <color rgb="FF000000"/>
        <rFont val="Calibri"/>
        <family val="2"/>
        <charset val="1"/>
      </rPr>
      <t>SI3-bike</t>
    </r>
    <r>
      <rPr>
        <sz val="10"/>
        <rFont val="Arial"/>
        <family val="2"/>
      </rPr>
      <t xml:space="preserve"> (Intersection type)</t>
    </r>
    <r>
      <rPr>
        <sz val="11"/>
        <color rgb="FF000000"/>
        <rFont val="Calibri"/>
        <family val="2"/>
        <charset val="1"/>
      </rPr>
      <t xml:space="preserve"> (Table 12-X60)</t>
    </r>
  </si>
  <si>
    <r>
      <t>AF</t>
    </r>
    <r>
      <rPr>
        <vertAlign val="subscript"/>
        <sz val="11"/>
        <color rgb="FF000000"/>
        <rFont val="Calibri"/>
        <family val="2"/>
        <charset val="1"/>
      </rPr>
      <t>LI4-bike</t>
    </r>
    <r>
      <rPr>
        <sz val="10"/>
        <rFont val="Arial"/>
        <family val="2"/>
      </rPr>
      <t xml:space="preserve"> (Advance visibility of an intersection)</t>
    </r>
    <r>
      <rPr>
        <sz val="11"/>
        <color rgb="FF000000"/>
        <rFont val="Calibri"/>
        <family val="2"/>
        <charset val="1"/>
      </rPr>
      <t xml:space="preserve"> (Table 12-X58)</t>
    </r>
  </si>
  <si>
    <r>
      <t>AF</t>
    </r>
    <r>
      <rPr>
        <vertAlign val="subscript"/>
        <sz val="11"/>
        <color rgb="FF000000"/>
        <rFont val="Calibri"/>
        <family val="2"/>
        <charset val="1"/>
      </rPr>
      <t>LI5-bike</t>
    </r>
    <r>
      <rPr>
        <sz val="10"/>
        <rFont val="Arial"/>
        <family val="2"/>
      </rPr>
      <t xml:space="preserve"> (Intersection channelization)</t>
    </r>
    <r>
      <rPr>
        <sz val="11"/>
        <color rgb="FF000000"/>
        <rFont val="Calibri"/>
        <family val="2"/>
        <charset val="1"/>
      </rPr>
      <t xml:space="preserve"> (Table 12-X59)</t>
    </r>
  </si>
  <si>
    <r>
      <t>AF</t>
    </r>
    <r>
      <rPr>
        <vertAlign val="subscript"/>
        <sz val="11"/>
        <color rgb="FF000000"/>
        <rFont val="Calibri"/>
        <family val="2"/>
        <charset val="1"/>
      </rPr>
      <t>LI18-bike</t>
    </r>
    <r>
      <rPr>
        <sz val="10"/>
        <rFont val="Arial"/>
        <family val="2"/>
      </rPr>
      <t xml:space="preserve"> (Street lighting)</t>
    </r>
    <r>
      <rPr>
        <sz val="11"/>
        <color rgb="FF000000"/>
        <rFont val="Calibri"/>
        <family val="2"/>
        <charset val="1"/>
      </rPr>
      <t xml:space="preserve"> (Table 12-X50)</t>
    </r>
  </si>
  <si>
    <r>
      <t>Likelihood</t>
    </r>
    <r>
      <rPr>
        <vertAlign val="subscript"/>
        <sz val="11"/>
        <color rgb="FF000000"/>
        <rFont val="Calibri"/>
        <family val="2"/>
        <charset val="1"/>
      </rPr>
      <t>bikei-major</t>
    </r>
    <r>
      <rPr>
        <sz val="11"/>
        <color rgb="FF000000"/>
        <rFont val="Calibri"/>
        <family val="2"/>
        <charset val="1"/>
      </rPr>
      <t xml:space="preserve"> (Equation 12-X52)</t>
    </r>
  </si>
  <si>
    <r>
      <t>Severity</t>
    </r>
    <r>
      <rPr>
        <vertAlign val="subscript"/>
        <sz val="11"/>
        <color rgb="FF000000"/>
        <rFont val="Calibri"/>
        <family val="2"/>
        <charset val="1"/>
      </rPr>
      <t>bikei-major</t>
    </r>
    <r>
      <rPr>
        <sz val="11"/>
        <color rgb="FF000000"/>
        <rFont val="Calibri"/>
        <family val="2"/>
        <charset val="1"/>
      </rPr>
      <t xml:space="preserve"> (Equation 12-X53)</t>
    </r>
  </si>
  <si>
    <r>
      <t>MVTFF</t>
    </r>
    <r>
      <rPr>
        <vertAlign val="subscript"/>
        <sz val="11"/>
        <color rgb="FF000000"/>
        <rFont val="Calibri"/>
        <family val="2"/>
        <charset val="1"/>
      </rPr>
      <t>bikei-major</t>
    </r>
    <r>
      <rPr>
        <sz val="11"/>
        <color rgb="FF000000"/>
        <rFont val="Calibri"/>
        <family val="2"/>
        <charset val="1"/>
      </rPr>
      <t xml:space="preserve"> (Table 12-X54)</t>
    </r>
  </si>
  <si>
    <r>
      <t>MVTSF</t>
    </r>
    <r>
      <rPr>
        <vertAlign val="subscript"/>
        <sz val="11"/>
        <color rgb="FF000000"/>
        <rFont val="Calibri"/>
        <family val="2"/>
        <charset val="1"/>
      </rPr>
      <t>bikei-major</t>
    </r>
    <r>
      <rPr>
        <sz val="11"/>
        <color rgb="FF000000"/>
        <rFont val="Calibri"/>
        <family val="2"/>
        <charset val="1"/>
      </rPr>
      <t xml:space="preserve"> (Table 12-X39)</t>
    </r>
  </si>
  <si>
    <r>
      <t>BFF</t>
    </r>
    <r>
      <rPr>
        <vertAlign val="subscript"/>
        <sz val="11"/>
        <color rgb="FF000000"/>
        <rFont val="Calibri"/>
        <family val="2"/>
        <charset val="1"/>
      </rPr>
      <t>major</t>
    </r>
    <r>
      <rPr>
        <sz val="11"/>
        <color rgb="FF000000"/>
        <rFont val="Calibri"/>
        <family val="2"/>
        <charset val="1"/>
      </rPr>
      <t xml:space="preserve"> (Table 12-X41)</t>
    </r>
  </si>
  <si>
    <r>
      <t>Likelihood</t>
    </r>
    <r>
      <rPr>
        <vertAlign val="subscript"/>
        <sz val="11"/>
        <color rgb="FF000000"/>
        <rFont val="Calibri"/>
        <family val="2"/>
        <charset val="1"/>
      </rPr>
      <t>bikei-minor</t>
    </r>
    <r>
      <rPr>
        <sz val="11"/>
        <color rgb="FF000000"/>
        <rFont val="Calibri"/>
        <family val="2"/>
        <charset val="1"/>
      </rPr>
      <t xml:space="preserve"> (Equation 12-X52)</t>
    </r>
  </si>
  <si>
    <r>
      <t>Severity</t>
    </r>
    <r>
      <rPr>
        <vertAlign val="subscript"/>
        <sz val="11"/>
        <color rgb="FF000000"/>
        <rFont val="Calibri"/>
        <family val="2"/>
        <charset val="1"/>
      </rPr>
      <t>bikei-minor</t>
    </r>
    <r>
      <rPr>
        <sz val="11"/>
        <color rgb="FF000000"/>
        <rFont val="Calibri"/>
        <family val="2"/>
        <charset val="1"/>
      </rPr>
      <t xml:space="preserve"> (Equation 12-X53)</t>
    </r>
  </si>
  <si>
    <r>
      <t>MVTSF</t>
    </r>
    <r>
      <rPr>
        <vertAlign val="subscript"/>
        <sz val="11"/>
        <color rgb="FF000000"/>
        <rFont val="Calibri"/>
        <family val="2"/>
        <charset val="1"/>
      </rPr>
      <t>bikei-minor</t>
    </r>
    <r>
      <rPr>
        <sz val="11"/>
        <color rgb="FF000000"/>
        <rFont val="Calibri"/>
        <family val="2"/>
        <charset val="1"/>
      </rPr>
      <t xml:space="preserve"> (Table 12-X39)</t>
    </r>
  </si>
  <si>
    <r>
      <t>MVTFF</t>
    </r>
    <r>
      <rPr>
        <vertAlign val="subscript"/>
        <sz val="11"/>
        <color rgb="FF000000"/>
        <rFont val="Calibri"/>
        <family val="2"/>
        <charset val="1"/>
      </rPr>
      <t>bikei-minor</t>
    </r>
    <r>
      <rPr>
        <sz val="11"/>
        <color rgb="FF000000"/>
        <rFont val="Calibri"/>
        <family val="2"/>
        <charset val="1"/>
      </rPr>
      <t xml:space="preserve"> (Table 12-X54)</t>
    </r>
  </si>
  <si>
    <r>
      <t>BFF</t>
    </r>
    <r>
      <rPr>
        <vertAlign val="subscript"/>
        <sz val="11"/>
        <color rgb="FF000000"/>
        <rFont val="Calibri"/>
        <family val="2"/>
        <charset val="1"/>
      </rPr>
      <t>minor</t>
    </r>
    <r>
      <rPr>
        <sz val="11"/>
        <color rgb="FF000000"/>
        <rFont val="Calibri"/>
        <family val="2"/>
        <charset val="1"/>
      </rPr>
      <t xml:space="preserve"> (Table 12-X41)</t>
    </r>
  </si>
  <si>
    <r>
      <rPr>
        <sz val="10"/>
        <rFont val="Arial"/>
        <family val="2"/>
      </rPr>
      <t>FT</t>
    </r>
    <r>
      <rPr>
        <vertAlign val="subscript"/>
        <sz val="11"/>
        <color rgb="FF000000"/>
        <rFont val="Calibri"/>
        <family val="2"/>
        <charset val="1"/>
      </rPr>
      <t>bikei</t>
    </r>
    <r>
      <rPr>
        <sz val="11"/>
        <color rgb="FF000000"/>
        <rFont val="Calibri"/>
        <family val="2"/>
        <charset val="1"/>
      </rPr>
      <t xml:space="preserve"> (Table 12-X53)</t>
    </r>
  </si>
  <si>
    <r>
      <t>FT</t>
    </r>
    <r>
      <rPr>
        <vertAlign val="subscript"/>
        <sz val="10"/>
        <rFont val="Arial"/>
        <family val="2"/>
      </rPr>
      <t>pedi</t>
    </r>
    <r>
      <rPr>
        <sz val="10"/>
        <rFont val="Arial"/>
        <family val="2"/>
      </rPr>
      <t xml:space="preserve"> (Table 12-X35)</t>
    </r>
  </si>
  <si>
    <r>
      <t>N</t>
    </r>
    <r>
      <rPr>
        <b/>
        <vertAlign val="subscript"/>
        <sz val="11"/>
        <color rgb="FF000000"/>
        <rFont val="Calibri"/>
        <family val="2"/>
        <charset val="1"/>
      </rPr>
      <t>int-bike</t>
    </r>
    <r>
      <rPr>
        <b/>
        <sz val="11"/>
        <color rgb="FF000000"/>
        <rFont val="Calibri"/>
        <family val="2"/>
        <charset val="1"/>
      </rPr>
      <t xml:space="preserve"> (Equation 12-X50)</t>
    </r>
  </si>
  <si>
    <r>
      <t>N</t>
    </r>
    <r>
      <rPr>
        <b/>
        <vertAlign val="subscript"/>
        <sz val="11"/>
        <color rgb="FF000000"/>
        <rFont val="Calibri"/>
        <family val="2"/>
        <charset val="1"/>
      </rPr>
      <t>int-bike-K</t>
    </r>
    <r>
      <rPr>
        <b/>
        <sz val="11"/>
        <color rgb="FF000000"/>
        <rFont val="Calibri"/>
        <family val="2"/>
        <charset val="1"/>
      </rPr>
      <t xml:space="preserve"> (Equation 12-X54)</t>
    </r>
  </si>
  <si>
    <r>
      <t>N</t>
    </r>
    <r>
      <rPr>
        <b/>
        <vertAlign val="subscript"/>
        <sz val="11"/>
        <color rgb="FF000000"/>
        <rFont val="Calibri"/>
        <family val="2"/>
        <charset val="1"/>
      </rPr>
      <t>int-bike-A</t>
    </r>
    <r>
      <rPr>
        <b/>
        <sz val="11"/>
        <color rgb="FF000000"/>
        <rFont val="Calibri"/>
        <family val="2"/>
        <charset val="1"/>
      </rPr>
      <t xml:space="preserve"> (Equation 12-X55)</t>
    </r>
  </si>
  <si>
    <r>
      <t>N</t>
    </r>
    <r>
      <rPr>
        <b/>
        <vertAlign val="subscript"/>
        <sz val="11"/>
        <color rgb="FF000000"/>
        <rFont val="Calibri"/>
        <family val="2"/>
        <charset val="1"/>
      </rPr>
      <t>int-bike-B</t>
    </r>
    <r>
      <rPr>
        <b/>
        <sz val="11"/>
        <color rgb="FF000000"/>
        <rFont val="Calibri"/>
        <family val="2"/>
        <charset val="1"/>
      </rPr>
      <t xml:space="preserve"> (Equation 12-X56)</t>
    </r>
  </si>
  <si>
    <r>
      <t>N</t>
    </r>
    <r>
      <rPr>
        <b/>
        <vertAlign val="subscript"/>
        <sz val="11"/>
        <color rgb="FF000000"/>
        <rFont val="Calibri"/>
        <family val="2"/>
        <charset val="1"/>
      </rPr>
      <t>int-bike-C</t>
    </r>
    <r>
      <rPr>
        <b/>
        <sz val="11"/>
        <color rgb="FF000000"/>
        <rFont val="Calibri"/>
        <family val="2"/>
        <charset val="1"/>
      </rPr>
      <t xml:space="preserve"> (Equation 12-X57)</t>
    </r>
  </si>
  <si>
    <t>Two-Lane Undivided</t>
  </si>
  <si>
    <t>Multilane Undivided</t>
  </si>
  <si>
    <t>Multilane Divided</t>
  </si>
  <si>
    <t>Table 12-X16. Crash Likelihood Adjustment Factors for Sidewalk and Paved Shoulder Provision / Table 12-X33. Crash Severity Adjustment Factors for Sidewalk and Paved Shoulder Provision</t>
  </si>
  <si>
    <t>Table 12-X17. Crash Likelihood Adjustment Factors for School Zone Warning</t>
  </si>
  <si>
    <t>Table 12-X18. Crash Likelihood Adjustment Factors for Pedestrian Crossing Facility Types / Table 12-X33. Crash Severity Adjustment Factors for Pedestrian Crossing Facility Type</t>
  </si>
  <si>
    <t>Table 12-X19. Crash Likelihood Adjustment Factors for Advance Visibility of a Pedestrian Crossing</t>
  </si>
  <si>
    <t>Table 12-X20. Crash Likelihood Adjustment Factors for Pedestrian Fencing Categories</t>
  </si>
  <si>
    <t>Table 12-X21. Crash Likelihood Adjustment Factors for Lane Width</t>
  </si>
  <si>
    <t>Table 12-X22. Crash Likelihood Adjustment Factors for Horizontal Curvature</t>
  </si>
  <si>
    <t>Table 12-X23. Crash Likelihood Adjustment Factors for Advance Visibility of a Curve</t>
  </si>
  <si>
    <t>Table 12-X24. Crash Likelihood Adjustment Factors for Percent Grade</t>
  </si>
  <si>
    <t>Table 12-X25. Crash Likelihood Adjustment Factors for Presence and Condition of Delineation</t>
  </si>
  <si>
    <t>Table 12-X26. Crash Likelihood Adjustment Factors for Shoulder Rumble Strips</t>
  </si>
  <si>
    <t>Table 12-X27. Crash Likeliood Adjustment Factors for Vehicle Parking for Pedestrian Movements Along the Road</t>
  </si>
  <si>
    <t>Table 12-X28. Crash Likeliood Adjustment Factors for Vehicle Parking for Pedestrian Movements Crossing the Road</t>
  </si>
  <si>
    <t>Table 12-X29.  Crash Likelihood Adjustment Factors for Street Lighting</t>
  </si>
  <si>
    <t>Table 12-X30. Crash Likelihood Adjustment Factors for Number of Traffic Lanes to be Crossed</t>
  </si>
  <si>
    <t>Table 12-X31. Crash Likelihood Adjustment Factors for Median Type</t>
  </si>
  <si>
    <t>Table 12-X34. Proportion of Pedestrian Crashes on Urban and Suburban Roadway Segments by Injury Severity Level</t>
  </si>
  <si>
    <t>Table 12-X14. Motor-Vehicle Traffic Speed Factor for Pedestrian Movements</t>
  </si>
  <si>
    <t>Table 12-X15. Pedestrian Flow Factors</t>
  </si>
  <si>
    <t>Table 12-X42. Crash Likelihood Adjustment Factors for Bicycle Facilities and Paved Shoulder Provision for Bicycle Movements Along the Road / Table 12-X51. Crash Severity Adjustment Factors for Bicycle Facilities and Paved Shoulder Provision for Bicycle Movements Along the Road</t>
  </si>
  <si>
    <t>Table 12-X43. Crash Likelihood Adjustment Factors for Lane Width</t>
  </si>
  <si>
    <t>Table 12-X44. Crash Likelihood Adjustment Factors for Horizontal Curvature</t>
  </si>
  <si>
    <t>Table 12-X45. Crash Likelihood Adjustment Factors for Advance Visibility of a Curve</t>
  </si>
  <si>
    <t>Table 12-X46. Crash Likelihood Adjustment Factors for Percent Grade</t>
  </si>
  <si>
    <t>Table 12-X47. Crash Likelihood Adjustment Factors for Presence and Condition of Delineation</t>
  </si>
  <si>
    <t>Table 12-X48. Crash Likelihood Adjustment Factors for Shoulder Rumble Strips</t>
  </si>
  <si>
    <t>Table 12-X49. Crash Likelihood Adjustment Factors for Vehicle Parking for Bicycle Movements Along the Road</t>
  </si>
  <si>
    <t>Table 12-X50. Crash Likelihood Adjustment Factors for Street Lighting</t>
  </si>
  <si>
    <t>Table 12-X52. Proportion of Bicycle Crashes on Urban and Suburban Roadway Segments by Injury Severity Level</t>
  </si>
  <si>
    <t>Table 12-X39. Motor-Vehicle Traffic Speed Factor for Bicycle Movements Along the Road or Through an Intersection</t>
  </si>
  <si>
    <t>Table 12-X41. Bicycle Flow Factors</t>
  </si>
  <si>
    <t>Bicycle peak-hour flow along the road (bike/hr)</t>
  </si>
  <si>
    <t>Table 12-X36. Pedestrian Crash Likelihood Adjustment Factors for Intersection Type</t>
  </si>
  <si>
    <t>Table 12-X37. Proportion of Pedestrian Crashes at Intersections on Urban and Suburban Arterials by Injury Severity Type</t>
  </si>
  <si>
    <t>Pedestrian peak-hour flow for a specific leg (ped/hr)</t>
  </si>
  <si>
    <t>Table 12-X55. Crash Likelihood Adjustment Factors for Bicycle Facilities and Paved Shoulder Provision for Bicycle Movements Through Intersections</t>
  </si>
  <si>
    <t>Table 12-X56. Crash Likelihood Adjustment Factors for Bicycle Path and Pedestrian Crossing Facility Types for Bicycle Movements Through Intersections</t>
  </si>
  <si>
    <t>Table 12-X57. Bicycle Crash Likelihood Adjustment Factors for Intersection Type / Table 12-X60. Bicycle Crash Severity Adjustment Factors for Intersection Type</t>
  </si>
  <si>
    <t>Table 12-X58. Crash Likelihood Adjustment Factors for Visibility of an Intersection</t>
  </si>
  <si>
    <t>Table 12-X59. Crash Likelihood Adjustment Factors for Intersection Channelization</t>
  </si>
  <si>
    <t>Table 12-X61. Proportion of Bicycle Crashes at Intersections on Rural Multilane Roadway Segments by Injury Severity Level</t>
  </si>
  <si>
    <t>Table 12-X51. Bicycle Flow Factors</t>
  </si>
  <si>
    <r>
      <t>Observed Ped crashes,   N</t>
    </r>
    <r>
      <rPr>
        <b/>
        <vertAlign val="subscript"/>
        <sz val="10"/>
        <rFont val="Arial"/>
        <family val="2"/>
      </rPr>
      <t xml:space="preserve">ped(observed) </t>
    </r>
    <r>
      <rPr>
        <b/>
        <sz val="10"/>
        <rFont val="Arial"/>
        <family val="2"/>
      </rPr>
      <t>(crashes/year)</t>
    </r>
  </si>
  <si>
    <t>Overdispersion Parameter, k     (Ped Crashes)</t>
  </si>
  <si>
    <t>Weighted adjustment, w     (Ped Crashes)</t>
  </si>
  <si>
    <t>(14)</t>
  </si>
  <si>
    <t>(15)</t>
  </si>
  <si>
    <t>(16)</t>
  </si>
  <si>
    <t>(17)</t>
  </si>
  <si>
    <t>(18)</t>
  </si>
  <si>
    <t>Overdispersion Parameter, k     (Bike Crashes)</t>
  </si>
  <si>
    <t>(19)</t>
  </si>
  <si>
    <r>
      <t>Expected average crash frequency,               N</t>
    </r>
    <r>
      <rPr>
        <b/>
        <vertAlign val="subscript"/>
        <sz val="10"/>
        <rFont val="Arial"/>
        <family val="2"/>
      </rPr>
      <t xml:space="preserve">expected </t>
    </r>
    <r>
      <rPr>
        <b/>
        <sz val="10"/>
        <rFont val="Arial"/>
        <family val="2"/>
      </rPr>
      <t xml:space="preserve">            (Including    Ped &amp; Bike Collisions)</t>
    </r>
  </si>
  <si>
    <t>Weighted adjustment, w           (Bike Crashes)</t>
  </si>
  <si>
    <r>
      <t xml:space="preserve">N </t>
    </r>
    <r>
      <rPr>
        <b/>
        <vertAlign val="subscript"/>
        <sz val="10"/>
        <rFont val="Arial"/>
        <family val="2"/>
      </rPr>
      <t>bike(expected)</t>
    </r>
  </si>
  <si>
    <r>
      <t>Predicted average    Ped crash frequency,                   N</t>
    </r>
    <r>
      <rPr>
        <b/>
        <vertAlign val="subscript"/>
        <sz val="10"/>
        <rFont val="Arial"/>
        <family val="2"/>
      </rPr>
      <t>ped(predicted)</t>
    </r>
  </si>
  <si>
    <r>
      <t>Expected average    Ped crash frequency,               N</t>
    </r>
    <r>
      <rPr>
        <b/>
        <vertAlign val="subscript"/>
        <sz val="10"/>
        <rFont val="Arial"/>
        <family val="2"/>
      </rPr>
      <t>ped(expected)</t>
    </r>
  </si>
  <si>
    <r>
      <t>Predicted average    Bike crash frequency,                   N</t>
    </r>
    <r>
      <rPr>
        <b/>
        <vertAlign val="subscript"/>
        <sz val="10"/>
        <rFont val="Arial"/>
        <family val="2"/>
      </rPr>
      <t>bike(predicted)</t>
    </r>
  </si>
  <si>
    <r>
      <t>Observed Bike crashes,   N</t>
    </r>
    <r>
      <rPr>
        <b/>
        <vertAlign val="subscript"/>
        <sz val="10"/>
        <rFont val="Arial"/>
        <family val="2"/>
      </rPr>
      <t xml:space="preserve">bike(observed) </t>
    </r>
    <r>
      <rPr>
        <b/>
        <sz val="10"/>
        <rFont val="Arial"/>
        <family val="2"/>
      </rPr>
      <t>(crashes/year)</t>
    </r>
  </si>
  <si>
    <r>
      <t>Expected average    Bike crash frequency,               N</t>
    </r>
    <r>
      <rPr>
        <b/>
        <vertAlign val="subscript"/>
        <sz val="10"/>
        <rFont val="Arial"/>
        <family val="2"/>
      </rPr>
      <t>bike(expected)</t>
    </r>
  </si>
  <si>
    <t>Worksheet 3B -- Expected Pedestrian and Bicycle Crashes for Urban and Suburban Arterials</t>
  </si>
  <si>
    <r>
      <t>(8)</t>
    </r>
    <r>
      <rPr>
        <vertAlign val="subscript"/>
        <sz val="10"/>
        <rFont val="Arial"/>
        <family val="2"/>
      </rPr>
      <t>COMB</t>
    </r>
    <r>
      <rPr>
        <sz val="10"/>
        <rFont val="Arial"/>
        <family val="2"/>
      </rPr>
      <t xml:space="preserve"> * (3)</t>
    </r>
    <r>
      <rPr>
        <vertAlign val="subscript"/>
        <sz val="10"/>
        <rFont val="Arial"/>
        <family val="2"/>
      </rPr>
      <t>FI</t>
    </r>
    <r>
      <rPr>
        <sz val="10"/>
        <rFont val="Arial"/>
        <family val="2"/>
      </rPr>
      <t xml:space="preserve"> / (2) </t>
    </r>
    <r>
      <rPr>
        <vertAlign val="subscript"/>
        <sz val="10"/>
        <rFont val="Arial"/>
        <family val="2"/>
      </rPr>
      <t>TOTAL</t>
    </r>
  </si>
  <si>
    <r>
      <t>(8)</t>
    </r>
    <r>
      <rPr>
        <vertAlign val="subscript"/>
        <sz val="10"/>
        <rFont val="Arial"/>
        <family val="2"/>
      </rPr>
      <t>COMB</t>
    </r>
    <r>
      <rPr>
        <sz val="10"/>
        <rFont val="Arial"/>
        <family val="2"/>
      </rPr>
      <t xml:space="preserve"> * (4)</t>
    </r>
    <r>
      <rPr>
        <vertAlign val="subscript"/>
        <sz val="10"/>
        <rFont val="Arial"/>
        <family val="2"/>
      </rPr>
      <t>PDO</t>
    </r>
    <r>
      <rPr>
        <sz val="10"/>
        <rFont val="Arial"/>
        <family val="2"/>
      </rPr>
      <t xml:space="preserve"> / (2) </t>
    </r>
    <r>
      <rPr>
        <vertAlign val="subscript"/>
        <sz val="10"/>
        <rFont val="Arial"/>
        <family val="2"/>
      </rPr>
      <t>TOTAL</t>
    </r>
  </si>
  <si>
    <r>
      <t xml:space="preserve">N </t>
    </r>
    <r>
      <rPr>
        <b/>
        <vertAlign val="subscript"/>
        <sz val="10"/>
        <rFont val="Arial"/>
        <family val="2"/>
      </rPr>
      <t>expected (Including Ped &amp; Bike Collisions)</t>
    </r>
  </si>
  <si>
    <t>THIS WORKSHEET HAS NOT BEEN UPDATED TO ADDRESS THE NCHRP 17-84 UPDATES.</t>
  </si>
  <si>
    <r>
      <t xml:space="preserve">N </t>
    </r>
    <r>
      <rPr>
        <b/>
        <vertAlign val="subscript"/>
        <sz val="10"/>
        <rFont val="Arial"/>
        <family val="2"/>
      </rPr>
      <t>expected</t>
    </r>
    <r>
      <rPr>
        <sz val="10"/>
        <rFont val="Arial"/>
        <family val="2"/>
      </rPr>
      <t xml:space="preserve">                     (Excluding Ped &amp; Bike Collisions)</t>
    </r>
  </si>
  <si>
    <r>
      <t xml:space="preserve">N </t>
    </r>
    <r>
      <rPr>
        <b/>
        <vertAlign val="subscript"/>
        <sz val="10"/>
        <rFont val="Arial"/>
        <family val="2"/>
      </rPr>
      <t>ped(expected)</t>
    </r>
  </si>
  <si>
    <t>Calculations for Intersections 2-8 have not be updated to address NCHRP Project 17-84.</t>
  </si>
  <si>
    <t>Calculations for Segments 2-8 have not be updated to address NCHRP Project 17-84.</t>
  </si>
  <si>
    <t>(Ped &amp; Bike Calculations work properly for Segment_1)</t>
  </si>
  <si>
    <t>(Ped &amp; Bike Calculations work properly for Intersection_1)</t>
  </si>
  <si>
    <r>
      <rPr>
        <sz val="10"/>
        <rFont val="Arial"/>
        <family val="2"/>
      </rPr>
      <t>Likelihood</t>
    </r>
    <r>
      <rPr>
        <vertAlign val="subscript"/>
        <sz val="11"/>
        <color rgb="FF000000"/>
        <rFont val="Calibri"/>
        <family val="2"/>
        <charset val="1"/>
      </rPr>
      <t>alongright-ped</t>
    </r>
    <r>
      <rPr>
        <sz val="11"/>
        <color rgb="FF000000"/>
        <rFont val="Calibri"/>
        <family val="2"/>
        <charset val="1"/>
      </rPr>
      <t xml:space="preserve"> (Equation 12-X23)</t>
    </r>
  </si>
  <si>
    <r>
      <rPr>
        <sz val="10"/>
        <rFont val="Arial"/>
        <family val="2"/>
      </rPr>
      <t>N</t>
    </r>
    <r>
      <rPr>
        <vertAlign val="subscript"/>
        <sz val="11"/>
        <color rgb="FF000000"/>
        <rFont val="Calibri"/>
        <family val="2"/>
        <charset val="1"/>
      </rPr>
      <t>alongleft-ped</t>
    </r>
    <r>
      <rPr>
        <sz val="11"/>
        <color rgb="FF000000"/>
        <rFont val="Calibri"/>
        <family val="2"/>
        <charset val="1"/>
      </rPr>
      <t xml:space="preserve"> (Equation 12-X19)</t>
    </r>
  </si>
  <si>
    <r>
      <rPr>
        <sz val="10"/>
        <rFont val="Arial"/>
        <family val="2"/>
      </rPr>
      <t>N</t>
    </r>
    <r>
      <rPr>
        <vertAlign val="subscript"/>
        <sz val="11"/>
        <color rgb="FF000000"/>
        <rFont val="Calibri"/>
        <family val="2"/>
        <charset val="1"/>
      </rPr>
      <t>alongright-ped</t>
    </r>
    <r>
      <rPr>
        <sz val="11"/>
        <color rgb="FF000000"/>
        <rFont val="Calibri"/>
        <family val="2"/>
        <charset val="1"/>
      </rPr>
      <t xml:space="preserve"> (Equation 12-X20)</t>
    </r>
  </si>
  <si>
    <r>
      <t>AF</t>
    </r>
    <r>
      <rPr>
        <vertAlign val="subscript"/>
        <sz val="11"/>
        <color rgb="FF000000"/>
        <rFont val="Calibri"/>
        <family val="2"/>
        <charset val="1"/>
      </rPr>
      <t>SM3-ped</t>
    </r>
    <r>
      <rPr>
        <sz val="10"/>
        <rFont val="Arial"/>
        <family val="2"/>
      </rPr>
      <t xml:space="preserve"> (Pedestrian crossing facility type)</t>
    </r>
    <r>
      <rPr>
        <sz val="11"/>
        <color rgb="FF000000"/>
        <rFont val="Calibri"/>
        <family val="2"/>
        <charset val="1"/>
      </rPr>
      <t xml:space="preserve"> (Table 12-X33)</t>
    </r>
  </si>
  <si>
    <r>
      <t>FT</t>
    </r>
    <r>
      <rPr>
        <vertAlign val="subscript"/>
        <sz val="10"/>
        <rFont val="Arial"/>
        <family val="2"/>
      </rPr>
      <t>biker</t>
    </r>
    <r>
      <rPr>
        <sz val="10"/>
        <rFont val="Arial"/>
        <family val="2"/>
      </rPr>
      <t xml:space="preserve"> (Table 12-X38)</t>
    </r>
  </si>
  <si>
    <t>from Worksheet X7</t>
  </si>
  <si>
    <t>Collision with bicycle (from Worksheets 1J, X4, and X8)</t>
  </si>
  <si>
    <t>Intersection type (3ST, 3SG, 4ST, 4SG, 4SG 1×2)</t>
  </si>
  <si>
    <t>(4) from Worksheet X9</t>
  </si>
  <si>
    <t>(4) from Worksheet 2H</t>
  </si>
  <si>
    <r>
      <t>AF</t>
    </r>
    <r>
      <rPr>
        <vertAlign val="subscript"/>
        <sz val="11"/>
        <color rgb="FF000000"/>
        <rFont val="Calibri"/>
        <family val="2"/>
        <charset val="1"/>
      </rPr>
      <t>SI3-ped</t>
    </r>
    <r>
      <rPr>
        <sz val="10"/>
        <rFont val="Arial"/>
        <family val="2"/>
      </rPr>
      <t xml:space="preserve"> (Pedestrian crossing facility type)</t>
    </r>
    <r>
      <rPr>
        <sz val="11"/>
        <color rgb="FF000000"/>
        <rFont val="Calibri"/>
        <family val="2"/>
        <charset val="1"/>
      </rPr>
      <t xml:space="preserve"> (Table 12-X33)</t>
    </r>
  </si>
  <si>
    <r>
      <t>N</t>
    </r>
    <r>
      <rPr>
        <b/>
        <vertAlign val="subscript"/>
        <sz val="11"/>
        <color rgb="FF000000"/>
        <rFont val="Calibri"/>
        <family val="2"/>
        <charset val="1"/>
      </rPr>
      <t>pedi-C</t>
    </r>
    <r>
      <rPr>
        <b/>
        <sz val="11"/>
        <color rgb="FF000000"/>
        <rFont val="Calibri"/>
        <family val="2"/>
        <charset val="1"/>
      </rPr>
      <t xml:space="preserve"> (Equation 12-X40)</t>
    </r>
  </si>
  <si>
    <t>Collision with pedestrian (from Worksheets 2G, 2I, and X13)</t>
  </si>
  <si>
    <t>Collision with bicycle (from Worksheets 2J and X13)</t>
  </si>
  <si>
    <t>This spreadsheet is a deliverable of National Cooperative Highway Research Program (NCHRP) Project 17-84. NCHRP is sponsored by the individual state departments of transportation of the American Association of State Highway and Transportation Officials. NCHRP is administered by the Transportation Research Board (TRB), part of the National Academies of Sciences, Engineering, and Medicine, under a cooperative agreement with the Federal Highway Administration (FHWA). Any opinions and conclusions expressed or implied in resulting research products are those of the individuals and organizations who performed the research and are not necessarily those of TRB; the National Academies of Sciences, Engineering, and Medicine; the FHWA; or NCHRP sponsors.</t>
  </si>
  <si>
    <t>NCHRP Project 17-84</t>
  </si>
  <si>
    <t>© 2022 National Academy of Sciences</t>
  </si>
  <si>
    <t>ACKNOWLEDGMENT OF SPONSORSHIP</t>
  </si>
  <si>
    <t xml:space="preserve">The National Cooperative Highway Research Program (NCHRP) produces ready-to-implement solutions to the challenges facing transportation professionals. NCHRP is sponsored by the individual state departments of transportation of the American Association of State Highway and Transportation Officials. NCHRP is administered by the Transportation Research Board (TRB), part of the National Academies of Sciences, Engineering, and Medicine, under a cooperative agreement with the Federal Highway Administration (FHWA).  </t>
  </si>
  <si>
    <t>COPYRIGHT</t>
  </si>
  <si>
    <t xml:space="preserve">This material and the copyrights herein are owned by the National Academies of Sciences, Engineering, and Medicine.  </t>
  </si>
  <si>
    <t>Permission to reproduce any copyrighted material included herein was obtained by the contractor.</t>
  </si>
  <si>
    <t>DISCLAIMER</t>
  </si>
  <si>
    <t>This is unedited material as submitted by the contractor for NCHRP Project 17-84, "Pedestrian and Bicycle Safety Performance Functions for the Highway Safety Manual." The opinions and conclusions expressed or implied in the material are those of the research agency. They are not necessarily those of TRB; the National Academies of Sciences, Engineering, and Medicine; FHWA; or the program sponsors.</t>
  </si>
  <si>
    <t>No warranty is made by the developers or their employer as to the accuracy, completeness, or reliability of this software and its associated equations and documentation. No responsibility is assumed by the developers for incorrect results or damages resulting from the use of this software. This software is offered as is, without warranty or promise of support of any kind either expressed or implied. Under no circumstance will the National Academy of Sciences or the Transportation Research Board (collectively “TRB”) be liable for any loss or damage caused by the installation or operation of this product. TRB makes no representation or warranty of any kind, expressed or implied, in fact or in law, including without limitation, the warranty of merchantability or the warranty of fitness for a particular purpose, and shall not in any case be liable for any consequential or special damages.</t>
  </si>
  <si>
    <t>INSTRUCTIONS</t>
  </si>
  <si>
    <t>Please read "Instructions" tab for additional information.</t>
  </si>
  <si>
    <t xml:space="preserve">User-provided data are entered into the green cells on each worksheet. Key outputs of the methodology are in yellow cells. All interim computation steps are shown as non-highlighted cells. Several equations, lookup tables, and diagrams are provided for reference to explain the meaning of certain variables. </t>
  </si>
  <si>
    <t xml:space="preserve">The worksheets are password protected, with only the required user inputs being editable. The password for unlocking the engine may be requested from NCHRP or the project principal investigators. All green cells need to have data entered in order for the computations to work properly. </t>
  </si>
  <si>
    <r>
      <t xml:space="preserve">This spreadsheet tool is supplemental to </t>
    </r>
    <r>
      <rPr>
        <b/>
        <i/>
        <sz val="10"/>
        <rFont val="Arial"/>
        <family val="2"/>
      </rPr>
      <t>NCHRP Research Report 1064: Pedestrian and Bicycle Safety Performance Functions: An Update</t>
    </r>
    <r>
      <rPr>
        <b/>
        <sz val="10"/>
        <rFont val="Arial"/>
        <family val="2"/>
      </rPr>
      <t xml:space="preserve"> (NCHRP Project 17-84, "Pedestrian and Bicycle Safety Performance Functions for the Highway Safety Manual). The full report can be found on the National Academies Press website (nap.nationalacademies.org) by searching for </t>
    </r>
    <r>
      <rPr>
        <b/>
        <i/>
        <sz val="10"/>
        <rFont val="Arial"/>
        <family val="2"/>
      </rPr>
      <t>NCHRP Research Report 1064.</t>
    </r>
  </si>
  <si>
    <r>
      <t xml:space="preserve">Pedestrian and Bicycle Safety Performance Functions for the </t>
    </r>
    <r>
      <rPr>
        <i/>
        <sz val="22"/>
        <rFont val="Arial"/>
        <family val="2"/>
      </rPr>
      <t>Highway Safety Manual -</t>
    </r>
    <r>
      <rPr>
        <sz val="22"/>
        <rFont val="Arial"/>
        <family val="2"/>
      </rPr>
      <t xml:space="preserve"> Urban/Suburban Arterials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</si>
</sst>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mm/dd/yy;@"/>
    <numFmt numFmtId="166" formatCode="0.0"/>
    <numFmt numFmtId="167" formatCode="#,##0.000"/>
    <numFmt numFmtId="168" formatCode="_(* #,##0_);_(* \(#,##0\);_(* &quot;-&quot;??_);_(@_)"/>
    <numFmt numFmtId="169" formatCode="0.0000000E+00"/>
    <numFmt numFmtId="170" formatCode="0.0000"/>
  </numFmts>
  <fonts count="64"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sz val="10"/>
      <name val="Calibri"/>
      <family val="2"/>
    </font>
    <font>
      <u/>
      <sz val="10"/>
      <name val="Arial"/>
      <family val="2"/>
    </font>
    <font>
      <sz val="9"/>
      <name val="Arial"/>
      <family val="2"/>
    </font>
    <font>
      <sz val="11"/>
      <color rgb="FF3F3F76"/>
      <name val="Calibri"/>
      <family val="2"/>
      <scheme val="minor"/>
    </font>
    <font>
      <sz val="11"/>
      <color rgb="FF000000"/>
      <name val="Calibri"/>
      <family val="2"/>
      <charset val="1"/>
    </font>
    <font>
      <b/>
      <sz val="11"/>
      <color rgb="FF000000"/>
      <name val="Calibri"/>
      <family val="2"/>
      <charset val="1"/>
    </font>
    <font>
      <b/>
      <sz val="14"/>
      <color rgb="FF000000"/>
      <name val="Calibri"/>
      <family val="2"/>
    </font>
    <font>
      <b/>
      <sz val="20"/>
      <color rgb="FF000000"/>
      <name val="Calibri"/>
      <family val="2"/>
      <charset val="1"/>
    </font>
    <font>
      <b/>
      <sz val="16"/>
      <color rgb="FF000000"/>
      <name val="Calibri"/>
      <family val="2"/>
    </font>
    <font>
      <b/>
      <vertAlign val="subscript"/>
      <sz val="11"/>
      <color rgb="FF000000"/>
      <name val="Calibri"/>
      <family val="2"/>
      <charset val="1"/>
    </font>
    <font>
      <vertAlign val="subscript"/>
      <sz val="11"/>
      <color rgb="FF000000"/>
      <name val="Calibri"/>
      <family val="2"/>
      <charset val="1"/>
    </font>
    <font>
      <sz val="11"/>
      <color rgb="FF000000"/>
      <name val="Calibri"/>
      <family val="2"/>
    </font>
    <font>
      <vertAlign val="subscript"/>
      <sz val="11"/>
      <color theme="1"/>
      <name val="Calibri"/>
      <family val="2"/>
      <scheme val="minor"/>
    </font>
    <font>
      <sz val="11"/>
      <color theme="1"/>
      <name val="Calibri"/>
      <family val="2"/>
    </font>
    <font>
      <vertAlign val="subscript"/>
      <sz val="11"/>
      <color theme="1"/>
      <name val="Calibri"/>
      <family val="2"/>
    </font>
    <font>
      <b/>
      <sz val="11"/>
      <color rgb="FF000000"/>
      <name val="Calibri"/>
      <family val="2"/>
    </font>
    <font>
      <b/>
      <sz val="16"/>
      <color rgb="FF000000"/>
      <name val="Calibri"/>
      <family val="2"/>
      <charset val="1"/>
    </font>
    <font>
      <sz val="16"/>
      <color rgb="FF000000"/>
      <name val="Calibri"/>
      <family val="2"/>
      <charset val="1"/>
    </font>
    <font>
      <b/>
      <sz val="14"/>
      <color rgb="FF000000"/>
      <name val="Calibri"/>
      <family val="2"/>
      <charset val="1"/>
    </font>
    <font>
      <sz val="11"/>
      <color rgb="FF000000"/>
      <name val="Calibri"/>
      <family val="2"/>
      <scheme val="minor"/>
    </font>
    <font>
      <b/>
      <sz val="8"/>
      <color rgb="FF000000"/>
      <name val="Arial"/>
      <family val="2"/>
    </font>
    <font>
      <b/>
      <i/>
      <vertAlign val="subscript"/>
      <sz val="8"/>
      <color rgb="FF000000"/>
      <name val="Arial"/>
      <family val="2"/>
    </font>
    <font>
      <sz val="8"/>
      <color rgb="FF000000"/>
      <name val="Arial"/>
      <family val="2"/>
    </font>
    <font>
      <b/>
      <sz val="11"/>
      <color rgb="FFFF0000"/>
      <name val="Calibri"/>
      <family val="2"/>
    </font>
    <font>
      <sz val="10"/>
      <color rgb="FFFF0000"/>
      <name val="Arial"/>
      <family val="2"/>
    </font>
    <font>
      <b/>
      <sz val="9"/>
      <name val="Arial"/>
      <family val="2"/>
    </font>
    <font>
      <b/>
      <sz val="9"/>
      <color rgb="FF000000"/>
      <name val="Arial"/>
      <family val="2"/>
    </font>
    <font>
      <b/>
      <sz val="12"/>
      <color rgb="FF000000"/>
      <name val="Times New Roman"/>
      <family val="1"/>
    </font>
    <font>
      <b/>
      <i/>
      <vertAlign val="subscript"/>
      <sz val="12"/>
      <color rgb="FF000000"/>
      <name val="Times New Roman"/>
      <family val="1"/>
    </font>
    <font>
      <b/>
      <sz val="14"/>
      <color rgb="FFFF0000"/>
      <name val="Arial"/>
      <family val="2"/>
    </font>
    <font>
      <sz val="11"/>
      <name val="Calibri"/>
      <family val="2"/>
    </font>
    <font>
      <b/>
      <sz val="12"/>
      <name val="Times New Roman"/>
      <family val="1"/>
    </font>
    <font>
      <b/>
      <sz val="12"/>
      <color rgb="FF000000"/>
      <name val="Calibri"/>
      <family val="2"/>
      <charset val="1"/>
    </font>
    <font>
      <b/>
      <sz val="10"/>
      <color rgb="FFFF0000"/>
      <name val="Arial"/>
      <family val="2"/>
    </font>
    <font>
      <b/>
      <sz val="12"/>
      <color rgb="FFFF0000"/>
      <name val="Arial"/>
      <family val="2"/>
    </font>
    <font>
      <u/>
      <sz val="10"/>
      <color theme="10"/>
      <name val="Arial"/>
      <family val="2"/>
    </font>
    <font>
      <u/>
      <sz val="10"/>
      <color rgb="FFFF0000"/>
      <name val="Arial"/>
      <family val="2"/>
    </font>
    <font>
      <sz val="11"/>
      <color rgb="FFFF0000"/>
      <name val="Calibri"/>
      <family val="2"/>
      <charset val="1"/>
    </font>
    <font>
      <i/>
      <sz val="10"/>
      <color theme="0" tint="-0.249977111117893"/>
      <name val="Arial"/>
      <family val="2"/>
    </font>
    <font>
      <i/>
      <sz val="11"/>
      <color theme="0" tint="-0.249977111117893"/>
      <name val="Calibri"/>
      <family val="2"/>
    </font>
    <font>
      <vertAlign val="subscript"/>
      <sz val="11"/>
      <color rgb="FF000000"/>
      <name val="Calibri"/>
      <family val="2"/>
    </font>
    <font>
      <sz val="11"/>
      <color theme="0" tint="-0.249977111117893"/>
      <name val="Calibri"/>
      <family val="2"/>
      <charset val="1"/>
    </font>
    <font>
      <sz val="11"/>
      <color theme="0" tint="-0.249977111117893"/>
      <name val="Calibri"/>
      <family val="2"/>
    </font>
    <font>
      <b/>
      <u/>
      <sz val="14"/>
      <name val="Arial"/>
      <family val="2"/>
    </font>
    <font>
      <sz val="22"/>
      <name val="Arial"/>
      <family val="2"/>
    </font>
    <font>
      <i/>
      <sz val="22"/>
      <name val="Arial"/>
      <family val="2"/>
    </font>
  </fonts>
  <fills count="21">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FFCC99"/>
      </patternFill>
    </fill>
    <fill>
      <patternFill patternType="solid">
        <fgColor rgb="FFFFFF00"/>
        <bgColor rgb="FFFFFF00"/>
      </patternFill>
    </fill>
    <fill>
      <patternFill patternType="solid">
        <fgColor rgb="FFFFFFFF"/>
        <bgColor rgb="FFFFFFCC"/>
      </patternFill>
    </fill>
    <fill>
      <patternFill patternType="solid">
        <fgColor rgb="FFBFBFBF"/>
        <bgColor indexed="64"/>
      </patternFill>
    </fill>
    <fill>
      <patternFill patternType="solid">
        <fgColor rgb="FF56B4E9"/>
        <bgColor rgb="FFFF9900"/>
      </patternFill>
    </fill>
    <fill>
      <patternFill patternType="solid">
        <fgColor rgb="FFF0E442"/>
        <bgColor rgb="FFFF9900"/>
      </patternFill>
    </fill>
    <fill>
      <patternFill patternType="solid">
        <fgColor rgb="FF00B050"/>
        <bgColor rgb="FF33CCCC"/>
      </patternFill>
    </fill>
    <fill>
      <patternFill patternType="solid">
        <fgColor rgb="FF00B050"/>
        <bgColor rgb="FFFF9900"/>
      </patternFill>
    </fill>
    <fill>
      <patternFill patternType="solid">
        <fgColor rgb="FF00B050"/>
        <bgColor rgb="FFFFFF00"/>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ck">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double">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double">
        <color auto="1"/>
      </top>
      <bottom style="medium">
        <color auto="1"/>
      </bottom>
      <diagonal/>
    </border>
    <border>
      <left style="medium">
        <color indexed="64"/>
      </left>
      <right style="medium">
        <color indexed="64"/>
      </right>
      <top/>
      <bottom/>
      <diagonal/>
    </border>
    <border>
      <left style="medium">
        <color indexed="64"/>
      </left>
      <right style="medium">
        <color indexed="64"/>
      </right>
      <top style="double">
        <color auto="1"/>
      </top>
      <bottom style="medium">
        <color auto="1"/>
      </bottom>
      <diagonal/>
    </border>
    <border>
      <left style="medium">
        <color indexed="64"/>
      </left>
      <right style="medium">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xf numFmtId="0" fontId="21" fillId="11" borderId="51" applyNumberFormat="0" applyAlignment="0" applyProtection="0"/>
    <xf numFmtId="0" fontId="22" fillId="0" borderId="0"/>
    <xf numFmtId="43" fontId="22" fillId="0" borderId="0" applyFont="0" applyFill="0" applyBorder="0" applyAlignment="0" applyProtection="0"/>
    <xf numFmtId="0" fontId="53" fillId="0" borderId="0" applyNumberFormat="0" applyFill="0" applyBorder="0" applyAlignment="0" applyProtection="0"/>
  </cellStyleXfs>
  <cellXfs count="1162">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0" fontId="3" fillId="0" borderId="0" xfId="0" applyFont="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166" fontId="0" fillId="0" borderId="0" xfId="0" applyNumberFormat="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0" fillId="0" borderId="5" xfId="0" applyBorder="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6" xfId="0" applyBorder="1"/>
    <xf numFmtId="0" fontId="0" fillId="0" borderId="7" xfId="0" applyBorder="1"/>
    <xf numFmtId="0" fontId="1" fillId="0" borderId="0" xfId="0" applyFont="1"/>
    <xf numFmtId="0" fontId="1" fillId="0" borderId="0" xfId="0" applyFont="1" applyAlignment="1">
      <alignment horizontal="center"/>
    </xf>
    <xf numFmtId="2" fontId="0" fillId="0" borderId="0" xfId="0" applyNumberFormat="1" applyAlignment="1">
      <alignment horizontal="center"/>
    </xf>
    <xf numFmtId="0" fontId="0" fillId="0" borderId="0" xfId="0" quotePrefix="1" applyAlignment="1">
      <alignment horizontal="center"/>
    </xf>
    <xf numFmtId="164" fontId="0" fillId="0" borderId="0" xfId="0" applyNumberFormat="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1" fillId="0" borderId="0" xfId="0" quotePrefix="1" applyFont="1" applyAlignment="1">
      <alignment horizontal="center"/>
    </xf>
    <xf numFmtId="0" fontId="1" fillId="0" borderId="0" xfId="0" applyFont="1" applyAlignment="1">
      <alignment horizontal="center" vertical="top"/>
    </xf>
    <xf numFmtId="0" fontId="1" fillId="0" borderId="1" xfId="0" quotePrefix="1" applyFont="1" applyBorder="1" applyAlignment="1">
      <alignment horizontal="center"/>
    </xf>
    <xf numFmtId="0" fontId="3" fillId="0" borderId="0" xfId="0" applyFont="1" applyAlignment="1">
      <alignment horizontal="left" vertical="top"/>
    </xf>
    <xf numFmtId="0" fontId="3" fillId="0" borderId="0" xfId="0" applyFont="1" applyAlignment="1">
      <alignment horizontal="center" vertical="top"/>
    </xf>
    <xf numFmtId="0" fontId="0" fillId="0" borderId="0" xfId="0" applyAlignment="1">
      <alignment horizontal="left"/>
    </xf>
    <xf numFmtId="0" fontId="1" fillId="0" borderId="0" xfId="0" applyFont="1" applyAlignment="1">
      <alignment horizontal="left"/>
    </xf>
    <xf numFmtId="0" fontId="3" fillId="0" borderId="0" xfId="0" applyFont="1" applyAlignment="1">
      <alignment horizontal="left"/>
    </xf>
    <xf numFmtId="164" fontId="1" fillId="0" borderId="0" xfId="0" applyNumberFormat="1" applyFont="1" applyAlignment="1">
      <alignment horizontal="center"/>
    </xf>
    <xf numFmtId="164" fontId="0" fillId="0" borderId="4" xfId="0" applyNumberFormat="1" applyBorder="1" applyAlignment="1">
      <alignment horizontal="center"/>
    </xf>
    <xf numFmtId="2" fontId="1" fillId="0" borderId="0" xfId="0" applyNumberFormat="1" applyFont="1" applyAlignment="1">
      <alignment horizontal="center"/>
    </xf>
    <xf numFmtId="0" fontId="1" fillId="0" borderId="0" xfId="0" applyFont="1" applyAlignment="1">
      <alignment horizontal="center" vertical="center"/>
    </xf>
    <xf numFmtId="0" fontId="0" fillId="0" borderId="0" xfId="0" quotePrefix="1" applyAlignment="1">
      <alignment horizontal="center" vertical="center"/>
    </xf>
    <xf numFmtId="164" fontId="0" fillId="0" borderId="3" xfId="0" applyNumberFormat="1" applyBorder="1" applyAlignment="1">
      <alignment horizontal="center"/>
    </xf>
    <xf numFmtId="2" fontId="1" fillId="0" borderId="0" xfId="0" applyNumberFormat="1" applyFont="1" applyAlignment="1">
      <alignment horizontal="left"/>
    </xf>
    <xf numFmtId="49" fontId="3" fillId="0" borderId="0" xfId="0" applyNumberFormat="1" applyFont="1" applyAlignment="1">
      <alignment horizontal="center"/>
    </xf>
    <xf numFmtId="49" fontId="0" fillId="0" borderId="0" xfId="0" applyNumberFormat="1"/>
    <xf numFmtId="49" fontId="3" fillId="0" borderId="0" xfId="0" applyNumberFormat="1" applyFont="1"/>
    <xf numFmtId="166" fontId="6" fillId="0" borderId="0" xfId="0" applyNumberFormat="1" applyFont="1" applyAlignment="1">
      <alignment horizontal="center"/>
    </xf>
    <xf numFmtId="166" fontId="3" fillId="0" borderId="0" xfId="0" applyNumberFormat="1" applyFont="1" applyAlignment="1">
      <alignment horizontal="center" vertical="top"/>
    </xf>
    <xf numFmtId="0" fontId="3" fillId="0" borderId="0" xfId="0" applyFont="1" applyAlignment="1">
      <alignment vertical="top"/>
    </xf>
    <xf numFmtId="0" fontId="0" fillId="0" borderId="0" xfId="0" applyAlignment="1">
      <alignment vertical="top"/>
    </xf>
    <xf numFmtId="49" fontId="1" fillId="0" borderId="0" xfId="0" applyNumberFormat="1" applyFont="1" applyAlignment="1">
      <alignment horizontal="center"/>
    </xf>
    <xf numFmtId="49" fontId="6" fillId="0" borderId="0" xfId="0" applyNumberFormat="1" applyFont="1" applyAlignment="1">
      <alignment horizontal="center"/>
    </xf>
    <xf numFmtId="164" fontId="6" fillId="0" borderId="0" xfId="0" applyNumberFormat="1" applyFont="1" applyAlignment="1">
      <alignment horizontal="center"/>
    </xf>
    <xf numFmtId="2" fontId="2" fillId="0" borderId="0" xfId="0" applyNumberFormat="1" applyFont="1" applyAlignment="1">
      <alignment horizontal="left"/>
    </xf>
    <xf numFmtId="2" fontId="3" fillId="0" borderId="0" xfId="0" applyNumberFormat="1" applyFont="1" applyAlignment="1">
      <alignment horizontal="center" vertical="top"/>
    </xf>
    <xf numFmtId="0" fontId="1" fillId="0" borderId="0" xfId="0" quotePrefix="1" applyFont="1" applyAlignment="1">
      <alignment horizontal="center" vertical="center"/>
    </xf>
    <xf numFmtId="20" fontId="1" fillId="0" borderId="0" xfId="0" quotePrefix="1" applyNumberFormat="1" applyFont="1" applyAlignment="1">
      <alignment horizontal="center"/>
    </xf>
    <xf numFmtId="0" fontId="2" fillId="0" borderId="0" xfId="0" applyFont="1" applyAlignment="1">
      <alignment vertical="center"/>
    </xf>
    <xf numFmtId="0" fontId="2" fillId="0" borderId="0" xfId="0" applyFont="1"/>
    <xf numFmtId="1" fontId="1" fillId="0" borderId="0" xfId="0" applyNumberFormat="1" applyFont="1"/>
    <xf numFmtId="2" fontId="0" fillId="0" borderId="0" xfId="0" applyNumberFormat="1" applyAlignment="1">
      <alignment horizontal="center" vertical="top"/>
    </xf>
    <xf numFmtId="1" fontId="1" fillId="0" borderId="0" xfId="0" applyNumberFormat="1" applyFont="1" applyAlignment="1">
      <alignment horizontal="center" vertical="center"/>
    </xf>
    <xf numFmtId="1" fontId="0" fillId="0" borderId="0" xfId="0" applyNumberFormat="1" applyAlignment="1">
      <alignment horizontal="center" vertical="center"/>
    </xf>
    <xf numFmtId="2" fontId="1" fillId="0" borderId="0" xfId="0" quotePrefix="1" applyNumberFormat="1" applyFont="1" applyAlignment="1">
      <alignment horizontal="center" vertical="top"/>
    </xf>
    <xf numFmtId="0" fontId="5" fillId="0" borderId="0" xfId="0" applyFont="1" applyAlignment="1">
      <alignment vertical="center"/>
    </xf>
    <xf numFmtId="0" fontId="1" fillId="0" borderId="8" xfId="0" quotePrefix="1" applyFont="1" applyBorder="1" applyAlignment="1">
      <alignment horizontal="center"/>
    </xf>
    <xf numFmtId="0" fontId="1" fillId="0" borderId="2" xfId="0" quotePrefix="1" applyFont="1" applyBorder="1" applyAlignment="1">
      <alignment horizontal="center"/>
    </xf>
    <xf numFmtId="0" fontId="1" fillId="0" borderId="0" xfId="0" applyFont="1" applyAlignment="1">
      <alignment vertical="top"/>
    </xf>
    <xf numFmtId="167" fontId="0" fillId="0" borderId="2" xfId="0" applyNumberFormat="1" applyBorder="1" applyAlignment="1">
      <alignment horizontal="center"/>
    </xf>
    <xf numFmtId="164" fontId="1" fillId="0" borderId="2" xfId="0" quotePrefix="1" applyNumberFormat="1" applyFont="1" applyBorder="1" applyAlignment="1">
      <alignment horizontal="center"/>
    </xf>
    <xf numFmtId="0" fontId="17" fillId="0" borderId="0" xfId="0" applyFont="1"/>
    <xf numFmtId="0" fontId="3" fillId="0" borderId="12" xfId="0" applyFont="1" applyBorder="1"/>
    <xf numFmtId="0" fontId="3" fillId="0" borderId="13" xfId="0" applyFont="1" applyBorder="1" applyAlignment="1">
      <alignment horizontal="center"/>
    </xf>
    <xf numFmtId="0" fontId="0" fillId="0" borderId="14" xfId="0" applyBorder="1"/>
    <xf numFmtId="0" fontId="3" fillId="0" borderId="2" xfId="0" applyFont="1" applyBorder="1" applyAlignment="1">
      <alignment horizontal="center" wrapText="1"/>
    </xf>
    <xf numFmtId="0" fontId="0" fillId="0" borderId="4" xfId="0" applyBorder="1" applyAlignment="1">
      <alignment horizontal="center"/>
    </xf>
    <xf numFmtId="2" fontId="0" fillId="0" borderId="15" xfId="0" applyNumberFormat="1" applyBorder="1" applyAlignment="1">
      <alignment horizontal="center"/>
    </xf>
    <xf numFmtId="0" fontId="1" fillId="0" borderId="2" xfId="0" applyFont="1" applyBorder="1" applyAlignment="1">
      <alignment horizontal="center"/>
    </xf>
    <xf numFmtId="164" fontId="0" fillId="0" borderId="15" xfId="0" applyNumberFormat="1" applyBorder="1" applyAlignment="1">
      <alignment horizontal="center"/>
    </xf>
    <xf numFmtId="2" fontId="1" fillId="0" borderId="16" xfId="0" applyNumberFormat="1" applyFont="1" applyBorder="1" applyAlignment="1">
      <alignment horizontal="left"/>
    </xf>
    <xf numFmtId="164" fontId="0" fillId="0" borderId="2" xfId="0" applyNumberFormat="1" applyBorder="1" applyAlignment="1">
      <alignment horizontal="center" wrapText="1"/>
    </xf>
    <xf numFmtId="164" fontId="0" fillId="0" borderId="3" xfId="0" applyNumberFormat="1" applyBorder="1" applyAlignment="1">
      <alignment horizontal="center" wrapText="1"/>
    </xf>
    <xf numFmtId="0" fontId="1" fillId="0" borderId="17" xfId="0" applyFont="1" applyBorder="1" applyAlignment="1">
      <alignment horizontal="center"/>
    </xf>
    <xf numFmtId="0" fontId="1" fillId="0" borderId="0" xfId="0" applyFont="1" applyAlignment="1">
      <alignment vertical="center"/>
    </xf>
    <xf numFmtId="0" fontId="1" fillId="0" borderId="16" xfId="0" applyFont="1" applyBorder="1" applyAlignment="1">
      <alignment horizontal="center"/>
    </xf>
    <xf numFmtId="1" fontId="0" fillId="0" borderId="0" xfId="0" applyNumberFormat="1" applyAlignment="1">
      <alignment horizontal="center"/>
    </xf>
    <xf numFmtId="2" fontId="0" fillId="0" borderId="8" xfId="0" applyNumberFormat="1" applyBorder="1" applyAlignment="1">
      <alignment horizontal="center"/>
    </xf>
    <xf numFmtId="166" fontId="3" fillId="0" borderId="2" xfId="0" applyNumberFormat="1" applyFont="1" applyBorder="1" applyAlignment="1">
      <alignment horizontal="center"/>
    </xf>
    <xf numFmtId="0" fontId="1" fillId="0" borderId="0" xfId="0" applyFont="1" applyAlignment="1">
      <alignment horizontal="right"/>
    </xf>
    <xf numFmtId="164" fontId="0" fillId="0" borderId="19" xfId="0" applyNumberFormat="1" applyBorder="1" applyAlignment="1">
      <alignment horizontal="center"/>
    </xf>
    <xf numFmtId="164" fontId="0" fillId="0" borderId="13" xfId="0" applyNumberFormat="1" applyBorder="1" applyAlignment="1">
      <alignment horizontal="center"/>
    </xf>
    <xf numFmtId="0" fontId="3" fillId="0" borderId="0" xfId="0" applyFont="1" applyAlignment="1">
      <alignment horizont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top" wrapText="1"/>
    </xf>
    <xf numFmtId="0" fontId="0" fillId="0" borderId="0" xfId="0" quotePrefix="1" applyAlignment="1">
      <alignment horizontal="center" vertical="center" wrapText="1"/>
    </xf>
    <xf numFmtId="3" fontId="0" fillId="0" borderId="0" xfId="0" applyNumberFormat="1"/>
    <xf numFmtId="0" fontId="3" fillId="0" borderId="0" xfId="0" applyFont="1" applyAlignment="1">
      <alignment horizontal="centerContinuous"/>
    </xf>
    <xf numFmtId="0" fontId="3" fillId="0" borderId="2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3" fontId="1" fillId="0" borderId="17" xfId="0" applyNumberFormat="1" applyFont="1" applyBorder="1" applyAlignment="1">
      <alignment horizontal="center"/>
    </xf>
    <xf numFmtId="0" fontId="0" fillId="0" borderId="2" xfId="0" applyBorder="1"/>
    <xf numFmtId="0" fontId="0" fillId="0" borderId="3" xfId="0" applyBorder="1"/>
    <xf numFmtId="2" fontId="0" fillId="0" borderId="0" xfId="0" applyNumberFormat="1" applyAlignment="1">
      <alignment horizontal="center" vertical="center"/>
    </xf>
    <xf numFmtId="0" fontId="3" fillId="0" borderId="3" xfId="0" applyFont="1" applyBorder="1" applyAlignment="1">
      <alignment horizontal="center" wrapText="1"/>
    </xf>
    <xf numFmtId="0" fontId="2" fillId="0" borderId="7" xfId="0" applyFont="1" applyBorder="1"/>
    <xf numFmtId="0" fontId="0" fillId="0" borderId="19" xfId="0" applyBorder="1"/>
    <xf numFmtId="0" fontId="3" fillId="0" borderId="2" xfId="0" applyFont="1" applyBorder="1" applyAlignment="1">
      <alignment horizontal="center" vertical="top" wrapText="1"/>
    </xf>
    <xf numFmtId="0" fontId="0" fillId="0" borderId="0" xfId="0" applyAlignment="1">
      <alignment vertical="top" wrapText="1"/>
    </xf>
    <xf numFmtId="0" fontId="3" fillId="0" borderId="3" xfId="0" applyFont="1" applyBorder="1" applyAlignment="1">
      <alignment horizontal="center" vertical="top" wrapText="1"/>
    </xf>
    <xf numFmtId="164" fontId="0" fillId="0" borderId="0" xfId="0" applyNumberFormat="1" applyAlignment="1">
      <alignment horizontal="center" wrapText="1"/>
    </xf>
    <xf numFmtId="164" fontId="1" fillId="0" borderId="0" xfId="0" applyNumberFormat="1" applyFont="1" applyAlignment="1">
      <alignment horizontal="center" wrapText="1"/>
    </xf>
    <xf numFmtId="0" fontId="0" fillId="0" borderId="2" xfId="0" applyBorder="1" applyAlignment="1">
      <alignment vertical="center" wrapText="1"/>
    </xf>
    <xf numFmtId="0" fontId="0" fillId="0" borderId="2" xfId="0" applyBorder="1" applyAlignment="1">
      <alignment horizontal="center" wrapText="1"/>
    </xf>
    <xf numFmtId="0" fontId="0" fillId="0" borderId="2" xfId="0" applyBorder="1" applyAlignment="1">
      <alignment wrapText="1"/>
    </xf>
    <xf numFmtId="0" fontId="0" fillId="0" borderId="3" xfId="0" applyBorder="1" applyAlignment="1">
      <alignment horizontal="center" vertical="top" wrapText="1"/>
    </xf>
    <xf numFmtId="0" fontId="1" fillId="0" borderId="2" xfId="0" applyFont="1" applyBorder="1" applyAlignment="1">
      <alignment horizontal="center" vertical="center"/>
    </xf>
    <xf numFmtId="0" fontId="0" fillId="0" borderId="0" xfId="0" applyAlignment="1">
      <alignment horizontal="center" vertical="top" wrapText="1"/>
    </xf>
    <xf numFmtId="0" fontId="0" fillId="0" borderId="17" xfId="0" applyBorder="1" applyAlignment="1">
      <alignment horizontal="center" vertical="top" wrapText="1"/>
    </xf>
    <xf numFmtId="0" fontId="1" fillId="0" borderId="17" xfId="0" applyFont="1" applyBorder="1" applyAlignment="1">
      <alignment horizontal="left"/>
    </xf>
    <xf numFmtId="2" fontId="1" fillId="0" borderId="2" xfId="0" quotePrefix="1" applyNumberFormat="1" applyFont="1" applyBorder="1" applyAlignment="1">
      <alignment horizontal="center"/>
    </xf>
    <xf numFmtId="2" fontId="1" fillId="0" borderId="3" xfId="0" quotePrefix="1" applyNumberFormat="1" applyFont="1" applyBorder="1" applyAlignment="1">
      <alignment horizontal="center"/>
    </xf>
    <xf numFmtId="0" fontId="2" fillId="0" borderId="5" xfId="0" applyFont="1" applyBorder="1" applyAlignment="1">
      <alignment horizontal="left"/>
    </xf>
    <xf numFmtId="0" fontId="1" fillId="0" borderId="3" xfId="0" quotePrefix="1" applyFont="1" applyBorder="1" applyAlignment="1">
      <alignment horizont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2" fontId="1" fillId="0" borderId="4" xfId="0" quotePrefix="1" applyNumberFormat="1" applyFont="1" applyBorder="1" applyAlignment="1">
      <alignment horizontal="center"/>
    </xf>
    <xf numFmtId="0" fontId="3" fillId="0" borderId="4" xfId="0" applyFont="1" applyBorder="1" applyAlignment="1">
      <alignment horizontal="center"/>
    </xf>
    <xf numFmtId="164" fontId="0" fillId="0" borderId="2" xfId="0" quotePrefix="1" applyNumberFormat="1" applyBorder="1" applyAlignment="1">
      <alignment horizontal="center"/>
    </xf>
    <xf numFmtId="164" fontId="0" fillId="0" borderId="21" xfId="0" quotePrefix="1" applyNumberFormat="1" applyBorder="1" applyAlignment="1">
      <alignment horizontal="center"/>
    </xf>
    <xf numFmtId="164" fontId="0" fillId="0" borderId="3" xfId="0" quotePrefix="1" applyNumberFormat="1" applyBorder="1" applyAlignment="1">
      <alignment horizontal="center"/>
    </xf>
    <xf numFmtId="164" fontId="0" fillId="0" borderId="9" xfId="0" quotePrefix="1" applyNumberFormat="1" applyBorder="1" applyAlignment="1">
      <alignment horizontal="center"/>
    </xf>
    <xf numFmtId="164" fontId="0" fillId="0" borderId="10" xfId="0" quotePrefix="1" applyNumberFormat="1" applyBorder="1" applyAlignment="1">
      <alignment horizontal="center"/>
    </xf>
    <xf numFmtId="0" fontId="1" fillId="0" borderId="0" xfId="0" applyFont="1" applyAlignment="1">
      <alignment horizontal="left" vertical="center"/>
    </xf>
    <xf numFmtId="164" fontId="0" fillId="0" borderId="0" xfId="0" quotePrefix="1" applyNumberFormat="1" applyAlignment="1">
      <alignment horizontal="center"/>
    </xf>
    <xf numFmtId="0" fontId="0" fillId="2" borderId="11" xfId="0" applyFill="1" applyBorder="1"/>
    <xf numFmtId="0" fontId="0" fillId="2" borderId="19" xfId="0" applyFill="1" applyBorder="1"/>
    <xf numFmtId="0" fontId="0" fillId="3" borderId="11" xfId="0" applyFill="1" applyBorder="1"/>
    <xf numFmtId="0" fontId="0" fillId="3" borderId="19" xfId="0" applyFill="1" applyBorder="1"/>
    <xf numFmtId="0" fontId="0" fillId="4" borderId="11" xfId="0" applyFill="1" applyBorder="1"/>
    <xf numFmtId="0" fontId="0" fillId="4" borderId="19" xfId="0" applyFill="1" applyBorder="1"/>
    <xf numFmtId="164" fontId="1" fillId="4" borderId="2" xfId="0" applyNumberFormat="1" applyFont="1" applyFill="1" applyBorder="1" applyAlignment="1">
      <alignment horizontal="center" wrapText="1"/>
    </xf>
    <xf numFmtId="164" fontId="1" fillId="4" borderId="3" xfId="0" applyNumberFormat="1" applyFont="1" applyFill="1" applyBorder="1" applyAlignment="1">
      <alignment horizontal="center" wrapText="1"/>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4" borderId="15" xfId="0" applyNumberFormat="1" applyFont="1" applyFill="1" applyBorder="1" applyAlignment="1">
      <alignment horizontal="center"/>
    </xf>
    <xf numFmtId="0" fontId="0" fillId="3" borderId="2" xfId="0" applyFill="1" applyBorder="1" applyAlignment="1">
      <alignment horizontal="center"/>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0" fontId="1" fillId="5" borderId="23" xfId="0" applyFont="1" applyFill="1" applyBorder="1" applyAlignment="1">
      <alignment horizontal="right"/>
    </xf>
    <xf numFmtId="0" fontId="1" fillId="5" borderId="24" xfId="0" applyFont="1" applyFill="1" applyBorder="1" applyAlignment="1">
      <alignment horizontal="left"/>
    </xf>
    <xf numFmtId="3" fontId="0" fillId="5" borderId="25" xfId="0" applyNumberFormat="1" applyFill="1" applyBorder="1" applyAlignment="1">
      <alignment horizontal="center"/>
    </xf>
    <xf numFmtId="0" fontId="19" fillId="0" borderId="0" xfId="0" applyFont="1"/>
    <xf numFmtId="166" fontId="0" fillId="0" borderId="26" xfId="0" applyNumberFormat="1" applyBorder="1" applyAlignment="1">
      <alignment horizontal="center"/>
    </xf>
    <xf numFmtId="166" fontId="1" fillId="0" borderId="28" xfId="0" quotePrefix="1" applyNumberFormat="1" applyFont="1" applyBorder="1" applyAlignment="1">
      <alignment horizontal="center" vertical="center"/>
    </xf>
    <xf numFmtId="0" fontId="1" fillId="8" borderId="8" xfId="0" quotePrefix="1" applyFont="1" applyFill="1" applyBorder="1" applyAlignment="1">
      <alignment horizontal="center"/>
    </xf>
    <xf numFmtId="164" fontId="0" fillId="8" borderId="3" xfId="0" applyNumberFormat="1" applyFill="1" applyBorder="1" applyAlignment="1">
      <alignment horizontal="center"/>
    </xf>
    <xf numFmtId="0" fontId="1" fillId="9" borderId="8" xfId="0" quotePrefix="1" applyFont="1" applyFill="1" applyBorder="1" applyAlignment="1">
      <alignment horizontal="center"/>
    </xf>
    <xf numFmtId="164" fontId="0" fillId="9" borderId="3" xfId="0" applyNumberFormat="1" applyFill="1" applyBorder="1" applyAlignment="1">
      <alignment horizontal="center"/>
    </xf>
    <xf numFmtId="0" fontId="0" fillId="9" borderId="3" xfId="0" applyFill="1" applyBorder="1" applyAlignment="1">
      <alignment horizontal="center" vertical="center" wrapText="1"/>
    </xf>
    <xf numFmtId="0" fontId="0" fillId="7" borderId="1" xfId="0" quotePrefix="1" applyFill="1" applyBorder="1" applyAlignment="1">
      <alignment horizontal="center"/>
    </xf>
    <xf numFmtId="164" fontId="0" fillId="7" borderId="2" xfId="0" applyNumberFormat="1" applyFill="1" applyBorder="1" applyAlignment="1">
      <alignment horizontal="center"/>
    </xf>
    <xf numFmtId="164" fontId="1" fillId="7" borderId="15" xfId="0" applyNumberFormat="1" applyFont="1" applyFill="1" applyBorder="1" applyAlignment="1">
      <alignment horizontal="center"/>
    </xf>
    <xf numFmtId="164" fontId="0" fillId="0" borderId="26" xfId="0" applyNumberFormat="1" applyBorder="1" applyAlignment="1">
      <alignment horizontal="center"/>
    </xf>
    <xf numFmtId="164" fontId="0" fillId="0" borderId="28" xfId="0" applyNumberFormat="1" applyBorder="1" applyAlignment="1">
      <alignment horizontal="center" vertical="center"/>
    </xf>
    <xf numFmtId="164" fontId="0" fillId="0" borderId="29" xfId="0" applyNumberFormat="1" applyBorder="1" applyAlignment="1">
      <alignment horizontal="center" vertical="center"/>
    </xf>
    <xf numFmtId="164" fontId="0" fillId="0" borderId="22" xfId="0" applyNumberFormat="1" applyBorder="1" applyAlignment="1">
      <alignment horizontal="center"/>
    </xf>
    <xf numFmtId="164" fontId="0" fillId="2" borderId="2" xfId="0" quotePrefix="1" applyNumberFormat="1" applyFill="1" applyBorder="1" applyAlignment="1">
      <alignment horizontal="center"/>
    </xf>
    <xf numFmtId="164" fontId="0" fillId="2" borderId="2" xfId="0" applyNumberFormat="1" applyFill="1" applyBorder="1" applyAlignment="1">
      <alignment horizontal="center"/>
    </xf>
    <xf numFmtId="164" fontId="6" fillId="2" borderId="2" xfId="0" applyNumberFormat="1" applyFont="1" applyFill="1" applyBorder="1" applyAlignment="1">
      <alignment horizontal="center"/>
    </xf>
    <xf numFmtId="164" fontId="1" fillId="2" borderId="2" xfId="0" applyNumberFormat="1" applyFont="1" applyFill="1" applyBorder="1" applyAlignment="1">
      <alignment horizontal="center"/>
    </xf>
    <xf numFmtId="164" fontId="0" fillId="2" borderId="11" xfId="0" applyNumberFormat="1" applyFill="1" applyBorder="1" applyAlignment="1">
      <alignment horizontal="center"/>
    </xf>
    <xf numFmtId="164" fontId="0" fillId="2" borderId="11" xfId="0" quotePrefix="1" applyNumberFormat="1" applyFill="1" applyBorder="1" applyAlignment="1">
      <alignment horizontal="center"/>
    </xf>
    <xf numFmtId="0" fontId="1" fillId="0" borderId="4" xfId="0" quotePrefix="1" applyFont="1" applyBorder="1" applyAlignment="1">
      <alignment horizontal="center"/>
    </xf>
    <xf numFmtId="167" fontId="0" fillId="0" borderId="4" xfId="0" applyNumberFormat="1" applyBorder="1" applyAlignment="1">
      <alignment horizontal="center"/>
    </xf>
    <xf numFmtId="0" fontId="1" fillId="0" borderId="15" xfId="0" quotePrefix="1" applyFont="1" applyBorder="1" applyAlignment="1">
      <alignment horizontal="center"/>
    </xf>
    <xf numFmtId="0" fontId="1" fillId="0" borderId="26" xfId="0" quotePrefix="1" applyFont="1" applyBorder="1" applyAlignment="1">
      <alignment horizontal="center"/>
    </xf>
    <xf numFmtId="167" fontId="0" fillId="0" borderId="26" xfId="0" applyNumberFormat="1" applyBorder="1" applyAlignment="1">
      <alignment horizontal="center"/>
    </xf>
    <xf numFmtId="0" fontId="1" fillId="0" borderId="25" xfId="0" quotePrefix="1" applyFont="1" applyBorder="1" applyAlignment="1">
      <alignment horizontal="center"/>
    </xf>
    <xf numFmtId="1" fontId="0" fillId="2" borderId="28" xfId="0" applyNumberFormat="1" applyFill="1" applyBorder="1" applyAlignment="1">
      <alignment horizontal="center" vertical="center"/>
    </xf>
    <xf numFmtId="0" fontId="1" fillId="0" borderId="28" xfId="0" quotePrefix="1" applyFont="1" applyBorder="1" applyAlignment="1">
      <alignment horizontal="center" vertical="center"/>
    </xf>
    <xf numFmtId="164" fontId="0" fillId="0" borderId="28" xfId="0" applyNumberFormat="1" applyBorder="1" applyAlignment="1">
      <alignment horizontal="center"/>
    </xf>
    <xf numFmtId="164" fontId="0" fillId="0" borderId="29" xfId="0" applyNumberFormat="1" applyBorder="1" applyAlignment="1">
      <alignment horizontal="center"/>
    </xf>
    <xf numFmtId="164" fontId="0" fillId="0" borderId="48" xfId="0" applyNumberFormat="1" applyBorder="1" applyAlignment="1">
      <alignment horizontal="center"/>
    </xf>
    <xf numFmtId="0" fontId="1" fillId="0" borderId="48" xfId="0" quotePrefix="1" applyFont="1" applyBorder="1" applyAlignment="1">
      <alignment horizontal="center"/>
    </xf>
    <xf numFmtId="167" fontId="0" fillId="0" borderId="48" xfId="0" applyNumberFormat="1" applyBorder="1" applyAlignment="1">
      <alignment horizontal="center"/>
    </xf>
    <xf numFmtId="0" fontId="1" fillId="0" borderId="47" xfId="0" quotePrefix="1" applyFont="1" applyBorder="1" applyAlignment="1">
      <alignment horizontal="center"/>
    </xf>
    <xf numFmtId="164" fontId="0" fillId="6" borderId="48" xfId="0" applyNumberFormat="1" applyFill="1" applyBorder="1" applyAlignment="1">
      <alignment horizontal="center"/>
    </xf>
    <xf numFmtId="166" fontId="0" fillId="0" borderId="48" xfId="0" applyNumberFormat="1" applyBorder="1" applyAlignment="1">
      <alignment horizontal="center"/>
    </xf>
    <xf numFmtId="164" fontId="0" fillId="0" borderId="50" xfId="0" applyNumberFormat="1" applyBorder="1" applyAlignment="1">
      <alignment horizontal="center"/>
    </xf>
    <xf numFmtId="0" fontId="20" fillId="0" borderId="0" xfId="0" applyFont="1"/>
    <xf numFmtId="0" fontId="1" fillId="0" borderId="19" xfId="0" applyFont="1" applyBorder="1"/>
    <xf numFmtId="0" fontId="3" fillId="0" borderId="2" xfId="0" applyFont="1" applyBorder="1" applyAlignment="1">
      <alignment horizontal="center"/>
    </xf>
    <xf numFmtId="0" fontId="1" fillId="0" borderId="2" xfId="0" applyFont="1" applyBorder="1"/>
    <xf numFmtId="164" fontId="0" fillId="7" borderId="3" xfId="0" applyNumberFormat="1" applyFill="1" applyBorder="1" applyAlignment="1">
      <alignment horizontal="center"/>
    </xf>
    <xf numFmtId="0" fontId="1" fillId="7" borderId="8" xfId="0" quotePrefix="1" applyFont="1" applyFill="1" applyBorder="1" applyAlignment="1">
      <alignment horizontal="center"/>
    </xf>
    <xf numFmtId="0" fontId="22" fillId="0" borderId="0" xfId="2"/>
    <xf numFmtId="0" fontId="22" fillId="0" borderId="2" xfId="2" applyBorder="1"/>
    <xf numFmtId="0" fontId="23" fillId="0" borderId="2" xfId="2" applyFont="1" applyBorder="1"/>
    <xf numFmtId="0" fontId="23" fillId="0" borderId="19" xfId="2" applyFont="1" applyBorder="1"/>
    <xf numFmtId="0" fontId="24" fillId="0" borderId="2" xfId="2" applyFont="1" applyBorder="1"/>
    <xf numFmtId="0" fontId="25" fillId="0" borderId="0" xfId="2" applyFont="1"/>
    <xf numFmtId="0" fontId="22" fillId="0" borderId="2" xfId="2" applyBorder="1" applyAlignment="1">
      <alignment vertical="center"/>
    </xf>
    <xf numFmtId="0" fontId="26" fillId="0" borderId="2" xfId="2" applyFont="1" applyBorder="1"/>
    <xf numFmtId="0" fontId="23" fillId="13" borderId="2" xfId="2" applyFont="1" applyFill="1" applyBorder="1"/>
    <xf numFmtId="0" fontId="23" fillId="0" borderId="0" xfId="2" applyFont="1"/>
    <xf numFmtId="164" fontId="23" fillId="12" borderId="2" xfId="2" applyNumberFormat="1" applyFont="1" applyFill="1" applyBorder="1"/>
    <xf numFmtId="169" fontId="23" fillId="0" borderId="0" xfId="2" applyNumberFormat="1" applyFont="1"/>
    <xf numFmtId="0" fontId="33" fillId="0" borderId="11" xfId="2" applyFont="1" applyBorder="1" applyAlignment="1">
      <alignment horizontal="center" vertical="center"/>
    </xf>
    <xf numFmtId="0" fontId="33" fillId="0" borderId="11" xfId="2" applyFont="1" applyBorder="1" applyAlignment="1">
      <alignment horizontal="center"/>
    </xf>
    <xf numFmtId="0" fontId="33" fillId="0" borderId="0" xfId="2" applyFont="1" applyAlignment="1">
      <alignment horizontal="center"/>
    </xf>
    <xf numFmtId="0" fontId="33" fillId="0" borderId="2" xfId="2" applyFont="1" applyBorder="1" applyAlignment="1">
      <alignment horizontal="center"/>
    </xf>
    <xf numFmtId="0" fontId="22" fillId="0" borderId="3" xfId="2" applyBorder="1"/>
    <xf numFmtId="0" fontId="23" fillId="0" borderId="0" xfId="2" applyFont="1" applyAlignment="1">
      <alignment horizontal="center"/>
    </xf>
    <xf numFmtId="0" fontId="34" fillId="0" borderId="0" xfId="2" applyFont="1"/>
    <xf numFmtId="0" fontId="35" fillId="0" borderId="2" xfId="2" applyFont="1" applyBorder="1"/>
    <xf numFmtId="0" fontId="23" fillId="0" borderId="12" xfId="2" applyFont="1" applyBorder="1"/>
    <xf numFmtId="164" fontId="23" fillId="12" borderId="19" xfId="2" applyNumberFormat="1" applyFont="1" applyFill="1" applyBorder="1"/>
    <xf numFmtId="164" fontId="33" fillId="10" borderId="0" xfId="2" applyNumberFormat="1" applyFont="1" applyFill="1"/>
    <xf numFmtId="0" fontId="33" fillId="0" borderId="0" xfId="2" applyFont="1"/>
    <xf numFmtId="0" fontId="22" fillId="0" borderId="0" xfId="2" applyAlignment="1">
      <alignment horizontal="right"/>
    </xf>
    <xf numFmtId="0" fontId="36" fillId="0" borderId="0" xfId="2" applyFont="1"/>
    <xf numFmtId="0" fontId="24" fillId="0" borderId="0" xfId="2" applyFont="1"/>
    <xf numFmtId="0" fontId="37" fillId="0" borderId="52" xfId="2" applyFont="1" applyBorder="1" applyAlignment="1">
      <alignment horizontal="center" vertical="center" wrapText="1"/>
    </xf>
    <xf numFmtId="0" fontId="37" fillId="0" borderId="53" xfId="2" applyFont="1" applyBorder="1" applyAlignment="1">
      <alignment horizontal="left" vertical="center" wrapText="1"/>
    </xf>
    <xf numFmtId="0" fontId="37" fillId="0" borderId="24" xfId="2" applyFont="1" applyBorder="1" applyAlignment="1">
      <alignment horizontal="center" vertical="center" wrapText="1"/>
    </xf>
    <xf numFmtId="0" fontId="37" fillId="0" borderId="54" xfId="2" applyFont="1" applyBorder="1" applyAlignment="1">
      <alignment horizontal="left" vertical="center" wrapText="1"/>
    </xf>
    <xf numFmtId="0" fontId="38" fillId="0" borderId="24" xfId="2" applyFont="1" applyBorder="1" applyAlignment="1">
      <alignment horizontal="center" vertical="center" wrapText="1"/>
    </xf>
    <xf numFmtId="0" fontId="38" fillId="0" borderId="54" xfId="2" applyFont="1" applyBorder="1" applyAlignment="1">
      <alignment horizontal="center" vertical="center" wrapText="1"/>
    </xf>
    <xf numFmtId="0" fontId="22" fillId="0" borderId="0" xfId="2" applyAlignment="1">
      <alignment wrapText="1"/>
    </xf>
    <xf numFmtId="0" fontId="22" fillId="0" borderId="0" xfId="2" applyAlignment="1">
      <alignment horizontal="center" wrapText="1"/>
    </xf>
    <xf numFmtId="0" fontId="23" fillId="0" borderId="0" xfId="2" applyFont="1" applyAlignment="1">
      <alignment horizontal="center" wrapText="1"/>
    </xf>
    <xf numFmtId="0" fontId="36" fillId="0" borderId="0" xfId="2" applyFont="1" applyAlignment="1">
      <alignment wrapText="1"/>
    </xf>
    <xf numFmtId="0" fontId="40" fillId="0" borderId="52" xfId="2" applyFont="1" applyBorder="1" applyAlignment="1">
      <alignment horizontal="center" vertical="center" wrapText="1"/>
    </xf>
    <xf numFmtId="0" fontId="40" fillId="0" borderId="53" xfId="2" applyFont="1" applyBorder="1" applyAlignment="1">
      <alignment vertical="center" wrapText="1"/>
    </xf>
    <xf numFmtId="0" fontId="40" fillId="0" borderId="24" xfId="2" applyFont="1" applyBorder="1" applyAlignment="1">
      <alignment horizontal="center" vertical="center" wrapText="1"/>
    </xf>
    <xf numFmtId="0" fontId="40" fillId="0" borderId="54" xfId="2" applyFont="1" applyBorder="1" applyAlignment="1">
      <alignment vertical="center" wrapText="1"/>
    </xf>
    <xf numFmtId="0" fontId="22" fillId="12" borderId="0" xfId="2" applyFill="1"/>
    <xf numFmtId="0" fontId="20" fillId="0" borderId="2" xfId="0" applyFont="1" applyBorder="1" applyAlignment="1">
      <alignment vertical="center" wrapText="1"/>
    </xf>
    <xf numFmtId="0" fontId="43" fillId="14" borderId="19" xfId="0" applyFont="1" applyFill="1" applyBorder="1" applyAlignment="1">
      <alignment horizontal="center" vertical="center" wrapText="1"/>
    </xf>
    <xf numFmtId="0" fontId="45" fillId="14" borderId="19" xfId="0" applyFont="1" applyFill="1" applyBorder="1" applyAlignment="1">
      <alignment horizontal="center" vertical="center" wrapText="1"/>
    </xf>
    <xf numFmtId="0" fontId="0" fillId="0" borderId="41" xfId="0" applyBorder="1"/>
    <xf numFmtId="0" fontId="20" fillId="0" borderId="2" xfId="0" applyFont="1" applyBorder="1" applyAlignment="1">
      <alignment horizontal="center" vertical="center" wrapText="1"/>
    </xf>
    <xf numFmtId="0" fontId="44" fillId="14" borderId="19" xfId="0" applyFont="1" applyFill="1" applyBorder="1" applyAlignment="1">
      <alignment horizontal="center" vertical="center" wrapText="1"/>
    </xf>
    <xf numFmtId="164" fontId="0" fillId="0" borderId="2" xfId="0" applyNumberFormat="1" applyBorder="1" applyAlignment="1">
      <alignment horizontal="center" vertical="center"/>
    </xf>
    <xf numFmtId="0" fontId="0" fillId="0" borderId="2" xfId="0" applyBorder="1" applyAlignment="1">
      <alignment vertical="center"/>
    </xf>
    <xf numFmtId="0" fontId="1" fillId="0" borderId="0" xfId="0" applyFont="1" applyAlignment="1">
      <alignment vertical="center" wrapText="1"/>
    </xf>
    <xf numFmtId="164" fontId="0" fillId="0" borderId="0" xfId="0" applyNumberFormat="1" applyAlignment="1">
      <alignment horizontal="center" vertical="center"/>
    </xf>
    <xf numFmtId="164" fontId="0" fillId="0" borderId="0" xfId="0" applyNumberFormat="1" applyAlignment="1">
      <alignment vertical="center"/>
    </xf>
    <xf numFmtId="0" fontId="1" fillId="0" borderId="0" xfId="0" applyFont="1" applyAlignment="1">
      <alignment horizontal="center" vertical="top" wrapText="1"/>
    </xf>
    <xf numFmtId="0" fontId="4" fillId="0" borderId="0" xfId="0" applyFont="1" applyAlignment="1">
      <alignment horizontal="center"/>
    </xf>
    <xf numFmtId="0" fontId="0" fillId="0" borderId="25" xfId="0" applyBorder="1"/>
    <xf numFmtId="0" fontId="0" fillId="0" borderId="24" xfId="0" applyBorder="1"/>
    <xf numFmtId="2" fontId="0" fillId="0" borderId="0" xfId="0" applyNumberFormat="1"/>
    <xf numFmtId="0" fontId="3" fillId="0" borderId="0" xfId="0" applyFont="1" applyAlignment="1">
      <alignment wrapText="1"/>
    </xf>
    <xf numFmtId="0" fontId="0" fillId="2" borderId="0" xfId="0" applyFill="1" applyAlignment="1">
      <alignment horizontal="center"/>
    </xf>
    <xf numFmtId="0" fontId="22" fillId="15" borderId="2" xfId="2" applyFill="1" applyBorder="1"/>
    <xf numFmtId="0" fontId="22" fillId="16" borderId="2" xfId="2" applyFill="1" applyBorder="1"/>
    <xf numFmtId="168" fontId="0" fillId="16" borderId="2" xfId="3" applyNumberFormat="1" applyFont="1" applyFill="1" applyBorder="1"/>
    <xf numFmtId="16" fontId="22" fillId="15" borderId="2" xfId="2" applyNumberFormat="1" applyFill="1" applyBorder="1" applyAlignment="1">
      <alignment horizontal="right"/>
    </xf>
    <xf numFmtId="0" fontId="22" fillId="15" borderId="2" xfId="2" applyFill="1" applyBorder="1" applyAlignment="1">
      <alignment wrapText="1"/>
    </xf>
    <xf numFmtId="0" fontId="22" fillId="0" borderId="2" xfId="2" applyBorder="1" applyAlignment="1">
      <alignment wrapText="1"/>
    </xf>
    <xf numFmtId="0" fontId="22" fillId="3" borderId="2" xfId="2" applyFill="1" applyBorder="1"/>
    <xf numFmtId="16" fontId="22" fillId="15" borderId="2" xfId="2" applyNumberFormat="1" applyFill="1" applyBorder="1"/>
    <xf numFmtId="0" fontId="22" fillId="2" borderId="2" xfId="2" applyFill="1" applyBorder="1"/>
    <xf numFmtId="0" fontId="3" fillId="0" borderId="30" xfId="0" applyFont="1" applyBorder="1" applyAlignment="1">
      <alignment vertical="center"/>
    </xf>
    <xf numFmtId="0" fontId="0" fillId="0" borderId="0" xfId="0" applyAlignment="1">
      <alignment horizontal="left" vertical="top" wrapText="1"/>
    </xf>
    <xf numFmtId="0" fontId="1" fillId="0" borderId="19" xfId="0" quotePrefix="1" applyFont="1" applyBorder="1" applyAlignment="1">
      <alignment horizontal="center"/>
    </xf>
    <xf numFmtId="0" fontId="1" fillId="0" borderId="13" xfId="0" quotePrefix="1" applyFont="1" applyBorder="1" applyAlignment="1">
      <alignment horizontal="center"/>
    </xf>
    <xf numFmtId="0" fontId="20" fillId="0" borderId="2" xfId="0" applyFont="1" applyBorder="1" applyAlignment="1">
      <alignment horizontal="right" vertical="center" wrapText="1"/>
    </xf>
    <xf numFmtId="0" fontId="0" fillId="0" borderId="11" xfId="0" applyBorder="1"/>
    <xf numFmtId="11" fontId="20" fillId="0" borderId="2" xfId="0" applyNumberFormat="1" applyFont="1" applyBorder="1" applyAlignment="1">
      <alignment horizontal="center" vertical="center" wrapText="1"/>
    </xf>
    <xf numFmtId="0" fontId="43" fillId="14" borderId="32" xfId="0" applyFont="1" applyFill="1" applyBorder="1" applyAlignment="1">
      <alignment horizontal="center" vertical="center" wrapText="1"/>
    </xf>
    <xf numFmtId="0" fontId="45" fillId="14" borderId="32" xfId="0" applyFont="1" applyFill="1" applyBorder="1" applyAlignment="1">
      <alignment horizontal="center" vertical="center" wrapText="1"/>
    </xf>
    <xf numFmtId="0" fontId="3" fillId="0" borderId="0" xfId="0" applyFont="1" applyAlignment="1">
      <alignment vertical="center" wrapText="1"/>
    </xf>
    <xf numFmtId="164" fontId="1" fillId="0" borderId="0" xfId="0" quotePrefix="1" applyNumberFormat="1" applyFont="1" applyAlignment="1">
      <alignment horizontal="center"/>
    </xf>
    <xf numFmtId="0" fontId="22" fillId="16" borderId="17" xfId="2" applyFill="1" applyBorder="1"/>
    <xf numFmtId="0" fontId="22" fillId="15" borderId="17" xfId="2" applyFill="1" applyBorder="1"/>
    <xf numFmtId="0" fontId="49" fillId="0" borderId="0" xfId="0" applyFont="1"/>
    <xf numFmtId="0" fontId="50" fillId="0" borderId="0" xfId="2" applyFont="1"/>
    <xf numFmtId="164" fontId="0" fillId="0" borderId="27" xfId="0" applyNumberFormat="1" applyBorder="1" applyAlignment="1">
      <alignment horizontal="center"/>
    </xf>
    <xf numFmtId="164" fontId="0" fillId="0" borderId="0" xfId="0" applyNumberFormat="1"/>
    <xf numFmtId="0" fontId="42" fillId="0" borderId="0" xfId="0" applyFont="1"/>
    <xf numFmtId="0" fontId="42" fillId="0" borderId="0" xfId="0" applyFont="1" applyAlignment="1">
      <alignment horizontal="left" vertical="top" wrapText="1"/>
    </xf>
    <xf numFmtId="0" fontId="52" fillId="10" borderId="0" xfId="0" applyFont="1" applyFill="1" applyAlignment="1">
      <alignment horizontal="left"/>
    </xf>
    <xf numFmtId="0" fontId="0" fillId="10" borderId="0" xfId="0" applyFill="1"/>
    <xf numFmtId="0" fontId="3" fillId="10" borderId="0" xfId="0" applyFont="1" applyFill="1" applyAlignment="1">
      <alignment horizontal="center"/>
    </xf>
    <xf numFmtId="0" fontId="21" fillId="2" borderId="2" xfId="1" applyFill="1" applyBorder="1"/>
    <xf numFmtId="0" fontId="22" fillId="17" borderId="2" xfId="2" applyFill="1" applyBorder="1"/>
    <xf numFmtId="0" fontId="22" fillId="18" borderId="2" xfId="2" applyFill="1" applyBorder="1"/>
    <xf numFmtId="0" fontId="22" fillId="17" borderId="11" xfId="2" applyFill="1" applyBorder="1"/>
    <xf numFmtId="0" fontId="41" fillId="0" borderId="0" xfId="2" applyFont="1"/>
    <xf numFmtId="0" fontId="55" fillId="0" borderId="0" xfId="2" applyFont="1"/>
    <xf numFmtId="0" fontId="23" fillId="7" borderId="2" xfId="2" applyFont="1" applyFill="1" applyBorder="1"/>
    <xf numFmtId="0" fontId="21" fillId="0" borderId="0" xfId="1" applyFill="1" applyBorder="1"/>
    <xf numFmtId="0" fontId="21" fillId="2" borderId="2" xfId="1" applyFill="1" applyBorder="1" applyAlignment="1">
      <alignment horizontal="center" vertical="center"/>
    </xf>
    <xf numFmtId="0" fontId="22" fillId="7" borderId="2" xfId="2" applyFill="1" applyBorder="1"/>
    <xf numFmtId="0" fontId="56" fillId="0" borderId="0" xfId="0" applyFont="1"/>
    <xf numFmtId="0" fontId="57" fillId="0" borderId="0" xfId="2" applyFont="1"/>
    <xf numFmtId="0" fontId="47" fillId="10" borderId="0" xfId="0" applyFont="1" applyFill="1" applyAlignment="1">
      <alignment horizontal="left" vertical="top" wrapText="1"/>
    </xf>
    <xf numFmtId="164" fontId="1" fillId="0" borderId="2" xfId="0" applyNumberFormat="1" applyFont="1" applyBorder="1" applyAlignment="1">
      <alignment horizontal="center"/>
    </xf>
    <xf numFmtId="0" fontId="1" fillId="0" borderId="3" xfId="0" applyFont="1" applyBorder="1" applyAlignment="1">
      <alignment horizontal="center"/>
    </xf>
    <xf numFmtId="3" fontId="1" fillId="0" borderId="3" xfId="0" applyNumberFormat="1" applyFont="1" applyBorder="1" applyAlignment="1">
      <alignment horizontal="center"/>
    </xf>
    <xf numFmtId="0" fontId="51" fillId="0" borderId="0" xfId="0" applyFont="1"/>
    <xf numFmtId="0" fontId="43" fillId="0" borderId="0" xfId="0" applyFont="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20" fillId="0" borderId="0" xfId="0" applyFont="1" applyAlignment="1">
      <alignment vertical="center" wrapText="1"/>
    </xf>
    <xf numFmtId="164" fontId="1" fillId="0" borderId="4" xfId="0" quotePrefix="1" applyNumberFormat="1" applyFont="1" applyBorder="1" applyAlignment="1">
      <alignment horizontal="center"/>
    </xf>
    <xf numFmtId="0" fontId="1" fillId="0" borderId="2" xfId="2" applyFont="1" applyBorder="1"/>
    <xf numFmtId="0" fontId="22" fillId="0" borderId="38" xfId="2" applyBorder="1"/>
    <xf numFmtId="0" fontId="1" fillId="0" borderId="11" xfId="2" applyFont="1" applyBorder="1"/>
    <xf numFmtId="164" fontId="22" fillId="0" borderId="0" xfId="2" applyNumberFormat="1"/>
    <xf numFmtId="0" fontId="48" fillId="0" borderId="0" xfId="0" applyFont="1"/>
    <xf numFmtId="0" fontId="22" fillId="0" borderId="0" xfId="2" applyAlignment="1">
      <alignment horizontal="center"/>
    </xf>
    <xf numFmtId="170" fontId="23" fillId="12" borderId="2" xfId="2" applyNumberFormat="1" applyFont="1" applyFill="1" applyBorder="1"/>
    <xf numFmtId="0" fontId="59" fillId="0" borderId="0" xfId="2" applyFont="1"/>
    <xf numFmtId="0" fontId="1" fillId="0" borderId="3" xfId="0" applyFont="1" applyBorder="1"/>
    <xf numFmtId="0" fontId="60" fillId="0" borderId="0" xfId="2" applyFont="1"/>
    <xf numFmtId="164" fontId="22" fillId="17" borderId="2" xfId="2" applyNumberFormat="1" applyFill="1" applyBorder="1"/>
    <xf numFmtId="164" fontId="23" fillId="19" borderId="2" xfId="2" applyNumberFormat="1" applyFont="1" applyFill="1" applyBorder="1"/>
    <xf numFmtId="164" fontId="29" fillId="19" borderId="2" xfId="2" applyNumberFormat="1" applyFont="1" applyFill="1" applyBorder="1"/>
    <xf numFmtId="49" fontId="6" fillId="20" borderId="2" xfId="0" applyNumberFormat="1" applyFont="1" applyFill="1" applyBorder="1"/>
    <xf numFmtId="0" fontId="1" fillId="20" borderId="2" xfId="0" applyFont="1" applyFill="1" applyBorder="1"/>
    <xf numFmtId="2" fontId="2" fillId="20" borderId="2" xfId="0" applyNumberFormat="1" applyFont="1" applyFill="1" applyBorder="1" applyAlignment="1">
      <alignment horizontal="left"/>
    </xf>
    <xf numFmtId="49" fontId="3" fillId="20" borderId="2" xfId="0" applyNumberFormat="1" applyFont="1" applyFill="1" applyBorder="1"/>
    <xf numFmtId="0" fontId="0" fillId="20" borderId="2" xfId="0" applyFill="1" applyBorder="1" applyAlignment="1">
      <alignment horizontal="center"/>
    </xf>
    <xf numFmtId="49" fontId="1" fillId="20" borderId="2" xfId="0" applyNumberFormat="1" applyFont="1" applyFill="1" applyBorder="1" applyAlignment="1">
      <alignment horizontal="center"/>
    </xf>
    <xf numFmtId="164" fontId="1" fillId="20" borderId="2" xfId="0" applyNumberFormat="1" applyFont="1" applyFill="1" applyBorder="1" applyAlignment="1">
      <alignment horizontal="center"/>
    </xf>
    <xf numFmtId="49" fontId="0" fillId="20" borderId="11" xfId="0" applyNumberFormat="1" applyFill="1" applyBorder="1"/>
    <xf numFmtId="0" fontId="3" fillId="20" borderId="11" xfId="0" applyFont="1" applyFill="1" applyBorder="1" applyAlignment="1">
      <alignment horizontal="center" vertical="top"/>
    </xf>
    <xf numFmtId="164" fontId="0" fillId="20" borderId="2" xfId="0" applyNumberFormat="1" applyFill="1" applyBorder="1" applyAlignment="1">
      <alignment horizontal="center"/>
    </xf>
    <xf numFmtId="0" fontId="0" fillId="20" borderId="2" xfId="0" applyFill="1" applyBorder="1"/>
    <xf numFmtId="0" fontId="1" fillId="20" borderId="2" xfId="0" applyFont="1" applyFill="1" applyBorder="1" applyAlignment="1">
      <alignment horizontal="center"/>
    </xf>
    <xf numFmtId="0" fontId="0" fillId="20" borderId="2" xfId="0" applyFill="1" applyBorder="1" applyAlignment="1">
      <alignment vertical="top"/>
    </xf>
    <xf numFmtId="0" fontId="1" fillId="20" borderId="2" xfId="0" applyFont="1" applyFill="1" applyBorder="1" applyAlignment="1">
      <alignment horizontal="left"/>
    </xf>
    <xf numFmtId="0" fontId="3" fillId="20" borderId="2" xfId="0" applyFont="1" applyFill="1" applyBorder="1" applyAlignment="1">
      <alignment horizontal="center"/>
    </xf>
    <xf numFmtId="49" fontId="0" fillId="20" borderId="4" xfId="0" applyNumberFormat="1" applyFill="1" applyBorder="1"/>
    <xf numFmtId="49" fontId="1" fillId="20" borderId="4" xfId="0" applyNumberFormat="1" applyFont="1" applyFill="1" applyBorder="1" applyAlignment="1">
      <alignment horizontal="center"/>
    </xf>
    <xf numFmtId="49" fontId="1" fillId="20" borderId="11" xfId="0" applyNumberFormat="1" applyFont="1" applyFill="1" applyBorder="1" applyAlignment="1">
      <alignment horizontal="center"/>
    </xf>
    <xf numFmtId="164" fontId="1" fillId="20" borderId="17" xfId="0" applyNumberFormat="1" applyFont="1" applyFill="1" applyBorder="1" applyAlignment="1">
      <alignment horizontal="center"/>
    </xf>
    <xf numFmtId="49" fontId="1" fillId="20" borderId="17" xfId="0" applyNumberFormat="1" applyFont="1" applyFill="1" applyBorder="1" applyAlignment="1">
      <alignment horizontal="center"/>
    </xf>
    <xf numFmtId="164" fontId="1" fillId="20" borderId="58" xfId="0" applyNumberFormat="1" applyFont="1" applyFill="1" applyBorder="1" applyAlignment="1">
      <alignment horizontal="center"/>
    </xf>
    <xf numFmtId="164" fontId="1" fillId="20" borderId="59" xfId="0" applyNumberFormat="1" applyFont="1" applyFill="1" applyBorder="1" applyAlignment="1">
      <alignment horizontal="center"/>
    </xf>
    <xf numFmtId="49" fontId="6" fillId="20" borderId="58" xfId="0" applyNumberFormat="1" applyFont="1" applyFill="1" applyBorder="1"/>
    <xf numFmtId="49" fontId="1" fillId="20" borderId="59" xfId="0" applyNumberFormat="1" applyFont="1" applyFill="1" applyBorder="1" applyAlignment="1">
      <alignment horizontal="center"/>
    </xf>
    <xf numFmtId="49" fontId="1" fillId="20" borderId="6" xfId="0" applyNumberFormat="1" applyFont="1" applyFill="1" applyBorder="1" applyAlignment="1">
      <alignment horizontal="center"/>
    </xf>
    <xf numFmtId="49" fontId="3" fillId="20" borderId="58" xfId="0" applyNumberFormat="1" applyFont="1" applyFill="1" applyBorder="1"/>
    <xf numFmtId="49" fontId="0" fillId="20" borderId="63" xfId="0" applyNumberFormat="1" applyFill="1" applyBorder="1"/>
    <xf numFmtId="49" fontId="1" fillId="20" borderId="64" xfId="0" applyNumberFormat="1" applyFont="1" applyFill="1" applyBorder="1" applyAlignment="1">
      <alignment horizontal="center"/>
    </xf>
    <xf numFmtId="0" fontId="1" fillId="20" borderId="17" xfId="0" applyFont="1" applyFill="1" applyBorder="1" applyAlignment="1">
      <alignment horizontal="center"/>
    </xf>
    <xf numFmtId="0" fontId="0" fillId="20" borderId="17" xfId="0" applyFill="1" applyBorder="1" applyAlignment="1">
      <alignment vertical="top"/>
    </xf>
    <xf numFmtId="0" fontId="0" fillId="20" borderId="17" xfId="0" applyFill="1" applyBorder="1"/>
    <xf numFmtId="164" fontId="0" fillId="20" borderId="58" xfId="0" applyNumberFormat="1" applyFill="1" applyBorder="1" applyAlignment="1">
      <alignment horizontal="center"/>
    </xf>
    <xf numFmtId="0" fontId="0" fillId="20" borderId="58" xfId="0" applyFill="1" applyBorder="1"/>
    <xf numFmtId="0" fontId="1" fillId="20" borderId="59" xfId="0" applyFont="1" applyFill="1" applyBorder="1" applyAlignment="1">
      <alignment horizontal="center"/>
    </xf>
    <xf numFmtId="0" fontId="0" fillId="20" borderId="59" xfId="0" applyFill="1" applyBorder="1" applyAlignment="1">
      <alignment vertical="top"/>
    </xf>
    <xf numFmtId="0" fontId="0" fillId="20" borderId="59" xfId="0" applyFill="1" applyBorder="1"/>
    <xf numFmtId="49" fontId="1" fillId="20" borderId="16" xfId="0" applyNumberFormat="1" applyFont="1" applyFill="1" applyBorder="1" applyAlignment="1">
      <alignment horizontal="center"/>
    </xf>
    <xf numFmtId="0" fontId="1" fillId="20" borderId="58" xfId="0" applyFont="1" applyFill="1" applyBorder="1" applyAlignment="1">
      <alignment horizontal="left"/>
    </xf>
    <xf numFmtId="0" fontId="3" fillId="20" borderId="58" xfId="0" applyFont="1" applyFill="1" applyBorder="1" applyAlignment="1">
      <alignment horizontal="center"/>
    </xf>
    <xf numFmtId="49" fontId="0" fillId="20" borderId="60" xfId="0" applyNumberFormat="1" applyFill="1" applyBorder="1"/>
    <xf numFmtId="49" fontId="1" fillId="20" borderId="61" xfId="0" applyNumberFormat="1" applyFont="1" applyFill="1" applyBorder="1" applyAlignment="1">
      <alignment horizontal="center"/>
    </xf>
    <xf numFmtId="164" fontId="0" fillId="0" borderId="55" xfId="0" applyNumberFormat="1" applyBorder="1" applyAlignment="1">
      <alignment horizontal="center"/>
    </xf>
    <xf numFmtId="164" fontId="0" fillId="0" borderId="67" xfId="0" applyNumberFormat="1" applyBorder="1" applyAlignment="1">
      <alignment horizontal="center"/>
    </xf>
    <xf numFmtId="0" fontId="0" fillId="20" borderId="3" xfId="0" applyFill="1" applyBorder="1"/>
    <xf numFmtId="49" fontId="1" fillId="20" borderId="3" xfId="0" applyNumberFormat="1" applyFont="1" applyFill="1" applyBorder="1" applyAlignment="1">
      <alignment horizontal="center"/>
    </xf>
    <xf numFmtId="49" fontId="1" fillId="20" borderId="15" xfId="0" applyNumberFormat="1" applyFont="1" applyFill="1" applyBorder="1" applyAlignment="1">
      <alignment horizontal="center"/>
    </xf>
    <xf numFmtId="164" fontId="1" fillId="20" borderId="3" xfId="0" applyNumberFormat="1" applyFont="1" applyFill="1" applyBorder="1" applyAlignment="1">
      <alignment horizontal="center"/>
    </xf>
    <xf numFmtId="0" fontId="1" fillId="20" borderId="3" xfId="0" applyFont="1" applyFill="1" applyBorder="1" applyAlignment="1">
      <alignment horizontal="center"/>
    </xf>
    <xf numFmtId="0" fontId="0" fillId="20" borderId="3" xfId="0" applyFill="1" applyBorder="1" applyAlignment="1">
      <alignment vertical="top"/>
    </xf>
    <xf numFmtId="164" fontId="1" fillId="20" borderId="62" xfId="0" applyNumberFormat="1" applyFont="1" applyFill="1" applyBorder="1" applyAlignment="1">
      <alignment horizontal="center"/>
    </xf>
    <xf numFmtId="0" fontId="1" fillId="20" borderId="62" xfId="0" applyFont="1" applyFill="1" applyBorder="1" applyAlignment="1">
      <alignment horizontal="center"/>
    </xf>
    <xf numFmtId="0" fontId="0" fillId="20" borderId="62" xfId="0" applyFill="1" applyBorder="1" applyAlignment="1">
      <alignment vertical="top"/>
    </xf>
    <xf numFmtId="0" fontId="0" fillId="20" borderId="62" xfId="0" applyFill="1" applyBorder="1"/>
    <xf numFmtId="49" fontId="1" fillId="20" borderId="62" xfId="0" applyNumberFormat="1" applyFont="1" applyFill="1" applyBorder="1" applyAlignment="1">
      <alignment horizontal="center"/>
    </xf>
    <xf numFmtId="49" fontId="1" fillId="20" borderId="57" xfId="0" applyNumberFormat="1" applyFont="1" applyFill="1" applyBorder="1" applyAlignment="1">
      <alignment horizontal="center"/>
    </xf>
    <xf numFmtId="49" fontId="1" fillId="20" borderId="20" xfId="0" applyNumberFormat="1" applyFont="1" applyFill="1" applyBorder="1" applyAlignment="1">
      <alignment horizontal="center"/>
    </xf>
    <xf numFmtId="49" fontId="1" fillId="20" borderId="71" xfId="0" applyNumberFormat="1" applyFont="1" applyFill="1" applyBorder="1" applyAlignment="1">
      <alignment horizontal="center"/>
    </xf>
    <xf numFmtId="164" fontId="0" fillId="2" borderId="0" xfId="0" applyNumberFormat="1" applyFill="1" applyAlignment="1">
      <alignment horizontal="center"/>
    </xf>
    <xf numFmtId="170" fontId="0" fillId="7" borderId="3" xfId="0" applyNumberFormat="1" applyFill="1" applyBorder="1" applyAlignment="1">
      <alignment horizontal="center"/>
    </xf>
    <xf numFmtId="164" fontId="1" fillId="0" borderId="65" xfId="0" applyNumberFormat="1" applyFont="1" applyBorder="1" applyAlignment="1">
      <alignment horizontal="center"/>
    </xf>
    <xf numFmtId="164" fontId="1" fillId="2" borderId="26" xfId="0" applyNumberFormat="1" applyFont="1" applyFill="1" applyBorder="1" applyAlignment="1">
      <alignment horizontal="center"/>
    </xf>
    <xf numFmtId="164" fontId="1" fillId="0" borderId="26" xfId="0" applyNumberFormat="1" applyFont="1" applyBorder="1" applyAlignment="1">
      <alignment horizontal="center"/>
    </xf>
    <xf numFmtId="0" fontId="1" fillId="0" borderId="37" xfId="0" quotePrefix="1" applyFont="1" applyBorder="1" applyAlignment="1">
      <alignment horizontal="center"/>
    </xf>
    <xf numFmtId="0" fontId="0" fillId="0" borderId="0" xfId="0" applyAlignment="1">
      <alignment horizontal="center" wrapText="1"/>
    </xf>
    <xf numFmtId="164" fontId="1" fillId="0" borderId="37" xfId="0" applyNumberFormat="1" applyFont="1" applyBorder="1" applyAlignment="1">
      <alignment horizontal="center"/>
    </xf>
    <xf numFmtId="49" fontId="1" fillId="0" borderId="37" xfId="0" applyNumberFormat="1" applyFont="1" applyBorder="1" applyAlignment="1">
      <alignment horizontal="center"/>
    </xf>
    <xf numFmtId="164" fontId="0" fillId="0" borderId="37" xfId="0" applyNumberFormat="1" applyBorder="1" applyAlignment="1">
      <alignment horizontal="center"/>
    </xf>
    <xf numFmtId="167" fontId="42" fillId="0" borderId="2" xfId="0" applyNumberFormat="1" applyFont="1" applyBorder="1" applyAlignment="1">
      <alignment horizontal="center"/>
    </xf>
    <xf numFmtId="164" fontId="42" fillId="2" borderId="2" xfId="0" applyNumberFormat="1" applyFont="1" applyFill="1" applyBorder="1" applyAlignment="1">
      <alignment horizontal="center"/>
    </xf>
    <xf numFmtId="164" fontId="42" fillId="0" borderId="2" xfId="0" quotePrefix="1" applyNumberFormat="1" applyFont="1" applyBorder="1" applyAlignment="1">
      <alignment horizontal="center"/>
    </xf>
    <xf numFmtId="164" fontId="42" fillId="0" borderId="3" xfId="0" applyNumberFormat="1" applyFont="1" applyBorder="1" applyAlignment="1">
      <alignment horizontal="center"/>
    </xf>
    <xf numFmtId="164" fontId="42" fillId="0" borderId="2" xfId="0" applyNumberFormat="1" applyFont="1" applyBorder="1" applyAlignment="1">
      <alignment horizontal="center"/>
    </xf>
    <xf numFmtId="164" fontId="42" fillId="2" borderId="2" xfId="0" quotePrefix="1" applyNumberFormat="1" applyFont="1" applyFill="1" applyBorder="1" applyAlignment="1">
      <alignment horizontal="center"/>
    </xf>
    <xf numFmtId="0" fontId="47" fillId="0" borderId="0" xfId="0" applyFont="1" applyAlignment="1">
      <alignment horizontal="center" vertical="top" wrapText="1"/>
    </xf>
    <xf numFmtId="49" fontId="47" fillId="0" borderId="0" xfId="0" applyNumberFormat="1" applyFont="1"/>
    <xf numFmtId="0" fontId="47" fillId="0" borderId="0" xfId="0" applyFont="1" applyAlignment="1">
      <alignment horizontal="left" vertical="top"/>
    </xf>
    <xf numFmtId="164" fontId="1" fillId="0" borderId="66" xfId="0" applyNumberFormat="1" applyFont="1" applyBorder="1" applyAlignment="1">
      <alignment horizontal="center"/>
    </xf>
    <xf numFmtId="164" fontId="1" fillId="0" borderId="33" xfId="0" applyNumberFormat="1" applyFont="1" applyBorder="1" applyAlignment="1">
      <alignment horizontal="center"/>
    </xf>
    <xf numFmtId="0" fontId="1" fillId="0" borderId="26" xfId="0" applyFont="1" applyBorder="1" applyAlignment="1">
      <alignment horizontal="center"/>
    </xf>
    <xf numFmtId="164" fontId="1" fillId="0" borderId="27" xfId="0" applyNumberFormat="1" applyFont="1" applyBorder="1" applyAlignment="1">
      <alignment horizontal="center"/>
    </xf>
    <xf numFmtId="164" fontId="1" fillId="0" borderId="54" xfId="0" applyNumberFormat="1" applyFont="1" applyBorder="1" applyAlignment="1">
      <alignment horizontal="center"/>
    </xf>
    <xf numFmtId="164" fontId="0" fillId="0" borderId="68" xfId="0" applyNumberFormat="1" applyBorder="1" applyAlignment="1">
      <alignment horizontal="center"/>
    </xf>
    <xf numFmtId="164" fontId="0" fillId="0" borderId="9" xfId="0" applyNumberFormat="1" applyBorder="1" applyAlignment="1">
      <alignment horizontal="center"/>
    </xf>
    <xf numFmtId="164" fontId="0" fillId="0" borderId="56" xfId="0" applyNumberFormat="1" applyBorder="1" applyAlignment="1">
      <alignment horizontal="center"/>
    </xf>
    <xf numFmtId="164" fontId="0" fillId="0" borderId="70" xfId="0" applyNumberFormat="1" applyBorder="1" applyAlignment="1">
      <alignment horizontal="center"/>
    </xf>
    <xf numFmtId="0" fontId="22" fillId="0" borderId="72" xfId="2" applyBorder="1"/>
    <xf numFmtId="0" fontId="22" fillId="0" borderId="18" xfId="2" applyBorder="1"/>
    <xf numFmtId="0" fontId="22" fillId="0" borderId="73" xfId="2" applyBorder="1"/>
    <xf numFmtId="0" fontId="22" fillId="0" borderId="74" xfId="2" applyBorder="1"/>
    <xf numFmtId="0" fontId="22" fillId="0" borderId="75" xfId="2" applyBorder="1"/>
    <xf numFmtId="0" fontId="22" fillId="0" borderId="76" xfId="2" applyBorder="1"/>
    <xf numFmtId="0" fontId="22" fillId="0" borderId="77" xfId="2" applyBorder="1"/>
    <xf numFmtId="0" fontId="22" fillId="0" borderId="78" xfId="2" applyBorder="1"/>
    <xf numFmtId="0" fontId="22" fillId="0" borderId="0" xfId="2" applyAlignment="1">
      <alignment vertical="center"/>
    </xf>
    <xf numFmtId="0" fontId="22" fillId="0" borderId="0" xfId="2" applyAlignment="1">
      <alignment vertical="center" wrapText="1"/>
    </xf>
    <xf numFmtId="0" fontId="3" fillId="0" borderId="0" xfId="2" applyFont="1"/>
    <xf numFmtId="0" fontId="22" fillId="0" borderId="0" xfId="2" applyAlignment="1">
      <alignment vertical="top" wrapText="1"/>
    </xf>
    <xf numFmtId="0" fontId="3" fillId="0" borderId="0" xfId="2" applyFont="1" applyAlignment="1">
      <alignment vertical="center"/>
    </xf>
    <xf numFmtId="0" fontId="22" fillId="0" borderId="0" xfId="2" quotePrefix="1"/>
    <xf numFmtId="14" fontId="22" fillId="0" borderId="0" xfId="2" quotePrefix="1" applyNumberFormat="1" applyAlignment="1">
      <alignment vertical="center"/>
    </xf>
    <xf numFmtId="0" fontId="22" fillId="0" borderId="0" xfId="2" applyAlignment="1">
      <alignment vertical="center" wrapText="1"/>
    </xf>
    <xf numFmtId="0" fontId="61" fillId="0" borderId="0" xfId="2" applyFont="1" applyAlignment="1">
      <alignment horizontal="center"/>
    </xf>
    <xf numFmtId="0" fontId="62" fillId="0" borderId="74" xfId="2" applyFont="1" applyBorder="1" applyAlignment="1">
      <alignment horizontal="center" vertical="center" wrapText="1"/>
    </xf>
    <xf numFmtId="0" fontId="62" fillId="0" borderId="0" xfId="2" applyFont="1" applyAlignment="1">
      <alignment vertical="center" wrapText="1"/>
    </xf>
    <xf numFmtId="0" fontId="62" fillId="0" borderId="75" xfId="2" applyFont="1" applyBorder="1" applyAlignment="1">
      <alignment vertical="center" wrapText="1"/>
    </xf>
    <xf numFmtId="0" fontId="22" fillId="0" borderId="0" xfId="2" applyAlignment="1">
      <alignment horizontal="center" wrapText="1"/>
    </xf>
    <xf numFmtId="0" fontId="3" fillId="0" borderId="0" xfId="2" applyFont="1" applyAlignment="1">
      <alignment vertical="center" wrapText="1"/>
    </xf>
    <xf numFmtId="0" fontId="22" fillId="0" borderId="0" xfId="2"/>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vertical="top" wrapText="1"/>
    </xf>
    <xf numFmtId="0" fontId="42" fillId="0" borderId="0" xfId="0" applyFont="1" applyAlignment="1">
      <alignment horizontal="left" vertical="top" wrapText="1"/>
    </xf>
    <xf numFmtId="0" fontId="3" fillId="0" borderId="0" xfId="0" applyFont="1" applyAlignment="1">
      <alignment horizontal="left" vertical="center" wrapText="1"/>
    </xf>
    <xf numFmtId="0" fontId="1" fillId="0" borderId="20" xfId="0" applyFont="1" applyBorder="1" applyAlignment="1">
      <alignment horizontal="left" wrapText="1"/>
    </xf>
    <xf numFmtId="0" fontId="0" fillId="0" borderId="38" xfId="0" applyBorder="1" applyAlignment="1">
      <alignment horizontal="left" wrapText="1"/>
    </xf>
    <xf numFmtId="0" fontId="1" fillId="0" borderId="38" xfId="0" applyFont="1" applyBorder="1" applyAlignment="1">
      <alignment horizontal="left" wrapText="1"/>
    </xf>
    <xf numFmtId="0" fontId="0" fillId="0" borderId="6" xfId="0" applyBorder="1" applyAlignment="1">
      <alignment horizontal="left" wrapText="1"/>
    </xf>
    <xf numFmtId="0" fontId="0" fillId="0" borderId="0" xfId="0" applyAlignment="1">
      <alignment horizontal="left" vertical="top" wrapText="1"/>
    </xf>
    <xf numFmtId="0" fontId="1" fillId="0" borderId="37" xfId="0" applyFont="1" applyBorder="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5" xfId="0" applyBorder="1" applyAlignment="1">
      <alignment horizontal="left" wrapText="1"/>
    </xf>
    <xf numFmtId="0" fontId="0" fillId="0" borderId="37" xfId="0" applyBorder="1" applyAlignment="1">
      <alignment horizontal="left" wrapText="1"/>
    </xf>
    <xf numFmtId="17" fontId="42" fillId="0" borderId="37" xfId="0" applyNumberFormat="1" applyFont="1" applyBorder="1" applyAlignment="1">
      <alignment horizontal="left" wrapText="1"/>
    </xf>
    <xf numFmtId="0" fontId="42" fillId="0" borderId="0" xfId="0" applyFont="1" applyAlignment="1">
      <alignment horizontal="left" wrapText="1"/>
    </xf>
    <xf numFmtId="0" fontId="54" fillId="0" borderId="0" xfId="4" applyFont="1" applyBorder="1" applyAlignment="1">
      <alignment horizontal="left" wrapText="1"/>
    </xf>
    <xf numFmtId="0" fontId="42" fillId="0" borderId="5" xfId="0" applyFont="1"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wrapText="1"/>
    </xf>
    <xf numFmtId="0" fontId="1" fillId="0" borderId="12" xfId="0" applyFont="1" applyBorder="1" applyAlignment="1">
      <alignment horizontal="left" wrapText="1"/>
    </xf>
    <xf numFmtId="0" fontId="0" fillId="0" borderId="7" xfId="0" applyBorder="1" applyAlignment="1">
      <alignment horizontal="left" wrapText="1"/>
    </xf>
    <xf numFmtId="0" fontId="0" fillId="0" borderId="2" xfId="0" applyBorder="1" applyAlignment="1">
      <alignment horizontal="center"/>
    </xf>
    <xf numFmtId="166" fontId="0" fillId="0" borderId="2" xfId="0" applyNumberFormat="1" applyBorder="1" applyAlignment="1">
      <alignment horizontal="center"/>
    </xf>
    <xf numFmtId="0" fontId="1" fillId="0" borderId="2" xfId="0" applyFont="1" applyBorder="1"/>
    <xf numFmtId="164" fontId="0" fillId="7" borderId="2" xfId="0" applyNumberFormat="1" applyFill="1" applyBorder="1" applyAlignment="1">
      <alignment horizontal="center"/>
    </xf>
    <xf numFmtId="0" fontId="1" fillId="0" borderId="34" xfId="0" quotePrefix="1" applyFont="1" applyBorder="1" applyAlignment="1">
      <alignment horizontal="center"/>
    </xf>
    <xf numFmtId="0" fontId="0" fillId="0" borderId="1" xfId="0" applyBorder="1"/>
    <xf numFmtId="0" fontId="1" fillId="7" borderId="1" xfId="0" quotePrefix="1" applyFont="1" applyFill="1" applyBorder="1" applyAlignment="1">
      <alignment horizontal="center"/>
    </xf>
    <xf numFmtId="0" fontId="1" fillId="7" borderId="8" xfId="0" quotePrefix="1" applyFont="1" applyFill="1" applyBorder="1" applyAlignment="1">
      <alignment horizontal="center"/>
    </xf>
    <xf numFmtId="0" fontId="3" fillId="0" borderId="17" xfId="0" applyFont="1" applyBorder="1" applyAlignment="1">
      <alignment vertical="center" wrapText="1"/>
    </xf>
    <xf numFmtId="0" fontId="0" fillId="0" borderId="2" xfId="0" applyBorder="1" applyAlignment="1">
      <alignment vertical="center" wrapText="1"/>
    </xf>
    <xf numFmtId="0" fontId="0" fillId="0" borderId="17" xfId="0" applyBorder="1" applyAlignment="1">
      <alignment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2" xfId="0" applyFill="1" applyBorder="1" applyAlignment="1">
      <alignment horizontal="center" vertical="center" wrapText="1"/>
    </xf>
    <xf numFmtId="0" fontId="1" fillId="0" borderId="17" xfId="0" applyFont="1" applyBorder="1"/>
    <xf numFmtId="164" fontId="0" fillId="7" borderId="3" xfId="0" applyNumberFormat="1" applyFill="1" applyBorder="1" applyAlignment="1">
      <alignment horizontal="center"/>
    </xf>
    <xf numFmtId="164" fontId="0" fillId="7" borderId="14" xfId="0" applyNumberFormat="1" applyFill="1" applyBorder="1" applyAlignment="1">
      <alignment horizontal="center"/>
    </xf>
    <xf numFmtId="2" fontId="0" fillId="0" borderId="3" xfId="0" applyNumberFormat="1" applyBorder="1" applyAlignment="1">
      <alignment horizontal="center"/>
    </xf>
    <xf numFmtId="0" fontId="0" fillId="0" borderId="17" xfId="0" applyBorder="1" applyAlignment="1">
      <alignment horizontal="center"/>
    </xf>
    <xf numFmtId="0" fontId="1" fillId="0" borderId="4" xfId="0" quotePrefix="1" applyFont="1" applyBorder="1" applyAlignment="1">
      <alignment horizontal="center"/>
    </xf>
    <xf numFmtId="0" fontId="0" fillId="0" borderId="4" xfId="0" applyBorder="1" applyAlignment="1">
      <alignment horizontal="center"/>
    </xf>
    <xf numFmtId="164" fontId="0" fillId="7" borderId="15" xfId="0" applyNumberFormat="1" applyFill="1" applyBorder="1" applyAlignment="1">
      <alignment horizontal="center" vertical="center" wrapText="1"/>
    </xf>
    <xf numFmtId="164" fontId="0" fillId="7" borderId="42" xfId="0" applyNumberFormat="1" applyFill="1" applyBorder="1" applyAlignment="1">
      <alignment horizontal="center" vertical="center" wrapText="1"/>
    </xf>
    <xf numFmtId="0" fontId="1" fillId="0" borderId="19" xfId="0" quotePrefix="1" applyFont="1" applyBorder="1" applyAlignment="1">
      <alignment horizontal="center"/>
    </xf>
    <xf numFmtId="0" fontId="0" fillId="0" borderId="19" xfId="0" quotePrefix="1" applyBorder="1" applyAlignment="1">
      <alignment horizontal="center"/>
    </xf>
    <xf numFmtId="0" fontId="0" fillId="0" borderId="19" xfId="0" applyBorder="1"/>
    <xf numFmtId="0" fontId="1" fillId="0" borderId="20" xfId="0" applyFont="1" applyBorder="1" applyAlignment="1">
      <alignment horizontal="center" vertical="top" wrapText="1"/>
    </xf>
    <xf numFmtId="0" fontId="1" fillId="0" borderId="38" xfId="0" applyFont="1" applyBorder="1" applyAlignment="1">
      <alignment horizontal="center"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4" fillId="0" borderId="3" xfId="0" applyFont="1" applyBorder="1" applyAlignment="1">
      <alignment horizontal="center"/>
    </xf>
    <xf numFmtId="0" fontId="4" fillId="0" borderId="14" xfId="0" applyFont="1" applyBorder="1" applyAlignment="1">
      <alignment horizont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164" fontId="0" fillId="0" borderId="4" xfId="0" applyNumberFormat="1" applyBorder="1" applyAlignment="1">
      <alignment horizontal="center"/>
    </xf>
    <xf numFmtId="0" fontId="1" fillId="7" borderId="19" xfId="0" quotePrefix="1" applyFont="1" applyFill="1" applyBorder="1" applyAlignment="1">
      <alignment horizontal="center"/>
    </xf>
    <xf numFmtId="0" fontId="1" fillId="7" borderId="13" xfId="0" quotePrefix="1" applyFont="1" applyFill="1" applyBorder="1" applyAlignment="1">
      <alignment horizont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17" xfId="0" applyFont="1" applyBorder="1" applyAlignment="1">
      <alignment horizontal="center"/>
    </xf>
    <xf numFmtId="0" fontId="1" fillId="0" borderId="17" xfId="0" applyFont="1" applyBorder="1" applyAlignment="1">
      <alignment horizontal="center" vertical="center"/>
    </xf>
    <xf numFmtId="0" fontId="0" fillId="0" borderId="2" xfId="0" applyBorder="1" applyAlignment="1">
      <alignment horizontal="center" vertical="center"/>
    </xf>
    <xf numFmtId="164" fontId="0" fillId="0" borderId="2" xfId="0" applyNumberFormat="1" applyBorder="1" applyAlignment="1">
      <alignment horizontal="center"/>
    </xf>
    <xf numFmtId="164" fontId="0" fillId="0" borderId="3" xfId="0" applyNumberFormat="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xf>
    <xf numFmtId="0" fontId="0" fillId="0" borderId="13" xfId="0" applyBorder="1"/>
    <xf numFmtId="0" fontId="0" fillId="0" borderId="3" xfId="0" applyBorder="1" applyAlignment="1">
      <alignment horizontal="center"/>
    </xf>
    <xf numFmtId="164" fontId="0" fillId="7" borderId="3" xfId="0" applyNumberFormat="1" applyFill="1" applyBorder="1" applyAlignment="1">
      <alignment horizontal="center" vertical="center" wrapText="1"/>
    </xf>
    <xf numFmtId="164" fontId="0" fillId="7" borderId="14" xfId="0" applyNumberFormat="1" applyFill="1" applyBorder="1" applyAlignment="1">
      <alignment horizontal="center" vertical="center" wrapText="1"/>
    </xf>
    <xf numFmtId="2" fontId="0" fillId="0" borderId="0" xfId="0" applyNumberFormat="1" applyAlignment="1">
      <alignment horizontal="center"/>
    </xf>
    <xf numFmtId="0" fontId="3" fillId="0" borderId="25" xfId="0" applyFont="1" applyBorder="1" applyAlignment="1">
      <alignment horizontal="center"/>
    </xf>
    <xf numFmtId="0" fontId="1" fillId="0" borderId="1" xfId="0" quotePrefix="1" applyFont="1" applyBorder="1" applyAlignment="1">
      <alignment horizontal="center"/>
    </xf>
    <xf numFmtId="0" fontId="1" fillId="0" borderId="8" xfId="0" quotePrefix="1" applyFont="1" applyBorder="1" applyAlignment="1">
      <alignment horizontal="center"/>
    </xf>
    <xf numFmtId="164" fontId="1" fillId="0" borderId="42" xfId="0" applyNumberFormat="1" applyFont="1" applyBorder="1" applyAlignment="1">
      <alignment horizontal="center" vertical="center"/>
    </xf>
    <xf numFmtId="164" fontId="0" fillId="0" borderId="16" xfId="0" applyNumberFormat="1" applyBorder="1" applyAlignment="1">
      <alignment horizontal="center" vertical="center"/>
    </xf>
    <xf numFmtId="164" fontId="0" fillId="0" borderId="15" xfId="0" applyNumberFormat="1" applyBorder="1" applyAlignment="1">
      <alignment horizontal="center"/>
    </xf>
    <xf numFmtId="164" fontId="0" fillId="0" borderId="42" xfId="0" applyNumberFormat="1" applyBorder="1" applyAlignment="1">
      <alignment horizontal="center"/>
    </xf>
    <xf numFmtId="164" fontId="0" fillId="0" borderId="16" xfId="0" applyNumberFormat="1" applyBorder="1" applyAlignment="1">
      <alignment horizontal="center"/>
    </xf>
    <xf numFmtId="0" fontId="4" fillId="0" borderId="17" xfId="0" applyFont="1" applyBorder="1" applyAlignment="1">
      <alignment horizontal="center"/>
    </xf>
    <xf numFmtId="0" fontId="0" fillId="0" borderId="2" xfId="0" applyBorder="1"/>
    <xf numFmtId="0" fontId="4" fillId="0" borderId="2" xfId="0" applyFont="1" applyBorder="1" applyAlignment="1">
      <alignment horizontal="center"/>
    </xf>
    <xf numFmtId="0" fontId="1" fillId="0" borderId="0" xfId="0" applyFont="1" applyAlignment="1">
      <alignment horizontal="center" wrapText="1"/>
    </xf>
    <xf numFmtId="0" fontId="1" fillId="0" borderId="16" xfId="0" applyFont="1" applyBorder="1"/>
    <xf numFmtId="0" fontId="0" fillId="0" borderId="4" xfId="0" applyBorder="1"/>
    <xf numFmtId="0" fontId="1" fillId="0" borderId="15" xfId="0" quotePrefix="1" applyFont="1" applyBorder="1" applyAlignment="1">
      <alignment horizontal="center"/>
    </xf>
    <xf numFmtId="0" fontId="1" fillId="0" borderId="16" xfId="0" quotePrefix="1" applyFont="1" applyBorder="1" applyAlignment="1">
      <alignment horizontal="center"/>
    </xf>
    <xf numFmtId="0" fontId="3" fillId="0" borderId="30" xfId="0" applyFont="1" applyBorder="1" applyAlignment="1">
      <alignment horizontal="center" vertical="center"/>
    </xf>
    <xf numFmtId="0" fontId="1" fillId="0" borderId="3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7" borderId="3"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1" fillId="0" borderId="41" xfId="0" applyFont="1" applyBorder="1" applyAlignment="1">
      <alignment horizontal="left"/>
    </xf>
    <xf numFmtId="0" fontId="1" fillId="0" borderId="41" xfId="0" applyFont="1" applyBorder="1" applyAlignment="1">
      <alignment horizontal="center"/>
    </xf>
    <xf numFmtId="0" fontId="0" fillId="0" borderId="41" xfId="0" applyBorder="1" applyAlignment="1">
      <alignment horizontal="center"/>
    </xf>
    <xf numFmtId="0" fontId="0" fillId="3" borderId="41" xfId="0" applyFill="1" applyBorder="1" applyAlignment="1">
      <alignment horizontal="center" vertical="center"/>
    </xf>
    <xf numFmtId="0" fontId="1" fillId="0" borderId="0" xfId="0" applyFont="1" applyAlignment="1">
      <alignment horizontal="left"/>
    </xf>
    <xf numFmtId="0" fontId="3" fillId="0" borderId="0" xfId="0" applyFont="1" applyAlignment="1">
      <alignment horizontal="center" vertical="center"/>
    </xf>
    <xf numFmtId="0" fontId="1" fillId="0" borderId="0" xfId="0" quotePrefix="1" applyFont="1" applyAlignment="1">
      <alignment horizontal="center"/>
    </xf>
    <xf numFmtId="0" fontId="0" fillId="0" borderId="0" xfId="0" applyAlignment="1">
      <alignment horizontal="center"/>
    </xf>
    <xf numFmtId="0" fontId="1" fillId="0" borderId="55" xfId="0" quotePrefix="1" applyFont="1" applyBorder="1" applyAlignment="1">
      <alignment horizontal="center"/>
    </xf>
    <xf numFmtId="0" fontId="1" fillId="0" borderId="4" xfId="0" applyFont="1" applyBorder="1"/>
    <xf numFmtId="164" fontId="0" fillId="7" borderId="15" xfId="0" applyNumberFormat="1" applyFill="1" applyBorder="1" applyAlignment="1">
      <alignment horizontal="center"/>
    </xf>
    <xf numFmtId="164" fontId="0" fillId="7" borderId="42" xfId="0" applyNumberFormat="1" applyFill="1" applyBorder="1" applyAlignment="1">
      <alignment horizontal="center"/>
    </xf>
    <xf numFmtId="0" fontId="3" fillId="0" borderId="2" xfId="0" applyFont="1" applyBorder="1" applyAlignment="1">
      <alignment horizontal="center" vertical="top" wrapText="1"/>
    </xf>
    <xf numFmtId="0" fontId="0" fillId="0" borderId="2" xfId="0" applyBorder="1" applyAlignment="1">
      <alignment wrapText="1"/>
    </xf>
    <xf numFmtId="2" fontId="3" fillId="0" borderId="2" xfId="0" applyNumberFormat="1" applyFont="1" applyBorder="1" applyAlignment="1">
      <alignment horizontal="center" vertical="top" wrapText="1"/>
    </xf>
    <xf numFmtId="0" fontId="3" fillId="0" borderId="2" xfId="0" applyFont="1" applyBorder="1" applyAlignment="1">
      <alignment horizontal="center" wrapText="1"/>
    </xf>
    <xf numFmtId="0" fontId="1" fillId="0" borderId="2" xfId="0" applyFont="1" applyBorder="1" applyAlignment="1">
      <alignment horizontal="center"/>
    </xf>
    <xf numFmtId="0" fontId="0" fillId="0" borderId="2" xfId="0" applyBorder="1" applyAlignment="1">
      <alignment horizontal="center" wrapText="1"/>
    </xf>
    <xf numFmtId="2" fontId="1" fillId="0" borderId="2" xfId="0" applyNumberFormat="1" applyFont="1" applyBorder="1" applyAlignment="1">
      <alignment horizontal="center" vertical="center"/>
    </xf>
    <xf numFmtId="2" fontId="0" fillId="0" borderId="4" xfId="0" applyNumberFormat="1" applyBorder="1" applyAlignment="1">
      <alignment horizontal="center"/>
    </xf>
    <xf numFmtId="164" fontId="0" fillId="0" borderId="16" xfId="0" applyNumberFormat="1" applyBorder="1"/>
    <xf numFmtId="164" fontId="0" fillId="0" borderId="42" xfId="0" applyNumberFormat="1" applyBorder="1"/>
    <xf numFmtId="0" fontId="3" fillId="0" borderId="2" xfId="0" applyFont="1" applyBorder="1" applyAlignment="1">
      <alignment vertical="center" wrapText="1"/>
    </xf>
    <xf numFmtId="0" fontId="3" fillId="0" borderId="11" xfId="0" applyFont="1" applyBorder="1" applyAlignment="1">
      <alignment horizontal="center"/>
    </xf>
    <xf numFmtId="0" fontId="3" fillId="0" borderId="20" xfId="0" applyFont="1" applyBorder="1" applyAlignment="1">
      <alignment horizontal="center"/>
    </xf>
    <xf numFmtId="0" fontId="0" fillId="0" borderId="7" xfId="0" quotePrefix="1" applyBorder="1" applyAlignment="1">
      <alignment horizontal="center"/>
    </xf>
    <xf numFmtId="0" fontId="1" fillId="0" borderId="6" xfId="0" applyFont="1" applyBorder="1" applyAlignment="1">
      <alignment horizontal="center" vertical="top" wrapText="1"/>
    </xf>
    <xf numFmtId="0" fontId="0" fillId="0" borderId="11" xfId="0" applyBorder="1" applyAlignment="1">
      <alignment wrapText="1"/>
    </xf>
    <xf numFmtId="0" fontId="0" fillId="0" borderId="7" xfId="0" applyBorder="1" applyAlignment="1">
      <alignment wrapText="1"/>
    </xf>
    <xf numFmtId="0" fontId="0" fillId="0" borderId="19" xfId="0" applyBorder="1" applyAlignment="1">
      <alignment wrapText="1"/>
    </xf>
    <xf numFmtId="0" fontId="1" fillId="0" borderId="7" xfId="0" applyFont="1" applyBorder="1" applyAlignment="1">
      <alignment horizontal="center" vertical="top" wrapText="1"/>
    </xf>
    <xf numFmtId="0" fontId="0" fillId="0" borderId="3" xfId="0" applyBorder="1"/>
    <xf numFmtId="0" fontId="0" fillId="0" borderId="2" xfId="0" applyBorder="1" applyAlignment="1">
      <alignment vertical="center"/>
    </xf>
    <xf numFmtId="0" fontId="1" fillId="0" borderId="2" xfId="0" quotePrefix="1" applyFont="1" applyBorder="1" applyAlignment="1">
      <alignment horizontal="center" vertical="center" wrapText="1"/>
    </xf>
    <xf numFmtId="0" fontId="0" fillId="0" borderId="3" xfId="0" applyBorder="1" applyAlignment="1">
      <alignment vertical="center"/>
    </xf>
    <xf numFmtId="0" fontId="1" fillId="0" borderId="11" xfId="0" applyFont="1" applyBorder="1" applyAlignment="1">
      <alignment horizontal="center" vertical="top" wrapText="1"/>
    </xf>
    <xf numFmtId="0" fontId="0" fillId="0" borderId="20" xfId="0" applyBorder="1" applyAlignment="1">
      <alignment wrapText="1"/>
    </xf>
    <xf numFmtId="0" fontId="0" fillId="0" borderId="13" xfId="0" applyBorder="1" applyAlignment="1">
      <alignment wrapText="1"/>
    </xf>
    <xf numFmtId="164" fontId="0" fillId="0" borderId="26" xfId="0" applyNumberFormat="1" applyBorder="1" applyAlignment="1">
      <alignment horizontal="center"/>
    </xf>
    <xf numFmtId="0" fontId="0" fillId="0" borderId="26" xfId="0" applyBorder="1" applyAlignment="1">
      <alignment horizontal="center"/>
    </xf>
    <xf numFmtId="164" fontId="0" fillId="0" borderId="11" xfId="0" applyNumberFormat="1" applyBorder="1" applyAlignment="1">
      <alignment horizontal="center"/>
    </xf>
    <xf numFmtId="0" fontId="0" fillId="0" borderId="11" xfId="0" applyBorder="1" applyAlignment="1">
      <alignment horizontal="center"/>
    </xf>
    <xf numFmtId="0" fontId="3" fillId="0" borderId="6"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19" xfId="0" applyFont="1" applyBorder="1" applyAlignment="1">
      <alignment vertical="center"/>
    </xf>
    <xf numFmtId="0" fontId="1" fillId="0" borderId="6" xfId="0" applyFont="1" applyBorder="1"/>
    <xf numFmtId="0" fontId="1" fillId="0" borderId="11" xfId="0" applyFont="1" applyBorder="1"/>
    <xf numFmtId="0" fontId="1" fillId="0" borderId="33" xfId="0" applyFont="1" applyBorder="1"/>
    <xf numFmtId="0" fontId="1" fillId="0" borderId="26" xfId="0" applyFont="1" applyBorder="1"/>
    <xf numFmtId="0" fontId="0" fillId="0" borderId="20" xfId="0" applyBorder="1" applyAlignment="1">
      <alignment horizontal="center"/>
    </xf>
    <xf numFmtId="0" fontId="0" fillId="0" borderId="27" xfId="0" applyBorder="1" applyAlignment="1">
      <alignment horizontal="center"/>
    </xf>
    <xf numFmtId="0" fontId="3" fillId="0" borderId="34"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1" fillId="0" borderId="32" xfId="0" applyFont="1" applyBorder="1"/>
    <xf numFmtId="0" fontId="1" fillId="0" borderId="19" xfId="0" applyFont="1" applyBorder="1" applyAlignment="1">
      <alignment vertical="top" wrapText="1"/>
    </xf>
    <xf numFmtId="0" fontId="1" fillId="0" borderId="32" xfId="0" applyFont="1" applyBorder="1" applyAlignment="1">
      <alignment vertical="top"/>
    </xf>
    <xf numFmtId="0" fontId="1" fillId="0" borderId="19" xfId="0" applyFont="1" applyBorder="1" applyAlignment="1">
      <alignment vertical="top"/>
    </xf>
    <xf numFmtId="0" fontId="1" fillId="0" borderId="37" xfId="0" applyFont="1" applyBorder="1"/>
    <xf numFmtId="0" fontId="0" fillId="0" borderId="30" xfId="0" applyBorder="1" applyAlignment="1">
      <alignment horizontal="center" vertical="center"/>
    </xf>
    <xf numFmtId="0" fontId="0" fillId="0" borderId="30" xfId="0" applyBorder="1" applyAlignment="1">
      <alignment horizontal="center"/>
    </xf>
    <xf numFmtId="0" fontId="1" fillId="0" borderId="31" xfId="0" quotePrefix="1" applyFont="1" applyBorder="1" applyAlignment="1">
      <alignment horizontal="center"/>
    </xf>
    <xf numFmtId="0" fontId="1" fillId="0" borderId="35" xfId="0" quotePrefix="1" applyFont="1" applyBorder="1" applyAlignment="1">
      <alignment horizontal="center"/>
    </xf>
    <xf numFmtId="0" fontId="0" fillId="0" borderId="36" xfId="0" quotePrefix="1" applyBorder="1" applyAlignment="1">
      <alignment horizontal="center"/>
    </xf>
    <xf numFmtId="0" fontId="0" fillId="0" borderId="31" xfId="0" applyBorder="1"/>
    <xf numFmtId="0" fontId="1" fillId="0" borderId="20" xfId="0" applyFont="1" applyBorder="1"/>
    <xf numFmtId="0" fontId="0" fillId="7" borderId="17" xfId="0" applyFill="1" applyBorder="1" applyAlignment="1">
      <alignment horizontal="center"/>
    </xf>
    <xf numFmtId="164" fontId="1" fillId="7" borderId="2" xfId="0" applyNumberFormat="1" applyFont="1" applyFill="1" applyBorder="1" applyAlignment="1">
      <alignment horizontal="center"/>
    </xf>
    <xf numFmtId="0" fontId="0" fillId="0" borderId="34" xfId="0" quotePrefix="1" applyBorder="1" applyAlignment="1">
      <alignment horizontal="center"/>
    </xf>
    <xf numFmtId="0" fontId="0" fillId="0" borderId="16" xfId="0" applyBorder="1" applyAlignment="1">
      <alignment horizontal="center"/>
    </xf>
    <xf numFmtId="0" fontId="1" fillId="0" borderId="17" xfId="0" applyFont="1" applyBorder="1" applyAlignment="1">
      <alignment horizontal="left"/>
    </xf>
    <xf numFmtId="0" fontId="1" fillId="0" borderId="2" xfId="0" applyFont="1" applyBorder="1" applyAlignment="1">
      <alignment horizontal="left"/>
    </xf>
    <xf numFmtId="0" fontId="0" fillId="0" borderId="2" xfId="0" quotePrefix="1" applyBorder="1" applyAlignment="1">
      <alignment horizontal="center" vertical="center" wrapText="1"/>
    </xf>
    <xf numFmtId="164" fontId="0" fillId="0" borderId="17" xfId="0" applyNumberFormat="1" applyBorder="1" applyAlignment="1">
      <alignment horizontal="center"/>
    </xf>
    <xf numFmtId="0" fontId="0" fillId="7" borderId="2" xfId="0" applyFill="1" applyBorder="1" applyAlignment="1">
      <alignment wrapText="1"/>
    </xf>
    <xf numFmtId="0" fontId="0" fillId="0" borderId="30" xfId="0" applyBorder="1"/>
    <xf numFmtId="0" fontId="0" fillId="0" borderId="1" xfId="0" quotePrefix="1" applyBorder="1" applyAlignment="1">
      <alignment horizontal="center"/>
    </xf>
    <xf numFmtId="0" fontId="0" fillId="7" borderId="1" xfId="0" quotePrefix="1" applyFill="1" applyBorder="1" applyAlignment="1">
      <alignment horizontal="center"/>
    </xf>
    <xf numFmtId="0" fontId="0" fillId="7" borderId="1" xfId="0" applyFill="1" applyBorder="1"/>
    <xf numFmtId="0" fontId="1" fillId="0" borderId="2" xfId="0" applyFont="1" applyBorder="1" applyAlignment="1">
      <alignment horizontal="center" wrapText="1"/>
    </xf>
    <xf numFmtId="0" fontId="1"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0" borderId="2" xfId="0" applyBorder="1" applyAlignment="1">
      <alignment horizontal="center" vertical="top" wrapText="1"/>
    </xf>
    <xf numFmtId="0" fontId="1" fillId="0" borderId="2" xfId="0" quotePrefix="1" applyFont="1" applyBorder="1" applyAlignment="1">
      <alignment horizontal="center"/>
    </xf>
    <xf numFmtId="2" fontId="1" fillId="0" borderId="17" xfId="0" applyNumberFormat="1" applyFont="1" applyBorder="1" applyAlignment="1">
      <alignment horizontal="left"/>
    </xf>
    <xf numFmtId="0" fontId="1" fillId="0" borderId="11"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2" fontId="0" fillId="0" borderId="37" xfId="0" applyNumberFormat="1" applyBorder="1" applyAlignment="1">
      <alignment horizontal="center"/>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164" fontId="1" fillId="0" borderId="39" xfId="0" quotePrefix="1" applyNumberFormat="1" applyFont="1" applyBorder="1" applyAlignment="1">
      <alignment horizontal="center"/>
    </xf>
    <xf numFmtId="0" fontId="0" fillId="0" borderId="39" xfId="0" applyBorder="1"/>
    <xf numFmtId="164" fontId="1" fillId="7" borderId="39" xfId="0" quotePrefix="1" applyNumberFormat="1" applyFont="1" applyFill="1" applyBorder="1" applyAlignment="1">
      <alignment horizontal="center"/>
    </xf>
    <xf numFmtId="0" fontId="0" fillId="7" borderId="39" xfId="0" applyFill="1" applyBorder="1"/>
    <xf numFmtId="0" fontId="0" fillId="0" borderId="39" xfId="0" applyBorder="1" applyAlignment="1">
      <alignment horizontal="center"/>
    </xf>
    <xf numFmtId="0" fontId="3" fillId="7" borderId="1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164" fontId="1" fillId="0" borderId="35" xfId="0" quotePrefix="1" applyNumberFormat="1" applyFont="1"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1" fillId="7" borderId="11" xfId="0" applyFont="1" applyFill="1" applyBorder="1" applyAlignment="1">
      <alignment horizontal="center"/>
    </xf>
    <xf numFmtId="0" fontId="0" fillId="7" borderId="11" xfId="0" applyFill="1" applyBorder="1" applyAlignment="1">
      <alignment horizontal="center"/>
    </xf>
    <xf numFmtId="0" fontId="0" fillId="0" borderId="14" xfId="0" applyBorder="1" applyAlignment="1">
      <alignment horizontal="center"/>
    </xf>
    <xf numFmtId="2" fontId="3" fillId="0" borderId="6" xfId="0" applyNumberFormat="1" applyFont="1" applyBorder="1" applyAlignment="1">
      <alignment horizontal="lef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32" xfId="0" applyBorder="1" applyAlignment="1">
      <alignment vertical="center" wrapText="1"/>
    </xf>
    <xf numFmtId="0" fontId="0" fillId="0" borderId="7" xfId="0" applyBorder="1" applyAlignment="1">
      <alignment vertical="center" wrapText="1"/>
    </xf>
    <xf numFmtId="0" fontId="0" fillId="0" borderId="19" xfId="0" applyBorder="1" applyAlignment="1">
      <alignment vertical="center" wrapText="1"/>
    </xf>
    <xf numFmtId="0" fontId="0" fillId="0" borderId="2" xfId="0" applyBorder="1" applyAlignment="1">
      <alignment horizontal="left"/>
    </xf>
    <xf numFmtId="2" fontId="1" fillId="0" borderId="16" xfId="0" applyNumberFormat="1" applyFont="1" applyBorder="1" applyAlignment="1">
      <alignment horizontal="left"/>
    </xf>
    <xf numFmtId="0" fontId="0" fillId="0" borderId="17" xfId="0" applyBorder="1"/>
    <xf numFmtId="164" fontId="0" fillId="7" borderId="17" xfId="0" applyNumberFormat="1" applyFill="1" applyBorder="1" applyAlignment="1">
      <alignment horizontal="center"/>
    </xf>
    <xf numFmtId="0" fontId="0" fillId="0" borderId="1" xfId="0" applyBorder="1" applyAlignment="1">
      <alignment horizontal="center"/>
    </xf>
    <xf numFmtId="0" fontId="0" fillId="0" borderId="8" xfId="0" applyBorder="1"/>
    <xf numFmtId="0" fontId="0" fillId="0" borderId="3" xfId="0" applyBorder="1" applyAlignment="1">
      <alignment horizontal="center" vertical="center"/>
    </xf>
    <xf numFmtId="164" fontId="0" fillId="7" borderId="20"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29" xfId="0" applyNumberFormat="1" applyFill="1" applyBorder="1" applyAlignment="1">
      <alignment horizontal="center" vertical="center"/>
    </xf>
    <xf numFmtId="164" fontId="0" fillId="7" borderId="40" xfId="0" applyNumberFormat="1" applyFill="1" applyBorder="1" applyAlignment="1">
      <alignment horizontal="center" vertical="center"/>
    </xf>
    <xf numFmtId="164" fontId="0" fillId="0" borderId="11" xfId="0" applyNumberFormat="1" applyBorder="1" applyAlignment="1">
      <alignment horizontal="center" vertical="center"/>
    </xf>
    <xf numFmtId="164" fontId="0" fillId="0" borderId="28" xfId="0" applyNumberFormat="1" applyBorder="1" applyAlignment="1">
      <alignment horizontal="center" vertical="center"/>
    </xf>
    <xf numFmtId="2" fontId="0" fillId="0" borderId="11" xfId="0" applyNumberFormat="1" applyBorder="1" applyAlignment="1">
      <alignment horizontal="center" vertical="center"/>
    </xf>
    <xf numFmtId="0" fontId="0" fillId="0" borderId="28" xfId="0" applyBorder="1" applyAlignment="1">
      <alignment horizontal="center" vertical="center"/>
    </xf>
    <xf numFmtId="0" fontId="0" fillId="0" borderId="3" xfId="0"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3" fillId="0" borderId="17" xfId="0" applyFont="1" applyBorder="1" applyAlignment="1">
      <alignment horizontal="center" vertical="top" wrapText="1"/>
    </xf>
    <xf numFmtId="0" fontId="1" fillId="7" borderId="17" xfId="0" applyFont="1" applyFill="1" applyBorder="1" applyAlignment="1">
      <alignment horizontal="center" vertical="top"/>
    </xf>
    <xf numFmtId="0" fontId="0" fillId="7" borderId="2" xfId="0" applyFill="1" applyBorder="1" applyAlignment="1">
      <alignment horizontal="center"/>
    </xf>
    <xf numFmtId="0" fontId="1" fillId="7" borderId="2" xfId="0" applyFont="1" applyFill="1" applyBorder="1" applyAlignment="1">
      <alignment horizontal="center" vertical="top"/>
    </xf>
    <xf numFmtId="0" fontId="0" fillId="7" borderId="2" xfId="0" applyFill="1" applyBorder="1"/>
    <xf numFmtId="164" fontId="0" fillId="8" borderId="20" xfId="0" applyNumberFormat="1" applyFill="1" applyBorder="1" applyAlignment="1">
      <alignment horizontal="center" vertical="center"/>
    </xf>
    <xf numFmtId="164" fontId="0" fillId="8" borderId="29" xfId="0" applyNumberFormat="1" applyFill="1" applyBorder="1" applyAlignment="1">
      <alignment horizontal="center" vertical="center"/>
    </xf>
    <xf numFmtId="0" fontId="1" fillId="7" borderId="11" xfId="0" applyFont="1" applyFill="1" applyBorder="1" applyAlignment="1">
      <alignment horizontal="center" vertical="top" wrapText="1"/>
    </xf>
    <xf numFmtId="0" fontId="0" fillId="7" borderId="11" xfId="0" applyFill="1" applyBorder="1" applyAlignment="1">
      <alignment wrapText="1"/>
    </xf>
    <xf numFmtId="0" fontId="0" fillId="7" borderId="19" xfId="0" applyFill="1" applyBorder="1" applyAlignment="1">
      <alignment wrapText="1"/>
    </xf>
    <xf numFmtId="2" fontId="0" fillId="7" borderId="15" xfId="0" applyNumberFormat="1" applyFill="1" applyBorder="1" applyAlignment="1">
      <alignment horizontal="center"/>
    </xf>
    <xf numFmtId="2" fontId="0" fillId="7" borderId="16" xfId="0" applyNumberFormat="1" applyFill="1" applyBorder="1" applyAlignment="1">
      <alignment horizontal="center"/>
    </xf>
    <xf numFmtId="164" fontId="0" fillId="7" borderId="13" xfId="0" applyNumberFormat="1" applyFill="1" applyBorder="1" applyAlignment="1">
      <alignment horizontal="center" vertical="center"/>
    </xf>
    <xf numFmtId="164" fontId="0" fillId="7" borderId="7" xfId="0" applyNumberFormat="1" applyFill="1" applyBorder="1" applyAlignment="1">
      <alignment horizontal="center" vertical="center"/>
    </xf>
    <xf numFmtId="2" fontId="0" fillId="0" borderId="20"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0" fontId="3" fillId="7" borderId="2" xfId="0" applyFont="1" applyFill="1" applyBorder="1" applyAlignment="1">
      <alignment horizontal="center" wrapText="1"/>
    </xf>
    <xf numFmtId="0" fontId="1" fillId="0" borderId="14" xfId="0" applyFont="1" applyBorder="1"/>
    <xf numFmtId="0" fontId="0" fillId="0" borderId="14" xfId="0" applyBorder="1"/>
    <xf numFmtId="0" fontId="0" fillId="0" borderId="3" xfId="0" quotePrefix="1" applyBorder="1" applyAlignment="1">
      <alignment horizontal="center"/>
    </xf>
    <xf numFmtId="164" fontId="0" fillId="0" borderId="19" xfId="0" applyNumberFormat="1" applyBorder="1" applyAlignment="1">
      <alignment horizontal="center" vertical="center"/>
    </xf>
    <xf numFmtId="0" fontId="3" fillId="0" borderId="38" xfId="0" applyFont="1" applyBorder="1" applyAlignment="1">
      <alignment horizontal="center" vertical="top" wrapText="1"/>
    </xf>
    <xf numFmtId="0" fontId="0" fillId="0" borderId="38" xfId="0" applyBorder="1" applyAlignment="1">
      <alignment wrapText="1"/>
    </xf>
    <xf numFmtId="0" fontId="0" fillId="0" borderId="0" xfId="0" applyAlignment="1">
      <alignment wrapText="1"/>
    </xf>
    <xf numFmtId="2" fontId="0" fillId="7" borderId="42" xfId="0" applyNumberFormat="1" applyFill="1" applyBorder="1" applyAlignment="1">
      <alignment horizontal="center"/>
    </xf>
    <xf numFmtId="0" fontId="0" fillId="7" borderId="16" xfId="0" applyFill="1" applyBorder="1"/>
    <xf numFmtId="0" fontId="0" fillId="7" borderId="42" xfId="0" applyFill="1" applyBorder="1"/>
    <xf numFmtId="0" fontId="0" fillId="0" borderId="0" xfId="0"/>
    <xf numFmtId="0" fontId="0" fillId="7" borderId="20" xfId="0" applyFill="1" applyBorder="1" applyAlignment="1">
      <alignment wrapText="1"/>
    </xf>
    <xf numFmtId="0" fontId="0" fillId="7" borderId="13" xfId="0" applyFill="1" applyBorder="1" applyAlignment="1">
      <alignment wrapText="1"/>
    </xf>
    <xf numFmtId="0" fontId="0" fillId="0" borderId="38" xfId="0" applyBorder="1" applyAlignment="1">
      <alignment vertical="center"/>
    </xf>
    <xf numFmtId="0" fontId="0" fillId="0" borderId="12" xfId="0" applyBorder="1" applyAlignment="1">
      <alignment vertical="center"/>
    </xf>
    <xf numFmtId="164" fontId="0" fillId="8" borderId="13" xfId="0" applyNumberFormat="1" applyFill="1" applyBorder="1" applyAlignment="1">
      <alignment horizontal="center" vertical="center"/>
    </xf>
    <xf numFmtId="0" fontId="4" fillId="7" borderId="17" xfId="0" applyFont="1" applyFill="1" applyBorder="1" applyAlignment="1">
      <alignment horizontal="center"/>
    </xf>
    <xf numFmtId="0" fontId="1" fillId="7" borderId="6" xfId="0" applyFont="1" applyFill="1" applyBorder="1" applyAlignment="1">
      <alignment horizontal="center" vertical="top" wrapText="1"/>
    </xf>
    <xf numFmtId="0" fontId="0" fillId="7" borderId="7" xfId="0" applyFill="1" applyBorder="1" applyAlignment="1">
      <alignment wrapText="1"/>
    </xf>
    <xf numFmtId="0" fontId="3" fillId="7" borderId="30" xfId="0" applyFont="1" applyFill="1" applyBorder="1" applyAlignment="1">
      <alignment horizontal="center" vertical="center"/>
    </xf>
    <xf numFmtId="0" fontId="0" fillId="7" borderId="30" xfId="0" applyFill="1" applyBorder="1" applyAlignment="1">
      <alignment horizontal="center" vertical="center"/>
    </xf>
    <xf numFmtId="0" fontId="0" fillId="7" borderId="34" xfId="0" quotePrefix="1" applyFill="1" applyBorder="1" applyAlignment="1">
      <alignment horizontal="center"/>
    </xf>
    <xf numFmtId="2" fontId="0" fillId="0" borderId="0" xfId="0" applyNumberFormat="1"/>
    <xf numFmtId="0" fontId="1" fillId="3" borderId="0" xfId="0" applyFont="1" applyFill="1" applyAlignment="1">
      <alignment horizontal="center"/>
    </xf>
    <xf numFmtId="0" fontId="0" fillId="3" borderId="0" xfId="0" applyFill="1" applyAlignment="1">
      <alignment horizontal="center"/>
    </xf>
    <xf numFmtId="0" fontId="0" fillId="2" borderId="0" xfId="0" applyFill="1" applyAlignment="1">
      <alignment horizontal="center"/>
    </xf>
    <xf numFmtId="0" fontId="0" fillId="2" borderId="15" xfId="0" applyFill="1" applyBorder="1" applyAlignment="1">
      <alignment horizontal="center"/>
    </xf>
    <xf numFmtId="0" fontId="0" fillId="2" borderId="42" xfId="0" applyFill="1" applyBorder="1" applyAlignment="1">
      <alignment horizontal="center"/>
    </xf>
    <xf numFmtId="0" fontId="0" fillId="7" borderId="8" xfId="0" applyFill="1" applyBorder="1"/>
    <xf numFmtId="0" fontId="1" fillId="0" borderId="42" xfId="0" applyFont="1" applyBorder="1"/>
    <xf numFmtId="0" fontId="0" fillId="0" borderId="42" xfId="0" applyBorder="1"/>
    <xf numFmtId="0" fontId="0" fillId="0" borderId="16" xfId="0" applyBorder="1"/>
    <xf numFmtId="0" fontId="1" fillId="0" borderId="0" xfId="0" applyFont="1"/>
    <xf numFmtId="0" fontId="0" fillId="2" borderId="3" xfId="0" applyFill="1" applyBorder="1" applyAlignment="1">
      <alignment horizontal="center"/>
    </xf>
    <xf numFmtId="0" fontId="0" fillId="2" borderId="14" xfId="0" applyFill="1" applyBorder="1"/>
    <xf numFmtId="0" fontId="0" fillId="3" borderId="3" xfId="0" applyFill="1" applyBorder="1" applyAlignment="1">
      <alignment horizontal="center"/>
    </xf>
    <xf numFmtId="0" fontId="0" fillId="3" borderId="14" xfId="0" applyFill="1" applyBorder="1" applyAlignment="1">
      <alignment horizontal="center"/>
    </xf>
    <xf numFmtId="0" fontId="0" fillId="2" borderId="14" xfId="0" applyFill="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3" fontId="0" fillId="2" borderId="3" xfId="0" applyNumberFormat="1" applyFill="1" applyBorder="1" applyAlignment="1">
      <alignment horizontal="center"/>
    </xf>
    <xf numFmtId="3" fontId="0" fillId="2" borderId="14" xfId="0" applyNumberFormat="1" applyFill="1" applyBorder="1"/>
    <xf numFmtId="0" fontId="0" fillId="0" borderId="12" xfId="0" applyBorder="1"/>
    <xf numFmtId="0" fontId="0" fillId="0" borderId="7" xfId="0" applyBorder="1"/>
    <xf numFmtId="0" fontId="0" fillId="0" borderId="38" xfId="0" applyBorder="1"/>
    <xf numFmtId="0" fontId="0" fillId="0" borderId="6" xfId="0" applyBorder="1"/>
    <xf numFmtId="0" fontId="0" fillId="2" borderId="20" xfId="0" applyFill="1" applyBorder="1" applyAlignment="1">
      <alignment horizontal="center"/>
    </xf>
    <xf numFmtId="0" fontId="0" fillId="2" borderId="38" xfId="0" applyFill="1" applyBorder="1"/>
    <xf numFmtId="0" fontId="1" fillId="0" borderId="20" xfId="0" quotePrefix="1" applyFont="1" applyBorder="1" applyAlignment="1">
      <alignment horizontal="center"/>
    </xf>
    <xf numFmtId="0" fontId="0" fillId="3" borderId="20" xfId="0" applyFill="1" applyBorder="1" applyAlignment="1">
      <alignment horizontal="center"/>
    </xf>
    <xf numFmtId="0" fontId="0" fillId="3" borderId="38" xfId="0" applyFill="1" applyBorder="1"/>
    <xf numFmtId="0" fontId="0" fillId="0" borderId="14" xfId="0" quotePrefix="1" applyBorder="1" applyAlignment="1">
      <alignment horizontal="center"/>
    </xf>
    <xf numFmtId="0" fontId="6" fillId="0" borderId="3" xfId="0" applyFont="1" applyBorder="1" applyAlignment="1">
      <alignment horizontal="center"/>
    </xf>
    <xf numFmtId="0" fontId="1" fillId="3" borderId="3" xfId="0" applyFont="1" applyFill="1" applyBorder="1" applyAlignment="1">
      <alignment horizontal="center"/>
    </xf>
    <xf numFmtId="0" fontId="0" fillId="3" borderId="14" xfId="0" applyFill="1" applyBorder="1"/>
    <xf numFmtId="0" fontId="0" fillId="0" borderId="37" xfId="0" applyBorder="1"/>
    <xf numFmtId="0" fontId="0" fillId="0" borderId="5" xfId="0" applyBorder="1"/>
    <xf numFmtId="0" fontId="1" fillId="2" borderId="37" xfId="0" applyFont="1" applyFill="1" applyBorder="1" applyAlignment="1">
      <alignment horizontal="center"/>
    </xf>
    <xf numFmtId="0" fontId="0" fillId="2" borderId="0" xfId="0" applyFill="1"/>
    <xf numFmtId="165" fontId="0" fillId="2" borderId="37" xfId="0" applyNumberFormat="1" applyFill="1" applyBorder="1" applyAlignment="1">
      <alignment horizontal="center"/>
    </xf>
    <xf numFmtId="0" fontId="0" fillId="2" borderId="5" xfId="0" applyFill="1" applyBorder="1"/>
    <xf numFmtId="0" fontId="3" fillId="0" borderId="14" xfId="0" applyFont="1" applyBorder="1" applyAlignment="1">
      <alignment horizontal="center"/>
    </xf>
    <xf numFmtId="0" fontId="6" fillId="2" borderId="13" xfId="0" applyFont="1" applyFill="1" applyBorder="1" applyAlignment="1">
      <alignment horizontal="center"/>
    </xf>
    <xf numFmtId="0" fontId="0" fillId="2" borderId="12" xfId="0" applyFill="1" applyBorder="1"/>
    <xf numFmtId="0" fontId="3" fillId="0" borderId="13" xfId="0" applyFont="1" applyBorder="1" applyAlignment="1">
      <alignment horizontal="center"/>
    </xf>
    <xf numFmtId="0" fontId="0" fillId="0" borderId="12" xfId="0" applyBorder="1" applyAlignment="1">
      <alignment horizontal="center"/>
    </xf>
    <xf numFmtId="0" fontId="1" fillId="2" borderId="20" xfId="0" applyFont="1" applyFill="1" applyBorder="1" applyAlignment="1">
      <alignment horizontal="center"/>
    </xf>
    <xf numFmtId="0" fontId="0" fillId="2" borderId="6" xfId="0" applyFill="1" applyBorder="1"/>
    <xf numFmtId="0" fontId="0" fillId="0" borderId="20" xfId="0" applyBorder="1"/>
    <xf numFmtId="0" fontId="4" fillId="7" borderId="2" xfId="0" applyFont="1" applyFill="1" applyBorder="1" applyAlignment="1">
      <alignment horizontal="center"/>
    </xf>
    <xf numFmtId="0" fontId="0" fillId="7" borderId="3" xfId="0" applyFill="1" applyBorder="1"/>
    <xf numFmtId="0" fontId="1" fillId="7" borderId="2" xfId="0" quotePrefix="1" applyFont="1" applyFill="1" applyBorder="1" applyAlignment="1">
      <alignment horizontal="center" vertical="top" wrapText="1"/>
    </xf>
    <xf numFmtId="0" fontId="0" fillId="7" borderId="42" xfId="0" applyFill="1" applyBorder="1" applyAlignment="1">
      <alignment horizontal="center"/>
    </xf>
    <xf numFmtId="0" fontId="3" fillId="8" borderId="3" xfId="0" applyFont="1" applyFill="1" applyBorder="1" applyAlignment="1">
      <alignment horizontal="center" wrapText="1"/>
    </xf>
    <xf numFmtId="0" fontId="3" fillId="0" borderId="38"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1" fillId="7" borderId="3" xfId="0" quotePrefix="1" applyFont="1" applyFill="1" applyBorder="1" applyAlignment="1">
      <alignment horizontal="center"/>
    </xf>
    <xf numFmtId="0" fontId="1" fillId="7" borderId="15" xfId="0" quotePrefix="1" applyFont="1" applyFill="1" applyBorder="1" applyAlignment="1">
      <alignment horizontal="center"/>
    </xf>
    <xf numFmtId="0" fontId="0" fillId="7" borderId="16" xfId="0" applyFill="1" applyBorder="1" applyAlignment="1">
      <alignment horizontal="center"/>
    </xf>
    <xf numFmtId="2" fontId="0" fillId="0" borderId="15" xfId="0" applyNumberFormat="1" applyBorder="1" applyAlignment="1">
      <alignment horizontal="center"/>
    </xf>
    <xf numFmtId="0" fontId="3" fillId="7" borderId="2" xfId="0" applyFont="1" applyFill="1" applyBorder="1" applyAlignment="1">
      <alignment horizontal="center" vertical="center"/>
    </xf>
    <xf numFmtId="166" fontId="0" fillId="0" borderId="3" xfId="0" applyNumberFormat="1" applyBorder="1" applyAlignment="1">
      <alignment horizontal="center"/>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164" fontId="0" fillId="7" borderId="4" xfId="0" applyNumberFormat="1" applyFill="1" applyBorder="1" applyAlignment="1">
      <alignment horizontal="center"/>
    </xf>
    <xf numFmtId="0" fontId="0" fillId="7" borderId="4" xfId="0" applyFill="1" applyBorder="1" applyAlignment="1">
      <alignment horizontal="center"/>
    </xf>
    <xf numFmtId="0" fontId="1" fillId="0" borderId="20" xfId="0" quotePrefix="1" applyFont="1"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166" fontId="0" fillId="0" borderId="4" xfId="0" applyNumberFormat="1" applyBorder="1" applyAlignment="1">
      <alignment horizontal="center"/>
    </xf>
    <xf numFmtId="166" fontId="0" fillId="0" borderId="15" xfId="0" applyNumberFormat="1" applyBorder="1" applyAlignment="1">
      <alignment horizontal="center"/>
    </xf>
    <xf numFmtId="0" fontId="1" fillId="7" borderId="2" xfId="0" applyFont="1" applyFill="1" applyBorder="1" applyAlignment="1">
      <alignment horizontal="center"/>
    </xf>
    <xf numFmtId="2" fontId="0" fillId="0" borderId="2" xfId="0" applyNumberFormat="1" applyBorder="1" applyAlignment="1">
      <alignment horizontal="center"/>
    </xf>
    <xf numFmtId="166" fontId="0" fillId="7" borderId="2" xfId="0" applyNumberFormat="1" applyFill="1" applyBorder="1" applyAlignment="1">
      <alignment horizontal="center"/>
    </xf>
    <xf numFmtId="166" fontId="0" fillId="7" borderId="4" xfId="0" applyNumberFormat="1" applyFill="1" applyBorder="1" applyAlignment="1">
      <alignment horizontal="center"/>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47" fillId="10" borderId="0" xfId="0" applyFont="1" applyFill="1" applyAlignment="1">
      <alignment horizontal="left" vertical="top" wrapText="1"/>
    </xf>
    <xf numFmtId="2" fontId="1" fillId="0" borderId="4" xfId="0" applyNumberFormat="1" applyFont="1" applyBorder="1" applyAlignment="1">
      <alignment horizontal="left"/>
    </xf>
    <xf numFmtId="1" fontId="1" fillId="0" borderId="2" xfId="0" quotePrefix="1" applyNumberFormat="1" applyFont="1" applyBorder="1" applyAlignment="1">
      <alignment horizontal="center"/>
    </xf>
    <xf numFmtId="0" fontId="1" fillId="0" borderId="17" xfId="0" applyFont="1" applyBorder="1" applyAlignment="1">
      <alignment vertical="top"/>
    </xf>
    <xf numFmtId="0" fontId="1" fillId="0" borderId="2" xfId="0" applyFont="1" applyBorder="1" applyAlignment="1">
      <alignment vertical="top"/>
    </xf>
    <xf numFmtId="0" fontId="1" fillId="0" borderId="37" xfId="0" quotePrefix="1" applyFont="1" applyBorder="1" applyAlignment="1">
      <alignment horizontal="center"/>
    </xf>
    <xf numFmtId="0" fontId="0" fillId="0" borderId="5" xfId="0" quotePrefix="1" applyBorder="1" applyAlignment="1">
      <alignment horizontal="center"/>
    </xf>
    <xf numFmtId="0" fontId="0" fillId="0" borderId="5" xfId="0" applyBorder="1" applyAlignment="1">
      <alignment horizontal="center"/>
    </xf>
    <xf numFmtId="0" fontId="0" fillId="0" borderId="43" xfId="0" quotePrefix="1" applyBorder="1" applyAlignment="1">
      <alignment horizontal="center"/>
    </xf>
    <xf numFmtId="0" fontId="1" fillId="0" borderId="14" xfId="0" applyFont="1" applyBorder="1" applyAlignment="1">
      <alignment horizontal="left" indent="3"/>
    </xf>
    <xf numFmtId="0" fontId="0" fillId="0" borderId="14" xfId="0" applyBorder="1" applyAlignment="1">
      <alignment horizontal="left" indent="3"/>
    </xf>
    <xf numFmtId="0" fontId="0" fillId="0" borderId="17" xfId="0" applyBorder="1" applyAlignment="1">
      <alignment horizontal="left" indent="3"/>
    </xf>
    <xf numFmtId="0" fontId="1" fillId="3" borderId="20" xfId="0" applyFont="1" applyFill="1" applyBorder="1" applyAlignment="1">
      <alignment horizontal="center"/>
    </xf>
    <xf numFmtId="3" fontId="0" fillId="2" borderId="20" xfId="0" applyNumberFormat="1" applyFill="1" applyBorder="1" applyAlignment="1">
      <alignment horizontal="center"/>
    </xf>
    <xf numFmtId="3" fontId="0" fillId="2" borderId="38" xfId="0" applyNumberFormat="1" applyFill="1" applyBorder="1"/>
    <xf numFmtId="0" fontId="0" fillId="0" borderId="44" xfId="0" applyBorder="1"/>
    <xf numFmtId="2" fontId="0" fillId="0" borderId="3" xfId="0" quotePrefix="1" applyNumberFormat="1" applyBorder="1" applyAlignment="1">
      <alignment horizontal="center"/>
    </xf>
    <xf numFmtId="2" fontId="0" fillId="0" borderId="17" xfId="0" applyNumberFormat="1" applyBorder="1"/>
    <xf numFmtId="2" fontId="0" fillId="0" borderId="14" xfId="0" applyNumberFormat="1" applyBorder="1"/>
    <xf numFmtId="0" fontId="1" fillId="0" borderId="3" xfId="0" quotePrefix="1" applyFont="1" applyBorder="1" applyAlignment="1">
      <alignment horizontal="center"/>
    </xf>
    <xf numFmtId="0" fontId="3" fillId="0" borderId="25" xfId="0" applyFont="1" applyBorder="1" applyAlignment="1">
      <alignment horizontal="left" indent="3"/>
    </xf>
    <xf numFmtId="0" fontId="3" fillId="0" borderId="33" xfId="0" applyFont="1" applyBorder="1" applyAlignment="1">
      <alignment horizontal="left" indent="3"/>
    </xf>
    <xf numFmtId="0" fontId="1" fillId="0" borderId="42" xfId="0" applyFont="1" applyBorder="1" applyAlignment="1">
      <alignment horizontal="left" indent="3"/>
    </xf>
    <xf numFmtId="0" fontId="0" fillId="0" borderId="42" xfId="0" applyBorder="1" applyAlignment="1">
      <alignment horizontal="left" indent="3"/>
    </xf>
    <xf numFmtId="0" fontId="0" fillId="0" borderId="16" xfId="0" applyBorder="1" applyAlignment="1">
      <alignment horizontal="left" indent="3"/>
    </xf>
    <xf numFmtId="0" fontId="1" fillId="7" borderId="34" xfId="0" quotePrefix="1" applyFont="1" applyFill="1" applyBorder="1" applyAlignment="1">
      <alignment horizontal="center"/>
    </xf>
    <xf numFmtId="0" fontId="1" fillId="0" borderId="4" xfId="0" applyFont="1" applyBorder="1" applyAlignment="1">
      <alignment horizontal="left"/>
    </xf>
    <xf numFmtId="0" fontId="0" fillId="7" borderId="3" xfId="0" applyFill="1" applyBorder="1" applyAlignment="1">
      <alignment horizontal="center"/>
    </xf>
    <xf numFmtId="2" fontId="0" fillId="7" borderId="16" xfId="0" applyNumberFormat="1" applyFill="1" applyBorder="1"/>
    <xf numFmtId="2" fontId="3" fillId="0" borderId="20" xfId="0" applyNumberFormat="1" applyFont="1" applyBorder="1" applyAlignment="1">
      <alignment horizontal="center" vertical="top" wrapText="1"/>
    </xf>
    <xf numFmtId="0" fontId="0" fillId="0" borderId="38" xfId="0" applyBorder="1" applyAlignment="1">
      <alignment horizontal="center" vertical="top" wrapText="1"/>
    </xf>
    <xf numFmtId="0" fontId="0" fillId="0" borderId="6" xfId="0" applyBorder="1" applyAlignment="1">
      <alignment wrapText="1"/>
    </xf>
    <xf numFmtId="0" fontId="0" fillId="0" borderId="12" xfId="0" applyBorder="1" applyAlignment="1">
      <alignment wrapText="1"/>
    </xf>
    <xf numFmtId="0" fontId="3" fillId="7" borderId="11" xfId="0" applyFont="1" applyFill="1" applyBorder="1" applyAlignment="1">
      <alignment horizontal="center" wrapText="1"/>
    </xf>
    <xf numFmtId="0" fontId="0" fillId="0" borderId="35" xfId="0" quotePrefix="1" applyBorder="1" applyAlignment="1">
      <alignment horizontal="center"/>
    </xf>
    <xf numFmtId="0" fontId="0" fillId="0" borderId="36" xfId="0" applyBorder="1"/>
    <xf numFmtId="0" fontId="3" fillId="0" borderId="20" xfId="0" applyFont="1" applyBorder="1" applyAlignment="1">
      <alignment horizontal="center" vertical="top" wrapText="1"/>
    </xf>
    <xf numFmtId="0" fontId="1" fillId="0" borderId="20" xfId="0" applyFont="1" applyBorder="1" applyAlignment="1">
      <alignment horizontal="center" vertical="center" wrapText="1"/>
    </xf>
    <xf numFmtId="0" fontId="1" fillId="7" borderId="11" xfId="0" applyFont="1" applyFill="1" applyBorder="1" applyAlignment="1">
      <alignment horizontal="center" vertical="center" wrapText="1"/>
    </xf>
    <xf numFmtId="0" fontId="1" fillId="0" borderId="39" xfId="0" quotePrefix="1" applyFont="1" applyBorder="1" applyAlignment="1">
      <alignment horizontal="center"/>
    </xf>
    <xf numFmtId="0" fontId="3" fillId="9" borderId="3" xfId="0" applyFont="1" applyFill="1" applyBorder="1" applyAlignment="1">
      <alignment horizontal="center" wrapText="1"/>
    </xf>
    <xf numFmtId="0" fontId="1" fillId="9" borderId="3" xfId="0" applyFont="1" applyFill="1" applyBorder="1" applyAlignment="1">
      <alignment horizontal="center" vertical="center" wrapText="1"/>
    </xf>
    <xf numFmtId="0" fontId="0" fillId="9" borderId="3" xfId="0" applyFill="1" applyBorder="1" applyAlignment="1">
      <alignment horizontal="center" vertical="center" wrapText="1"/>
    </xf>
    <xf numFmtId="164" fontId="0" fillId="9" borderId="20" xfId="0" applyNumberFormat="1" applyFill="1" applyBorder="1" applyAlignment="1">
      <alignment horizontal="center" vertical="center"/>
    </xf>
    <xf numFmtId="164" fontId="0" fillId="9" borderId="29" xfId="0" applyNumberFormat="1" applyFill="1" applyBorder="1" applyAlignment="1">
      <alignment horizontal="center" vertical="center"/>
    </xf>
    <xf numFmtId="164" fontId="0" fillId="9" borderId="13" xfId="0" applyNumberFormat="1" applyFill="1" applyBorder="1" applyAlignment="1">
      <alignment horizontal="center" vertical="center"/>
    </xf>
    <xf numFmtId="164" fontId="0" fillId="7" borderId="11" xfId="0" applyNumberFormat="1" applyFill="1" applyBorder="1" applyAlignment="1">
      <alignment horizontal="center" vertical="center"/>
    </xf>
    <xf numFmtId="0" fontId="0" fillId="7" borderId="28" xfId="0" applyFill="1" applyBorder="1" applyAlignment="1">
      <alignment horizontal="center" vertical="center"/>
    </xf>
    <xf numFmtId="0" fontId="0" fillId="7" borderId="19" xfId="0" applyFill="1" applyBorder="1" applyAlignment="1">
      <alignment horizontal="center" vertical="center"/>
    </xf>
    <xf numFmtId="2" fontId="0" fillId="0" borderId="20"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 fillId="0" borderId="19" xfId="0" applyFont="1" applyBorder="1" applyAlignment="1">
      <alignment horizontal="center" vertical="center"/>
    </xf>
    <xf numFmtId="0" fontId="1" fillId="0" borderId="6" xfId="0" applyFont="1" applyBorder="1" applyAlignment="1">
      <alignment horizontal="center" vertical="center" wrapText="1"/>
    </xf>
    <xf numFmtId="0" fontId="1" fillId="7" borderId="32" xfId="0" applyFont="1" applyFill="1" applyBorder="1" applyAlignment="1">
      <alignment horizontal="center" vertical="center" wrapText="1"/>
    </xf>
    <xf numFmtId="0" fontId="1" fillId="7" borderId="19" xfId="0" applyFont="1" applyFill="1" applyBorder="1" applyAlignment="1">
      <alignment horizontal="center" vertical="center" wrapText="1"/>
    </xf>
    <xf numFmtId="164" fontId="0" fillId="7" borderId="32" xfId="0" applyNumberFormat="1" applyFill="1" applyBorder="1" applyAlignment="1">
      <alignment horizontal="center" vertical="center"/>
    </xf>
    <xf numFmtId="2" fontId="0" fillId="0" borderId="32" xfId="0" applyNumberFormat="1" applyBorder="1" applyAlignment="1">
      <alignment horizontal="center" vertical="center"/>
    </xf>
    <xf numFmtId="0" fontId="0" fillId="0" borderId="29" xfId="0" applyBorder="1" applyAlignment="1">
      <alignment horizontal="center" vertical="center" wrapText="1"/>
    </xf>
    <xf numFmtId="0" fontId="0" fillId="0" borderId="40" xfId="0" applyBorder="1" applyAlignment="1">
      <alignment horizontal="center" vertical="center" wrapText="1"/>
    </xf>
    <xf numFmtId="0" fontId="1" fillId="0" borderId="42" xfId="0" applyFont="1" applyBorder="1" applyAlignment="1">
      <alignment vertical="center"/>
    </xf>
    <xf numFmtId="0" fontId="0" fillId="0" borderId="42" xfId="0" applyBorder="1" applyAlignment="1">
      <alignment vertical="center"/>
    </xf>
    <xf numFmtId="0" fontId="3" fillId="0" borderId="38" xfId="0" applyFont="1" applyBorder="1" applyAlignment="1">
      <alignment horizontal="left" vertical="center"/>
    </xf>
    <xf numFmtId="0" fontId="0" fillId="0" borderId="38" xfId="0" applyBorder="1" applyAlignment="1">
      <alignment horizontal="left" vertical="center"/>
    </xf>
    <xf numFmtId="164" fontId="0" fillId="0" borderId="14" xfId="0" applyNumberFormat="1" applyBorder="1" applyAlignment="1">
      <alignment horizontal="center"/>
    </xf>
    <xf numFmtId="0" fontId="1" fillId="0" borderId="17" xfId="0" applyFont="1" applyBorder="1" applyAlignment="1">
      <alignment horizontal="center"/>
    </xf>
    <xf numFmtId="2" fontId="1" fillId="0" borderId="15" xfId="0" quotePrefix="1" applyNumberFormat="1" applyFont="1" applyBorder="1" applyAlignment="1">
      <alignment horizontal="center"/>
    </xf>
    <xf numFmtId="2" fontId="1" fillId="0" borderId="42" xfId="0" quotePrefix="1" applyNumberFormat="1" applyFont="1" applyBorder="1" applyAlignment="1">
      <alignment horizontal="center"/>
    </xf>
    <xf numFmtId="2" fontId="1" fillId="0" borderId="16" xfId="0" quotePrefix="1" applyNumberFormat="1" applyFont="1" applyBorder="1" applyAlignment="1">
      <alignment horizontal="center"/>
    </xf>
    <xf numFmtId="2" fontId="3" fillId="0" borderId="38" xfId="0" applyNumberFormat="1" applyFont="1" applyBorder="1" applyAlignment="1">
      <alignment horizontal="center" vertical="top" wrapText="1"/>
    </xf>
    <xf numFmtId="2" fontId="3" fillId="0" borderId="6"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7" xfId="0" applyNumberFormat="1" applyFont="1" applyBorder="1" applyAlignment="1">
      <alignment horizontal="center" vertical="top" wrapText="1"/>
    </xf>
    <xf numFmtId="0" fontId="1" fillId="0" borderId="14" xfId="0" applyFont="1" applyBorder="1" applyAlignment="1">
      <alignment horizontal="center"/>
    </xf>
    <xf numFmtId="0" fontId="1" fillId="0" borderId="43" xfId="0" quotePrefix="1"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 fillId="0" borderId="20" xfId="0" applyFont="1" applyBorder="1" applyAlignment="1">
      <alignment horizontal="center" vertical="center"/>
    </xf>
    <xf numFmtId="0" fontId="1" fillId="0" borderId="38"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3" fillId="0" borderId="2" xfId="0" applyFont="1" applyBorder="1" applyAlignment="1">
      <alignment horizontal="center" vertical="center"/>
    </xf>
    <xf numFmtId="166" fontId="0" fillId="7" borderId="15" xfId="0" applyNumberFormat="1" applyFill="1" applyBorder="1" applyAlignment="1">
      <alignment horizontal="center"/>
    </xf>
    <xf numFmtId="0" fontId="1" fillId="0" borderId="32" xfId="0" applyFont="1" applyBorder="1" applyAlignment="1">
      <alignment wrapText="1"/>
    </xf>
    <xf numFmtId="0" fontId="1" fillId="0" borderId="13" xfId="0" applyFont="1" applyBorder="1" applyAlignment="1">
      <alignment vertical="top"/>
    </xf>
    <xf numFmtId="0" fontId="1" fillId="0" borderId="12" xfId="0" applyFont="1" applyBorder="1" applyAlignment="1">
      <alignment vertical="top"/>
    </xf>
    <xf numFmtId="0" fontId="1" fillId="0" borderId="7" xfId="0" applyFont="1" applyBorder="1" applyAlignment="1">
      <alignment vertical="top"/>
    </xf>
    <xf numFmtId="0" fontId="3" fillId="0" borderId="38" xfId="0" applyFont="1" applyBorder="1" applyAlignment="1">
      <alignment vertical="center" wrapText="1"/>
    </xf>
    <xf numFmtId="0" fontId="0" fillId="0" borderId="38" xfId="0" applyBorder="1" applyAlignment="1">
      <alignment vertical="center" wrapText="1"/>
    </xf>
    <xf numFmtId="0" fontId="3" fillId="0" borderId="30" xfId="0" applyFont="1" applyBorder="1" applyAlignment="1">
      <alignment horizontal="center"/>
    </xf>
    <xf numFmtId="166" fontId="0" fillId="7" borderId="3" xfId="0" applyNumberFormat="1" applyFill="1" applyBorder="1" applyAlignment="1">
      <alignment horizontal="center"/>
    </xf>
    <xf numFmtId="0" fontId="1" fillId="7" borderId="3" xfId="0" applyFont="1" applyFill="1" applyBorder="1" applyAlignment="1">
      <alignment horizontal="center"/>
    </xf>
    <xf numFmtId="164" fontId="1" fillId="0" borderId="15" xfId="0" quotePrefix="1" applyNumberFormat="1" applyFont="1" applyBorder="1" applyAlignment="1">
      <alignment horizontal="center"/>
    </xf>
    <xf numFmtId="2" fontId="0" fillId="0" borderId="17" xfId="0" applyNumberFormat="1" applyBorder="1" applyAlignment="1">
      <alignment horizontal="center"/>
    </xf>
    <xf numFmtId="0" fontId="1" fillId="0" borderId="14" xfId="0" applyFont="1" applyBorder="1" applyAlignment="1">
      <alignment horizontal="left"/>
    </xf>
    <xf numFmtId="0" fontId="1" fillId="0" borderId="11" xfId="0" applyFont="1" applyBorder="1" applyAlignment="1">
      <alignment horizontal="center"/>
    </xf>
    <xf numFmtId="0" fontId="0" fillId="3" borderId="11" xfId="0" applyFill="1" applyBorder="1" applyAlignment="1">
      <alignment horizontal="center"/>
    </xf>
    <xf numFmtId="0" fontId="1" fillId="0" borderId="11" xfId="0" applyFont="1" applyBorder="1" applyAlignment="1">
      <alignment horizontal="left"/>
    </xf>
    <xf numFmtId="1" fontId="1" fillId="0" borderId="2" xfId="0" applyNumberFormat="1" applyFont="1" applyBorder="1" applyAlignment="1">
      <alignment horizontal="center"/>
    </xf>
    <xf numFmtId="1" fontId="0" fillId="0" borderId="2" xfId="0" applyNumberFormat="1" applyBorder="1"/>
    <xf numFmtId="1" fontId="0" fillId="3" borderId="2" xfId="0" applyNumberFormat="1" applyFill="1" applyBorder="1" applyAlignment="1">
      <alignment horizontal="center"/>
    </xf>
    <xf numFmtId="1" fontId="0" fillId="3" borderId="2" xfId="0" applyNumberFormat="1" applyFill="1" applyBorder="1"/>
    <xf numFmtId="0" fontId="48" fillId="0" borderId="2" xfId="0" applyFont="1" applyBorder="1" applyAlignment="1">
      <alignment horizontal="center" vertical="top" wrapText="1"/>
    </xf>
    <xf numFmtId="0" fontId="3" fillId="0" borderId="41" xfId="0" applyFont="1" applyBorder="1" applyAlignment="1">
      <alignment horizontal="center" vertical="center"/>
    </xf>
    <xf numFmtId="0" fontId="1" fillId="0" borderId="4" xfId="0" applyFont="1" applyBorder="1" applyAlignment="1">
      <alignment horizontal="center"/>
    </xf>
    <xf numFmtId="0" fontId="3" fillId="0" borderId="25" xfId="0" applyFont="1" applyBorder="1" applyAlignment="1">
      <alignment horizontal="center" vertical="center" wrapText="1"/>
    </xf>
    <xf numFmtId="0" fontId="22" fillId="15" borderId="37" xfId="2" applyFill="1" applyBorder="1" applyAlignment="1">
      <alignment horizontal="center"/>
    </xf>
    <xf numFmtId="0" fontId="22" fillId="15" borderId="0" xfId="2" applyFill="1" applyAlignment="1">
      <alignment horizontal="center"/>
    </xf>
    <xf numFmtId="0" fontId="25" fillId="0" borderId="3" xfId="2" applyFont="1" applyBorder="1" applyAlignment="1">
      <alignment horizontal="center"/>
    </xf>
    <xf numFmtId="0" fontId="25" fillId="0" borderId="14" xfId="2" applyFont="1" applyBorder="1" applyAlignment="1">
      <alignment horizontal="center"/>
    </xf>
    <xf numFmtId="0" fontId="25" fillId="0" borderId="17" xfId="2" applyFont="1" applyBorder="1" applyAlignment="1">
      <alignment horizontal="center"/>
    </xf>
    <xf numFmtId="0" fontId="25" fillId="0" borderId="2" xfId="2" applyFont="1" applyBorder="1" applyAlignment="1">
      <alignment horizontal="center"/>
    </xf>
    <xf numFmtId="49" fontId="47" fillId="10" borderId="0" xfId="0" applyNumberFormat="1" applyFont="1" applyFill="1" applyAlignment="1">
      <alignment horizontal="left" vertical="center" wrapText="1"/>
    </xf>
    <xf numFmtId="0" fontId="3" fillId="0" borderId="39" xfId="0" applyFont="1" applyBorder="1" applyAlignment="1">
      <alignment horizontal="center" vertical="top" wrapText="1"/>
    </xf>
    <xf numFmtId="0" fontId="3" fillId="0" borderId="41" xfId="0" applyFont="1" applyBorder="1" applyAlignment="1">
      <alignment horizontal="center" vertical="top" wrapText="1"/>
    </xf>
    <xf numFmtId="0" fontId="0" fillId="0" borderId="2" xfId="0" applyBorder="1" applyAlignment="1">
      <alignment vertical="top" wrapText="1"/>
    </xf>
    <xf numFmtId="0" fontId="3" fillId="0" borderId="3" xfId="0" applyFont="1" applyBorder="1" applyAlignment="1">
      <alignment horizontal="center" vertical="top" wrapText="1"/>
    </xf>
    <xf numFmtId="0" fontId="0" fillId="0" borderId="3" xfId="0" applyBorder="1" applyAlignment="1">
      <alignment vertical="top" wrapText="1"/>
    </xf>
    <xf numFmtId="0" fontId="3" fillId="0" borderId="6" xfId="0" applyFont="1" applyBorder="1" applyAlignment="1">
      <alignment horizontal="center"/>
    </xf>
    <xf numFmtId="0" fontId="3" fillId="0" borderId="32" xfId="0" applyFont="1" applyBorder="1" applyAlignment="1">
      <alignment horizontal="center"/>
    </xf>
    <xf numFmtId="0" fontId="0" fillId="0" borderId="11" xfId="0" applyBorder="1" applyAlignment="1">
      <alignment vertical="top" wrapText="1"/>
    </xf>
    <xf numFmtId="0" fontId="1" fillId="0" borderId="3" xfId="0" applyFont="1" applyBorder="1" applyAlignment="1">
      <alignment horizontal="center" vertical="top" wrapText="1"/>
    </xf>
    <xf numFmtId="0" fontId="0" fillId="0" borderId="20" xfId="0" applyBorder="1" applyAlignment="1">
      <alignment horizontal="center" vertical="top" wrapText="1"/>
    </xf>
    <xf numFmtId="0" fontId="3" fillId="0" borderId="71" xfId="0" applyFont="1" applyBorder="1" applyAlignment="1">
      <alignment horizontal="center" vertical="top" wrapText="1"/>
    </xf>
    <xf numFmtId="0" fontId="3" fillId="0" borderId="69" xfId="0" applyFont="1" applyBorder="1" applyAlignment="1">
      <alignment horizontal="center" vertical="top" wrapText="1"/>
    </xf>
    <xf numFmtId="164" fontId="0" fillId="0" borderId="69" xfId="0" applyNumberFormat="1" applyBorder="1" applyAlignment="1">
      <alignment horizontal="center"/>
    </xf>
    <xf numFmtId="164" fontId="0" fillId="0" borderId="53" xfId="0" applyNumberFormat="1" applyBorder="1" applyAlignment="1">
      <alignment horizontal="center"/>
    </xf>
    <xf numFmtId="0" fontId="3" fillId="0" borderId="59" xfId="0" applyFont="1" applyBorder="1" applyAlignment="1">
      <alignment horizontal="center" vertical="top" wrapText="1"/>
    </xf>
    <xf numFmtId="0" fontId="0" fillId="0" borderId="59" xfId="0" applyBorder="1" applyAlignment="1">
      <alignment vertical="top" wrapText="1"/>
    </xf>
    <xf numFmtId="0" fontId="3" fillId="0" borderId="11" xfId="0" applyFont="1" applyBorder="1" applyAlignment="1">
      <alignment horizontal="center" vertical="top" wrapText="1"/>
    </xf>
    <xf numFmtId="0" fontId="3" fillId="0" borderId="32" xfId="0" applyFont="1" applyBorder="1" applyAlignment="1">
      <alignment horizontal="center" vertical="top" wrapText="1"/>
    </xf>
    <xf numFmtId="0" fontId="3" fillId="0" borderId="19" xfId="0" applyFont="1" applyBorder="1" applyAlignment="1">
      <alignment horizontal="center" vertical="top" wrapText="1"/>
    </xf>
    <xf numFmtId="0" fontId="3" fillId="0" borderId="28" xfId="0" applyFont="1" applyBorder="1" applyAlignment="1">
      <alignment horizontal="center"/>
    </xf>
    <xf numFmtId="0" fontId="1" fillId="0" borderId="59" xfId="0" applyFont="1" applyBorder="1" applyAlignment="1">
      <alignment horizontal="center" vertical="top" wrapText="1"/>
    </xf>
    <xf numFmtId="0" fontId="0" fillId="0" borderId="61" xfId="0" applyBorder="1" applyAlignment="1">
      <alignment horizontal="center" vertical="top" wrapText="1"/>
    </xf>
    <xf numFmtId="0" fontId="3" fillId="0" borderId="58" xfId="0" applyFont="1" applyBorder="1" applyAlignment="1">
      <alignment horizontal="center" vertical="top" wrapText="1"/>
    </xf>
    <xf numFmtId="0" fontId="3" fillId="0" borderId="58" xfId="0" applyFont="1" applyBorder="1" applyAlignment="1">
      <alignment horizontal="center"/>
    </xf>
    <xf numFmtId="0" fontId="3" fillId="0" borderId="60" xfId="0" applyFont="1" applyBorder="1" applyAlignment="1">
      <alignment horizontal="center"/>
    </xf>
    <xf numFmtId="0" fontId="0" fillId="0" borderId="4" xfId="0" applyBorder="1" applyAlignment="1">
      <alignment vertical="top" wrapText="1"/>
    </xf>
    <xf numFmtId="0" fontId="3" fillId="0" borderId="0" xfId="0" applyFont="1" applyAlignment="1">
      <alignment horizontal="left"/>
    </xf>
    <xf numFmtId="0" fontId="3" fillId="0" borderId="38" xfId="0" applyFont="1" applyBorder="1" applyAlignment="1">
      <alignment horizontal="left"/>
    </xf>
    <xf numFmtId="0" fontId="1" fillId="0" borderId="33" xfId="0" applyFont="1" applyBorder="1" applyAlignment="1">
      <alignment horizontal="right"/>
    </xf>
    <xf numFmtId="0" fontId="1" fillId="0" borderId="26" xfId="0" applyFont="1" applyBorder="1" applyAlignment="1">
      <alignment horizontal="right"/>
    </xf>
    <xf numFmtId="0" fontId="3" fillId="0" borderId="6" xfId="0" applyFont="1" applyBorder="1" applyAlignment="1">
      <alignment vertical="center" wrapText="1"/>
    </xf>
    <xf numFmtId="0" fontId="3" fillId="0" borderId="37"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0" fillId="0" borderId="13" xfId="0" applyBorder="1" applyAlignment="1">
      <alignment vertical="center" wrapText="1"/>
    </xf>
    <xf numFmtId="2" fontId="1" fillId="0" borderId="3" xfId="0" applyNumberFormat="1" applyFont="1" applyBorder="1" applyAlignment="1">
      <alignment horizontal="center" vertical="center"/>
    </xf>
    <xf numFmtId="2" fontId="1" fillId="0" borderId="17" xfId="0" applyNumberFormat="1" applyFont="1" applyBorder="1" applyAlignment="1">
      <alignment horizontal="center" vertical="center"/>
    </xf>
    <xf numFmtId="164" fontId="0" fillId="0" borderId="3" xfId="0" applyNumberFormat="1" applyBorder="1" applyAlignment="1">
      <alignment horizontal="center" vertical="center"/>
    </xf>
    <xf numFmtId="164" fontId="0" fillId="0" borderId="14" xfId="0" applyNumberFormat="1" applyBorder="1" applyAlignment="1">
      <alignment horizontal="center" vertical="center"/>
    </xf>
    <xf numFmtId="0" fontId="1" fillId="0" borderId="46" xfId="0" applyFont="1" applyBorder="1" applyAlignment="1">
      <alignment horizontal="left" vertical="top"/>
    </xf>
    <xf numFmtId="0" fontId="1" fillId="0" borderId="45" xfId="0" applyFont="1" applyBorder="1" applyAlignment="1">
      <alignment horizontal="left" vertical="top"/>
    </xf>
    <xf numFmtId="0" fontId="1" fillId="0" borderId="17" xfId="0" applyFont="1" applyBorder="1" applyAlignment="1">
      <alignment horizontal="left" vertical="top"/>
    </xf>
    <xf numFmtId="0" fontId="3" fillId="0" borderId="38" xfId="0" applyFont="1" applyBorder="1" applyAlignment="1">
      <alignment horizontal="center"/>
    </xf>
    <xf numFmtId="0" fontId="3" fillId="0" borderId="43" xfId="0" applyFont="1" applyBorder="1" applyAlignment="1">
      <alignment horizontal="center"/>
    </xf>
    <xf numFmtId="0" fontId="1" fillId="0" borderId="14" xfId="0" applyFont="1" applyBorder="1" applyAlignment="1">
      <alignment horizontal="left" vertical="top"/>
    </xf>
    <xf numFmtId="0" fontId="3" fillId="0" borderId="18" xfId="0" applyFont="1" applyBorder="1" applyAlignment="1">
      <alignment horizontal="center" vertical="top" wrapText="1"/>
    </xf>
    <xf numFmtId="0" fontId="0" fillId="0" borderId="18" xfId="0" applyBorder="1" applyAlignment="1">
      <alignment horizontal="center" vertical="top" wrapText="1"/>
    </xf>
    <xf numFmtId="0" fontId="0" fillId="0" borderId="41" xfId="0" applyBorder="1" applyAlignment="1">
      <alignment horizontal="center" vertical="top" wrapText="1"/>
    </xf>
    <xf numFmtId="0" fontId="3" fillId="0" borderId="14" xfId="0" applyFont="1" applyBorder="1" applyAlignment="1">
      <alignment horizontal="left"/>
    </xf>
    <xf numFmtId="0" fontId="1" fillId="0" borderId="38" xfId="0" applyFont="1" applyBorder="1" applyAlignment="1">
      <alignment horizontal="left" vertical="top"/>
    </xf>
    <xf numFmtId="0" fontId="0" fillId="0" borderId="6"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6" xfId="0" applyBorder="1" applyAlignment="1">
      <alignment horizontal="left" vertical="top"/>
    </xf>
    <xf numFmtId="0" fontId="0" fillId="0" borderId="41" xfId="0" applyBorder="1" applyAlignment="1">
      <alignment horizontal="left" vertical="top"/>
    </xf>
    <xf numFmtId="0" fontId="0" fillId="0" borderId="40" xfId="0" applyBorder="1" applyAlignment="1">
      <alignment horizontal="left" vertical="top"/>
    </xf>
    <xf numFmtId="0" fontId="1" fillId="0" borderId="13" xfId="0" quotePrefix="1" applyFont="1" applyBorder="1" applyAlignment="1">
      <alignment horizontal="center"/>
    </xf>
    <xf numFmtId="0" fontId="1" fillId="0" borderId="7" xfId="0" quotePrefix="1" applyFont="1" applyBorder="1" applyAlignment="1">
      <alignment horizontal="center"/>
    </xf>
    <xf numFmtId="164" fontId="1" fillId="0" borderId="3" xfId="0" applyNumberFormat="1" applyFont="1" applyBorder="1" applyAlignment="1">
      <alignment horizontal="center" wrapText="1"/>
    </xf>
    <xf numFmtId="164" fontId="1" fillId="0" borderId="17" xfId="0" applyNumberFormat="1" applyFont="1" applyBorder="1" applyAlignment="1">
      <alignment horizontal="center" wrapText="1"/>
    </xf>
    <xf numFmtId="2" fontId="1" fillId="0" borderId="14" xfId="0" applyNumberFormat="1" applyFont="1" applyBorder="1" applyAlignment="1">
      <alignment horizontal="center" vertical="center"/>
    </xf>
    <xf numFmtId="0" fontId="1" fillId="0" borderId="40" xfId="0" applyFont="1" applyBorder="1" applyAlignment="1">
      <alignment horizontal="left" vertical="center"/>
    </xf>
    <xf numFmtId="0" fontId="0" fillId="0" borderId="28" xfId="0" applyBorder="1" applyAlignment="1">
      <alignment vertical="center"/>
    </xf>
    <xf numFmtId="0" fontId="3" fillId="0" borderId="14" xfId="0" applyFont="1" applyBorder="1" applyAlignment="1">
      <alignment horizontal="left" wrapText="1"/>
    </xf>
    <xf numFmtId="0" fontId="0" fillId="0" borderId="17" xfId="0" applyBorder="1" applyAlignment="1">
      <alignment wrapText="1"/>
    </xf>
    <xf numFmtId="0" fontId="1" fillId="0" borderId="12" xfId="0" quotePrefix="1" applyFont="1" applyBorder="1" applyAlignment="1">
      <alignment horizontal="center"/>
    </xf>
    <xf numFmtId="164" fontId="3" fillId="0" borderId="3" xfId="0" applyNumberFormat="1" applyFont="1" applyBorder="1" applyAlignment="1">
      <alignment horizontal="center"/>
    </xf>
    <xf numFmtId="164" fontId="3" fillId="0" borderId="17" xfId="0" applyNumberFormat="1" applyFont="1" applyBorder="1" applyAlignment="1">
      <alignment horizontal="center"/>
    </xf>
    <xf numFmtId="0" fontId="1" fillId="0" borderId="49" xfId="0" applyFont="1" applyBorder="1" applyAlignment="1">
      <alignment horizontal="right" vertical="top"/>
    </xf>
    <xf numFmtId="0" fontId="1" fillId="0" borderId="48" xfId="0" applyFont="1" applyBorder="1" applyAlignment="1">
      <alignment horizontal="right" vertical="top"/>
    </xf>
    <xf numFmtId="0" fontId="3" fillId="0" borderId="12" xfId="0" applyFont="1" applyBorder="1" applyAlignment="1">
      <alignment horizontal="left"/>
    </xf>
    <xf numFmtId="164" fontId="1" fillId="0" borderId="3" xfId="0" applyNumberFormat="1" applyFont="1" applyBorder="1" applyAlignment="1">
      <alignment horizontal="center"/>
    </xf>
    <xf numFmtId="164" fontId="1" fillId="0" borderId="14" xfId="0" applyNumberFormat="1" applyFont="1" applyBorder="1" applyAlignment="1">
      <alignment horizontal="center"/>
    </xf>
    <xf numFmtId="164" fontId="0" fillId="0" borderId="15" xfId="0" applyNumberFormat="1" applyBorder="1" applyAlignment="1">
      <alignment horizontal="center" vertical="center"/>
    </xf>
    <xf numFmtId="2" fontId="1" fillId="0" borderId="3" xfId="0" quotePrefix="1" applyNumberFormat="1" applyFont="1" applyBorder="1" applyAlignment="1">
      <alignment horizontal="center" vertical="center"/>
    </xf>
    <xf numFmtId="164" fontId="0" fillId="0" borderId="17" xfId="0" applyNumberFormat="1" applyBorder="1" applyAlignment="1">
      <alignment horizontal="center" vertical="center"/>
    </xf>
    <xf numFmtId="164" fontId="1" fillId="0" borderId="17" xfId="0" applyNumberFormat="1" applyFont="1" applyBorder="1" applyAlignment="1">
      <alignment horizontal="center"/>
    </xf>
    <xf numFmtId="49" fontId="1" fillId="0" borderId="3" xfId="0" applyNumberFormat="1" applyFont="1" applyBorder="1" applyAlignment="1">
      <alignment horizontal="center"/>
    </xf>
    <xf numFmtId="49" fontId="1" fillId="0" borderId="14" xfId="0" applyNumberFormat="1" applyFont="1" applyBorder="1" applyAlignment="1">
      <alignment horizontal="center"/>
    </xf>
    <xf numFmtId="0" fontId="0" fillId="0" borderId="4" xfId="0" applyBorder="1" applyAlignment="1">
      <alignment horizontal="center" vertical="top" wrapText="1"/>
    </xf>
    <xf numFmtId="0" fontId="47" fillId="10" borderId="0" xfId="0" applyFont="1" applyFill="1" applyAlignment="1">
      <alignment horizontal="center" vertical="top" wrapText="1"/>
    </xf>
    <xf numFmtId="0" fontId="3" fillId="0" borderId="4" xfId="0" applyFont="1" applyBorder="1" applyAlignment="1">
      <alignment horizontal="center" wrapText="1"/>
    </xf>
    <xf numFmtId="0" fontId="1" fillId="0" borderId="4" xfId="0" applyFont="1" applyBorder="1" applyAlignment="1">
      <alignment horizontal="center" wrapText="1"/>
    </xf>
    <xf numFmtId="0" fontId="0" fillId="0" borderId="4" xfId="0" applyBorder="1" applyAlignment="1">
      <alignment horizontal="center" wrapText="1"/>
    </xf>
    <xf numFmtId="0" fontId="0" fillId="0" borderId="15" xfId="0" applyBorder="1" applyAlignment="1">
      <alignment horizontal="center" vertical="top" wrapText="1"/>
    </xf>
    <xf numFmtId="0" fontId="3" fillId="0" borderId="2" xfId="0" applyFont="1" applyBorder="1" applyAlignment="1">
      <alignment wrapText="1"/>
    </xf>
    <xf numFmtId="0" fontId="0" fillId="0" borderId="0" xfId="0" applyAlignment="1">
      <alignment vertical="center"/>
    </xf>
    <xf numFmtId="0" fontId="0" fillId="0" borderId="5"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1" fillId="0" borderId="16" xfId="0" applyFont="1" applyBorder="1" applyAlignment="1">
      <alignment horizontal="left"/>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0" fillId="0" borderId="18" xfId="0" applyBorder="1" applyAlignment="1">
      <alignment horizontal="center" wrapText="1"/>
    </xf>
    <xf numFmtId="0" fontId="0" fillId="0" borderId="41" xfId="0" applyBorder="1" applyAlignment="1">
      <alignment horizontal="center" wrapText="1"/>
    </xf>
    <xf numFmtId="0" fontId="1" fillId="0" borderId="25" xfId="0" applyFont="1" applyBorder="1" applyAlignment="1">
      <alignment horizontal="right"/>
    </xf>
    <xf numFmtId="0" fontId="1" fillId="0" borderId="47" xfId="0" applyFont="1" applyBorder="1" applyAlignment="1">
      <alignment horizontal="right"/>
    </xf>
    <xf numFmtId="0" fontId="43" fillId="0" borderId="27" xfId="0" applyFont="1" applyBorder="1" applyAlignment="1">
      <alignment horizontal="center" vertical="center"/>
    </xf>
    <xf numFmtId="0" fontId="43" fillId="0" borderId="25" xfId="0" applyFont="1" applyBorder="1" applyAlignment="1">
      <alignment horizontal="center" vertical="center"/>
    </xf>
    <xf numFmtId="0" fontId="43" fillId="0" borderId="33"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vertical="center" wrapText="1"/>
    </xf>
    <xf numFmtId="0" fontId="3" fillId="0" borderId="19" xfId="0" applyFont="1" applyBorder="1" applyAlignment="1">
      <alignment horizontal="center" vertical="center"/>
    </xf>
    <xf numFmtId="0" fontId="1" fillId="0" borderId="19" xfId="0" applyFont="1" applyBorder="1" applyAlignment="1">
      <alignment horizontal="center"/>
    </xf>
    <xf numFmtId="0" fontId="0" fillId="0" borderId="19" xfId="0" applyBorder="1" applyAlignment="1">
      <alignment horizontal="center"/>
    </xf>
    <xf numFmtId="0" fontId="43"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wrapText="1"/>
    </xf>
    <xf numFmtId="0" fontId="1" fillId="0" borderId="7" xfId="0" applyFont="1" applyBorder="1" applyAlignment="1">
      <alignment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3" fillId="0" borderId="19" xfId="0" applyFont="1" applyBorder="1" applyAlignment="1">
      <alignment horizontal="center"/>
    </xf>
    <xf numFmtId="0" fontId="0" fillId="0" borderId="13" xfId="0" applyBorder="1" applyAlignment="1">
      <alignment horizontal="center"/>
    </xf>
    <xf numFmtId="2" fontId="1" fillId="0" borderId="14" xfId="0" applyNumberFormat="1" applyFont="1" applyBorder="1" applyAlignment="1">
      <alignment horizontal="left"/>
    </xf>
    <xf numFmtId="0" fontId="43" fillId="0" borderId="29" xfId="0" applyFont="1" applyBorder="1" applyAlignment="1">
      <alignment horizontal="center" vertical="center"/>
    </xf>
    <xf numFmtId="0" fontId="43" fillId="0" borderId="41" xfId="0" applyFont="1" applyBorder="1" applyAlignment="1">
      <alignment horizontal="center" vertical="center"/>
    </xf>
    <xf numFmtId="0" fontId="43" fillId="0" borderId="40" xfId="0" applyFont="1" applyBorder="1" applyAlignment="1">
      <alignment horizontal="center" vertical="center"/>
    </xf>
    <xf numFmtId="0" fontId="3" fillId="0" borderId="19" xfId="0" applyFont="1" applyBorder="1" applyAlignment="1">
      <alignment horizontal="center" vertical="center" wrapText="1"/>
    </xf>
    <xf numFmtId="0" fontId="3" fillId="0" borderId="41" xfId="0" applyFont="1" applyBorder="1" applyAlignment="1">
      <alignment horizontal="center" wrapText="1"/>
    </xf>
    <xf numFmtId="0" fontId="3" fillId="0" borderId="41" xfId="0" applyFont="1" applyBorder="1" applyAlignment="1">
      <alignment horizontal="center"/>
    </xf>
    <xf numFmtId="164" fontId="0" fillId="4" borderId="3" xfId="0" applyNumberFormat="1" applyFill="1" applyBorder="1" applyAlignment="1">
      <alignment horizontal="center"/>
    </xf>
    <xf numFmtId="164" fontId="0" fillId="4" borderId="17" xfId="0" applyNumberFormat="1" applyFill="1" applyBorder="1" applyAlignment="1">
      <alignment horizontal="center"/>
    </xf>
    <xf numFmtId="164" fontId="1" fillId="0" borderId="2" xfId="0" applyNumberFormat="1" applyFont="1" applyBorder="1" applyAlignment="1">
      <alignment horizontal="center"/>
    </xf>
    <xf numFmtId="0" fontId="3" fillId="0" borderId="35" xfId="0" applyFont="1" applyBorder="1" applyAlignment="1">
      <alignment horizontal="center" vertical="top" wrapText="1"/>
    </xf>
    <xf numFmtId="0" fontId="3" fillId="0" borderId="37" xfId="0" applyFont="1" applyBorder="1" applyAlignment="1">
      <alignment horizontal="center" vertical="top" wrapText="1"/>
    </xf>
    <xf numFmtId="0" fontId="3" fillId="0" borderId="13" xfId="0" applyFont="1" applyBorder="1" applyAlignment="1">
      <alignment horizontal="center" vertical="top" wrapText="1"/>
    </xf>
    <xf numFmtId="0" fontId="3" fillId="0" borderId="18" xfId="0" applyFont="1" applyBorder="1" applyAlignment="1">
      <alignment horizontal="center" wrapText="1"/>
    </xf>
    <xf numFmtId="0" fontId="0" fillId="0" borderId="18" xfId="0" applyBorder="1" applyAlignment="1">
      <alignment wrapText="1"/>
    </xf>
    <xf numFmtId="0" fontId="0" fillId="0" borderId="18" xfId="0" applyBorder="1"/>
    <xf numFmtId="0" fontId="0" fillId="0" borderId="41" xfId="0" applyBorder="1" applyAlignment="1">
      <alignment wrapText="1"/>
    </xf>
    <xf numFmtId="0" fontId="0" fillId="0" borderId="41" xfId="0" applyBorder="1"/>
    <xf numFmtId="0" fontId="0" fillId="0" borderId="6"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164" fontId="0" fillId="4" borderId="15" xfId="0" applyNumberFormat="1" applyFill="1" applyBorder="1" applyAlignment="1">
      <alignment horizontal="center"/>
    </xf>
    <xf numFmtId="164" fontId="0" fillId="4" borderId="16" xfId="0" applyNumberFormat="1" applyFill="1" applyBorder="1" applyAlignment="1">
      <alignment horizontal="center"/>
    </xf>
    <xf numFmtId="164" fontId="0" fillId="4" borderId="14" xfId="0" applyNumberFormat="1" applyFill="1" applyBorder="1" applyAlignment="1">
      <alignment horizontal="center"/>
    </xf>
    <xf numFmtId="164" fontId="0" fillId="4" borderId="42" xfId="0" applyNumberFormat="1" applyFill="1" applyBorder="1" applyAlignment="1">
      <alignment horizontal="center"/>
    </xf>
    <xf numFmtId="164" fontId="1" fillId="0" borderId="16" xfId="0" applyNumberFormat="1" applyFont="1" applyBorder="1" applyAlignment="1">
      <alignment horizontal="center"/>
    </xf>
    <xf numFmtId="164" fontId="1" fillId="0" borderId="4" xfId="0" applyNumberFormat="1" applyFont="1" applyBorder="1" applyAlignment="1">
      <alignment horizontal="center"/>
    </xf>
    <xf numFmtId="0" fontId="0" fillId="0" borderId="8" xfId="0" applyBorder="1" applyAlignment="1">
      <alignment horizontal="center"/>
    </xf>
    <xf numFmtId="0" fontId="0" fillId="3" borderId="11" xfId="0" applyFill="1" applyBorder="1" applyAlignment="1">
      <alignment horizontal="center" vertical="center"/>
    </xf>
    <xf numFmtId="164" fontId="0" fillId="4" borderId="2" xfId="0" applyNumberFormat="1" applyFill="1" applyBorder="1" applyAlignment="1">
      <alignment horizontal="center"/>
    </xf>
    <xf numFmtId="166" fontId="3" fillId="0" borderId="2" xfId="0" applyNumberFormat="1" applyFont="1" applyBorder="1" applyAlignment="1">
      <alignment horizontal="center" wrapText="1"/>
    </xf>
    <xf numFmtId="166" fontId="3" fillId="0" borderId="1" xfId="0" applyNumberFormat="1" applyFont="1" applyBorder="1" applyAlignment="1">
      <alignment horizontal="center"/>
    </xf>
    <xf numFmtId="0" fontId="3" fillId="0" borderId="1" xfId="0" applyFont="1" applyBorder="1"/>
    <xf numFmtId="0" fontId="3" fillId="0" borderId="8" xfId="0" applyFont="1" applyBorder="1"/>
    <xf numFmtId="166" fontId="3" fillId="0" borderId="2" xfId="0" applyNumberFormat="1" applyFont="1" applyBorder="1" applyAlignment="1">
      <alignment horizontal="center"/>
    </xf>
    <xf numFmtId="164" fontId="0" fillId="4" borderId="4" xfId="0" applyNumberFormat="1" applyFill="1" applyBorder="1" applyAlignment="1">
      <alignment horizontal="center"/>
    </xf>
    <xf numFmtId="0" fontId="0" fillId="0" borderId="3" xfId="0" applyBorder="1" applyAlignment="1">
      <alignment horizontal="center" vertical="top" wrapText="1"/>
    </xf>
    <xf numFmtId="49" fontId="1" fillId="0" borderId="16" xfId="0" applyNumberFormat="1" applyFont="1" applyBorder="1" applyAlignment="1">
      <alignment horizontal="center"/>
    </xf>
    <xf numFmtId="2" fontId="1" fillId="0" borderId="42" xfId="0" applyNumberFormat="1" applyFont="1" applyBorder="1" applyAlignment="1">
      <alignment horizontal="left"/>
    </xf>
    <xf numFmtId="0" fontId="3" fillId="0" borderId="34" xfId="0" applyFont="1" applyBorder="1" applyAlignment="1">
      <alignment horizontal="left" vertical="top"/>
    </xf>
    <xf numFmtId="0" fontId="3" fillId="0" borderId="1" xfId="0" applyFont="1" applyBorder="1" applyAlignment="1">
      <alignment horizontal="left" vertical="top"/>
    </xf>
    <xf numFmtId="0" fontId="0" fillId="0" borderId="17" xfId="0" applyBorder="1" applyAlignment="1">
      <alignment vertical="top"/>
    </xf>
    <xf numFmtId="0" fontId="0" fillId="0" borderId="2" xfId="0" applyBorder="1" applyAlignment="1">
      <alignment vertical="top"/>
    </xf>
    <xf numFmtId="0" fontId="1" fillId="0" borderId="2" xfId="0" applyFont="1" applyBorder="1" applyAlignment="1">
      <alignment horizontal="center" vertical="top"/>
    </xf>
    <xf numFmtId="0" fontId="0" fillId="0" borderId="2" xfId="0" applyBorder="1" applyAlignment="1">
      <alignment horizontal="center" vertical="top"/>
    </xf>
    <xf numFmtId="2" fontId="3" fillId="0" borderId="18" xfId="0" applyNumberFormat="1" applyFont="1" applyBorder="1" applyAlignment="1">
      <alignment horizontal="center"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9" xfId="0" applyFont="1" applyBorder="1" applyAlignment="1">
      <alignment horizontal="center" wrapText="1"/>
    </xf>
    <xf numFmtId="0" fontId="0" fillId="0" borderId="19" xfId="0" applyBorder="1" applyAlignment="1">
      <alignment horizontal="center" wrapText="1"/>
    </xf>
    <xf numFmtId="0" fontId="0" fillId="0" borderId="13" xfId="0" applyBorder="1" applyAlignment="1">
      <alignment horizontal="center" wrapText="1"/>
    </xf>
    <xf numFmtId="0" fontId="3" fillId="0" borderId="7" xfId="0" applyFont="1" applyBorder="1" applyAlignment="1">
      <alignment horizontal="center" wrapText="1"/>
    </xf>
    <xf numFmtId="0" fontId="0" fillId="0" borderId="17" xfId="0" applyBorder="1" applyAlignment="1">
      <alignment horizontal="center" wrapText="1"/>
    </xf>
    <xf numFmtId="0" fontId="3" fillId="0" borderId="34" xfId="0" applyFont="1" applyBorder="1" applyAlignment="1">
      <alignment horizontal="left" vertical="center" wrapText="1"/>
    </xf>
    <xf numFmtId="0" fontId="3" fillId="0" borderId="1" xfId="0" applyFont="1"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0" fillId="0" borderId="31" xfId="0" applyBorder="1" applyAlignment="1">
      <alignment horizontal="center"/>
    </xf>
    <xf numFmtId="0" fontId="0" fillId="0" borderId="35" xfId="0" applyBorder="1" applyAlignment="1">
      <alignment horizontal="center"/>
    </xf>
    <xf numFmtId="2" fontId="3" fillId="0" borderId="3" xfId="0" applyNumberFormat="1" applyFont="1" applyBorder="1" applyAlignment="1">
      <alignment horizontal="center" vertical="top" wrapText="1"/>
    </xf>
    <xf numFmtId="0" fontId="0" fillId="0" borderId="3" xfId="0" applyBorder="1" applyAlignment="1">
      <alignment horizontal="center" wrapText="1"/>
    </xf>
    <xf numFmtId="0" fontId="3" fillId="0" borderId="29" xfId="0" applyFont="1" applyBorder="1" applyAlignment="1">
      <alignment horizontal="center"/>
    </xf>
    <xf numFmtId="0" fontId="3" fillId="0" borderId="18" xfId="0" applyFont="1" applyBorder="1" applyAlignment="1">
      <alignment horizontal="center"/>
    </xf>
    <xf numFmtId="0" fontId="1" fillId="0" borderId="17" xfId="0" applyFont="1" applyBorder="1" applyAlignment="1">
      <alignment horizontal="left" vertical="top" wrapText="1"/>
    </xf>
    <xf numFmtId="0" fontId="1" fillId="0" borderId="2" xfId="0" applyFont="1" applyBorder="1" applyAlignment="1">
      <alignment horizontal="left" vertical="top" wrapText="1"/>
    </xf>
    <xf numFmtId="0" fontId="0" fillId="0" borderId="32" xfId="0" applyBorder="1" applyAlignment="1">
      <alignment horizontal="center"/>
    </xf>
    <xf numFmtId="0" fontId="0" fillId="0" borderId="3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 fillId="0" borderId="31" xfId="0" applyFont="1" applyBorder="1" applyAlignment="1">
      <alignment horizontal="center"/>
    </xf>
    <xf numFmtId="0" fontId="3" fillId="0" borderId="40" xfId="0" applyFont="1" applyBorder="1" applyAlignment="1">
      <alignment horizontal="center"/>
    </xf>
    <xf numFmtId="0" fontId="2" fillId="0" borderId="39" xfId="0" applyFont="1" applyBorder="1" applyAlignment="1">
      <alignment wrapText="1"/>
    </xf>
    <xf numFmtId="0" fontId="2" fillId="0" borderId="0" xfId="0" applyFont="1" applyAlignment="1">
      <alignment wrapText="1"/>
    </xf>
    <xf numFmtId="0" fontId="0" fillId="0" borderId="36" xfId="0" applyBorder="1" applyAlignment="1">
      <alignment horizontal="center"/>
    </xf>
    <xf numFmtId="0" fontId="1" fillId="0" borderId="16" xfId="0" applyFont="1" applyBorder="1" applyAlignment="1">
      <alignment horizontal="left" vertical="top" wrapText="1"/>
    </xf>
    <xf numFmtId="0" fontId="1" fillId="0" borderId="4" xfId="0" applyFont="1" applyBorder="1" applyAlignment="1">
      <alignment horizontal="left" vertical="top" wrapText="1"/>
    </xf>
    <xf numFmtId="0" fontId="3" fillId="0" borderId="36" xfId="0" applyFont="1" applyBorder="1" applyAlignment="1">
      <alignment horizontal="center"/>
    </xf>
    <xf numFmtId="49" fontId="0" fillId="0" borderId="17" xfId="0" applyNumberFormat="1" applyBorder="1"/>
    <xf numFmtId="164" fontId="6" fillId="0" borderId="4" xfId="0" applyNumberFormat="1" applyFont="1" applyBorder="1" applyAlignment="1">
      <alignment horizontal="center"/>
    </xf>
    <xf numFmtId="164" fontId="6" fillId="4" borderId="4" xfId="0" applyNumberFormat="1" applyFont="1" applyFill="1" applyBorder="1" applyAlignment="1">
      <alignment horizontal="center"/>
    </xf>
    <xf numFmtId="0" fontId="3" fillId="0" borderId="7" xfId="0" applyFont="1" applyBorder="1" applyAlignment="1">
      <alignment horizontal="left" vertical="top"/>
    </xf>
    <xf numFmtId="0" fontId="3" fillId="0" borderId="19" xfId="0" applyFont="1" applyBorder="1" applyAlignment="1">
      <alignment horizontal="left" vertical="top"/>
    </xf>
    <xf numFmtId="0" fontId="1" fillId="0" borderId="40" xfId="0" applyFont="1" applyBorder="1" applyAlignment="1">
      <alignment horizontal="center"/>
    </xf>
    <xf numFmtId="0" fontId="1" fillId="0" borderId="39" xfId="0" applyFont="1" applyBorder="1" applyAlignment="1">
      <alignment wrapText="1"/>
    </xf>
    <xf numFmtId="0" fontId="0" fillId="0" borderId="39" xfId="0" applyBorder="1" applyAlignment="1">
      <alignment wrapText="1"/>
    </xf>
    <xf numFmtId="1" fontId="0" fillId="0" borderId="17" xfId="0" applyNumberFormat="1" applyBorder="1" applyAlignment="1">
      <alignment horizontal="center"/>
    </xf>
    <xf numFmtId="0" fontId="0" fillId="0" borderId="7" xfId="0" applyBorder="1" applyAlignment="1">
      <alignment vertical="center"/>
    </xf>
    <xf numFmtId="0" fontId="3" fillId="0" borderId="17" xfId="0" applyFont="1" applyBorder="1"/>
    <xf numFmtId="0" fontId="0" fillId="0" borderId="43" xfId="0" applyBorder="1" applyAlignment="1">
      <alignment horizontal="center"/>
    </xf>
    <xf numFmtId="164" fontId="0" fillId="4" borderId="2" xfId="0" applyNumberFormat="1" applyFill="1" applyBorder="1" applyAlignment="1">
      <alignment horizontal="center" vertical="top"/>
    </xf>
    <xf numFmtId="164" fontId="0" fillId="4" borderId="3" xfId="0" applyNumberFormat="1" applyFill="1" applyBorder="1" applyAlignment="1">
      <alignment horizontal="center" vertical="top"/>
    </xf>
    <xf numFmtId="0" fontId="0" fillId="0" borderId="14" xfId="0" applyBorder="1" applyAlignment="1">
      <alignment vertical="top"/>
    </xf>
    <xf numFmtId="0" fontId="0" fillId="0" borderId="18" xfId="0" applyBorder="1" applyAlignment="1">
      <alignment horizontal="center"/>
    </xf>
    <xf numFmtId="0" fontId="0" fillId="0" borderId="34" xfId="0" applyBorder="1" applyAlignment="1">
      <alignment horizontal="center"/>
    </xf>
    <xf numFmtId="164" fontId="2" fillId="0" borderId="39" xfId="0" applyNumberFormat="1" applyFont="1" applyBorder="1" applyAlignment="1">
      <alignment horizontal="left" vertical="top" wrapText="1"/>
    </xf>
    <xf numFmtId="0" fontId="0" fillId="0" borderId="39" xfId="0" applyBorder="1" applyAlignment="1">
      <alignment vertical="top" wrapText="1"/>
    </xf>
    <xf numFmtId="0" fontId="0" fillId="0" borderId="0" xfId="0" applyAlignment="1">
      <alignment vertical="top" wrapText="1"/>
    </xf>
    <xf numFmtId="164" fontId="6" fillId="0" borderId="2" xfId="0" applyNumberFormat="1" applyFont="1" applyBorder="1" applyAlignment="1">
      <alignment horizontal="center"/>
    </xf>
    <xf numFmtId="0" fontId="0" fillId="0" borderId="3" xfId="0" applyBorder="1" applyAlignment="1">
      <alignment wrapText="1"/>
    </xf>
    <xf numFmtId="164" fontId="1" fillId="4" borderId="3" xfId="0" applyNumberFormat="1" applyFont="1" applyFill="1" applyBorder="1" applyAlignment="1">
      <alignment horizontal="center"/>
    </xf>
    <xf numFmtId="0" fontId="0" fillId="0" borderId="38" xfId="0" applyBorder="1" applyAlignment="1">
      <alignment horizontal="center" vertical="center"/>
    </xf>
    <xf numFmtId="0" fontId="0" fillId="0" borderId="41" xfId="0" applyBorder="1" applyAlignment="1">
      <alignment horizontal="center" vertical="center"/>
    </xf>
    <xf numFmtId="1" fontId="0" fillId="0" borderId="16" xfId="0" applyNumberFormat="1" applyBorder="1" applyAlignment="1">
      <alignment horizontal="center"/>
    </xf>
    <xf numFmtId="0" fontId="0" fillId="0" borderId="0" xfId="0" applyAlignment="1">
      <alignment horizontal="center" wrapText="1"/>
    </xf>
    <xf numFmtId="0" fontId="3" fillId="0" borderId="39" xfId="0" applyFont="1" applyBorder="1" applyAlignment="1">
      <alignment horizontal="center"/>
    </xf>
    <xf numFmtId="1" fontId="0" fillId="0" borderId="34" xfId="0" applyNumberFormat="1" applyBorder="1" applyAlignment="1">
      <alignment horizontal="center"/>
    </xf>
    <xf numFmtId="0" fontId="33" fillId="0" borderId="0" xfId="2" applyFont="1" applyAlignment="1">
      <alignment horizontal="center"/>
    </xf>
    <xf numFmtId="0" fontId="19" fillId="0" borderId="38" xfId="0" applyFont="1" applyBorder="1" applyAlignment="1">
      <alignment horizontal="left"/>
    </xf>
    <xf numFmtId="0" fontId="2" fillId="0" borderId="38" xfId="0" applyFont="1" applyBorder="1"/>
    <xf numFmtId="0" fontId="3" fillId="0" borderId="1" xfId="0" applyFont="1" applyBorder="1" applyAlignment="1">
      <alignment horizontal="center" vertical="top"/>
    </xf>
    <xf numFmtId="0" fontId="3" fillId="0" borderId="8" xfId="0" applyFont="1" applyBorder="1" applyAlignment="1">
      <alignment horizontal="center" vertical="top"/>
    </xf>
    <xf numFmtId="0" fontId="3" fillId="0" borderId="3" xfId="0" applyFont="1" applyBorder="1" applyAlignment="1">
      <alignment horizontal="center" vertical="center"/>
    </xf>
    <xf numFmtId="164" fontId="1" fillId="0" borderId="3" xfId="0" applyNumberFormat="1" applyFont="1" applyBorder="1" applyAlignment="1">
      <alignment horizontal="center" vertical="center"/>
    </xf>
    <xf numFmtId="0" fontId="0" fillId="0" borderId="17" xfId="0" applyBorder="1" applyAlignment="1">
      <alignment horizontal="center" vertical="center"/>
    </xf>
    <xf numFmtId="164" fontId="1" fillId="0" borderId="15" xfId="0" applyNumberFormat="1" applyFont="1" applyBorder="1" applyAlignment="1">
      <alignment horizontal="center"/>
    </xf>
    <xf numFmtId="0" fontId="14" fillId="0" borderId="39" xfId="0" applyFont="1" applyBorder="1"/>
    <xf numFmtId="0" fontId="14" fillId="0" borderId="0" xfId="0" applyFont="1"/>
    <xf numFmtId="0" fontId="1" fillId="0" borderId="34" xfId="0" applyFont="1" applyBorder="1" applyAlignment="1">
      <alignment wrapText="1"/>
    </xf>
    <xf numFmtId="0" fontId="0" fillId="3" borderId="1" xfId="0" applyFill="1" applyBorder="1" applyAlignment="1">
      <alignment horizontal="center" vertical="center"/>
    </xf>
    <xf numFmtId="0" fontId="3" fillId="0" borderId="2" xfId="0" applyFont="1" applyBorder="1"/>
    <xf numFmtId="0" fontId="3" fillId="0" borderId="5" xfId="0" applyFont="1" applyBorder="1" applyAlignment="1">
      <alignment horizontal="left" vertical="center" wrapText="1"/>
    </xf>
    <xf numFmtId="0" fontId="0" fillId="0" borderId="5" xfId="0" applyBorder="1" applyAlignment="1">
      <alignment horizontal="center" vertical="center" wrapText="1"/>
    </xf>
  </cellXfs>
  <cellStyles count="5">
    <cellStyle name="Comma 2" xfId="3" xr:uid="{00000000-0005-0000-0000-000000000000}"/>
    <cellStyle name="Hyperlink" xfId="4" builtinId="8"/>
    <cellStyle name="Input" xfId="1" builtinId="20"/>
    <cellStyle name="Normal" xfId="0" builtinId="0"/>
    <cellStyle name="Normal 2" xfId="2" xr:uid="{00000000-0005-0000-0000-000004000000}"/>
  </cellStyles>
  <dxfs count="3">
    <dxf>
      <font>
        <b/>
        <i val="0"/>
        <color rgb="FFC00000"/>
      </font>
    </dxf>
    <dxf>
      <font>
        <b/>
        <i val="0"/>
        <color rgb="FFC00000"/>
      </font>
    </dxf>
    <dxf>
      <font>
        <b/>
        <i val="0"/>
        <color rgb="FFC00000"/>
      </font>
    </dxf>
  </dxfs>
  <tableStyles count="0" defaultTableStyle="TableStyleMedium9" defaultPivotStyle="PivotStyleLight16"/>
  <colors>
    <mruColors>
      <color rgb="FFF0E442"/>
      <color rgb="FF56B4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ti-my.sharepoint.com/personal/l-wu_tti_tamu_edu/Documents/Documents/HSM_CPM_UrbanSuburbanArterials_v3.1%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gment_1"/>
      <sheetName val="Intersection_1"/>
      <sheetName val="Summary Tables (Site Totals)"/>
      <sheetName val="Summary Tables (Project Total)"/>
      <sheetName val="Reference Tables (Segment)"/>
      <sheetName val="Reference Tables (Intersection)"/>
      <sheetName val="Construction - Do Not Delete"/>
    </sheetNames>
    <sheetDataSet>
      <sheetData sheetId="0"/>
      <sheetData sheetId="1"/>
      <sheetData sheetId="2"/>
      <sheetData sheetId="3"/>
      <sheetData sheetId="4"/>
      <sheetData sheetId="5">
        <row r="76">
          <cell r="B76" t="str">
            <v>No</v>
          </cell>
        </row>
        <row r="79">
          <cell r="A79" t="str">
            <v>2U</v>
          </cell>
          <cell r="B79"/>
          <cell r="C79">
            <v>3.5999999999999997E-2</v>
          </cell>
          <cell r="D79"/>
          <cell r="E79">
            <v>5.0000000000000001E-3</v>
          </cell>
          <cell r="F79"/>
          <cell r="G79">
            <v>4.1000000000000002E-2</v>
          </cell>
          <cell r="H79"/>
          <cell r="I79">
            <v>6.0999999999999999E-2</v>
          </cell>
          <cell r="J79"/>
        </row>
        <row r="80">
          <cell r="A80" t="str">
            <v>3T</v>
          </cell>
          <cell r="B80"/>
          <cell r="C80">
            <v>4.1000000000000002E-2</v>
          </cell>
          <cell r="D80"/>
          <cell r="E80">
            <v>1.2999999999999999E-2</v>
          </cell>
          <cell r="F80"/>
          <cell r="G80">
            <v>4.2000000000000003E-2</v>
          </cell>
          <cell r="H80"/>
          <cell r="I80">
            <v>6.2E-2</v>
          </cell>
          <cell r="J80"/>
        </row>
        <row r="81">
          <cell r="A81" t="str">
            <v>4U</v>
          </cell>
          <cell r="B81"/>
          <cell r="C81">
            <v>2.1999999999999999E-2</v>
          </cell>
          <cell r="D81"/>
          <cell r="E81">
            <v>8.9999999999999993E-3</v>
          </cell>
          <cell r="F81"/>
          <cell r="G81">
            <v>4.2999999999999997E-2</v>
          </cell>
          <cell r="H81"/>
          <cell r="I81">
            <v>6.3E-2</v>
          </cell>
          <cell r="J81"/>
        </row>
        <row r="82">
          <cell r="A82" t="str">
            <v>4D</v>
          </cell>
          <cell r="B82"/>
          <cell r="C82">
            <v>6.7000000000000004E-2</v>
          </cell>
          <cell r="D82"/>
          <cell r="E82">
            <v>1.9E-2</v>
          </cell>
          <cell r="F82"/>
          <cell r="G82">
            <v>4.3999999999999997E-2</v>
          </cell>
          <cell r="H82"/>
          <cell r="I82">
            <v>6.4000000000000001E-2</v>
          </cell>
          <cell r="J82"/>
        </row>
        <row r="83">
          <cell r="A83" t="str">
            <v>5T</v>
          </cell>
          <cell r="B83"/>
          <cell r="C83">
            <v>0.03</v>
          </cell>
          <cell r="D83"/>
          <cell r="E83">
            <v>2.3E-2</v>
          </cell>
          <cell r="F83"/>
          <cell r="G83">
            <v>4.4999999999999998E-2</v>
          </cell>
          <cell r="H83"/>
          <cell r="I83">
            <v>6.5000000000000002E-2</v>
          </cell>
          <cell r="J83"/>
        </row>
        <row r="91">
          <cell r="B91" t="str">
            <v>No</v>
          </cell>
        </row>
        <row r="94">
          <cell r="A94" t="str">
            <v>2U</v>
          </cell>
          <cell r="B94"/>
          <cell r="C94">
            <v>1.7999999999999999E-2</v>
          </cell>
          <cell r="D94"/>
          <cell r="E94">
            <v>4.0000000000000001E-3</v>
          </cell>
          <cell r="F94"/>
          <cell r="G94">
            <v>2.1000000000000001E-2</v>
          </cell>
          <cell r="H94"/>
          <cell r="I94">
            <v>3.1E-2</v>
          </cell>
          <cell r="J94"/>
        </row>
        <row r="95">
          <cell r="A95" t="str">
            <v>3T</v>
          </cell>
          <cell r="B95"/>
          <cell r="C95">
            <v>2.7E-2</v>
          </cell>
          <cell r="D95"/>
          <cell r="E95">
            <v>7.0000000000000001E-3</v>
          </cell>
          <cell r="F95"/>
          <cell r="G95">
            <v>2.1999999999999999E-2</v>
          </cell>
          <cell r="H95"/>
          <cell r="I95">
            <v>3.2000000000000001E-2</v>
          </cell>
          <cell r="J95"/>
        </row>
        <row r="96">
          <cell r="A96" t="str">
            <v>4U</v>
          </cell>
          <cell r="B96"/>
          <cell r="C96">
            <v>1.0999999999999999E-2</v>
          </cell>
          <cell r="D96"/>
          <cell r="E96">
            <v>2E-3</v>
          </cell>
          <cell r="F96"/>
          <cell r="G96">
            <v>2.3E-2</v>
          </cell>
          <cell r="H96"/>
          <cell r="I96">
            <v>3.3000000000000002E-2</v>
          </cell>
          <cell r="J96"/>
        </row>
        <row r="97">
          <cell r="A97" t="str">
            <v>4D</v>
          </cell>
          <cell r="B97"/>
          <cell r="C97">
            <v>1.2999999999999999E-2</v>
          </cell>
          <cell r="D97"/>
          <cell r="E97">
            <v>5.0000000000000001E-3</v>
          </cell>
          <cell r="F97"/>
          <cell r="G97">
            <v>2.4E-2</v>
          </cell>
          <cell r="H97"/>
          <cell r="I97">
            <v>3.4000000000000002E-2</v>
          </cell>
          <cell r="J97"/>
        </row>
        <row r="98">
          <cell r="A98" t="str">
            <v>5T</v>
          </cell>
          <cell r="B98"/>
          <cell r="C98">
            <v>0.05</v>
          </cell>
          <cell r="D98"/>
          <cell r="E98">
            <v>1.2E-2</v>
          </cell>
          <cell r="F98"/>
          <cell r="G98">
            <v>2.5000000000000001E-2</v>
          </cell>
          <cell r="H98"/>
          <cell r="I98">
            <v>3.5000000000000003E-2</v>
          </cell>
          <cell r="J98"/>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torbic@tti.tam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B5DA-4FA3-45BB-A254-39C6004C725E}">
  <dimension ref="B1:M36"/>
  <sheetViews>
    <sheetView tabSelected="1" workbookViewId="0">
      <selection activeCell="B4" sqref="B4:M4"/>
    </sheetView>
  </sheetViews>
  <sheetFormatPr defaultColWidth="8.81640625" defaultRowHeight="14.5" x14ac:dyDescent="0.35"/>
  <cols>
    <col min="1" max="1" width="3.453125" style="198" customWidth="1"/>
    <col min="2" max="2" width="12" style="198" customWidth="1"/>
    <col min="3" max="12" width="8.81640625" style="198"/>
    <col min="13" max="13" width="30" style="198" customWidth="1"/>
    <col min="14" max="256" width="8.81640625" style="198"/>
    <col min="257" max="257" width="3.453125" style="198" customWidth="1"/>
    <col min="258" max="512" width="8.81640625" style="198"/>
    <col min="513" max="513" width="3.453125" style="198" customWidth="1"/>
    <col min="514" max="768" width="8.81640625" style="198"/>
    <col min="769" max="769" width="3.453125" style="198" customWidth="1"/>
    <col min="770" max="1024" width="8.81640625" style="198"/>
    <col min="1025" max="1025" width="3.453125" style="198" customWidth="1"/>
    <col min="1026" max="1280" width="8.81640625" style="198"/>
    <col min="1281" max="1281" width="3.453125" style="198" customWidth="1"/>
    <col min="1282" max="1536" width="8.81640625" style="198"/>
    <col min="1537" max="1537" width="3.453125" style="198" customWidth="1"/>
    <col min="1538" max="1792" width="8.81640625" style="198"/>
    <col min="1793" max="1793" width="3.453125" style="198" customWidth="1"/>
    <col min="1794" max="2048" width="8.81640625" style="198"/>
    <col min="2049" max="2049" width="3.453125" style="198" customWidth="1"/>
    <col min="2050" max="2304" width="8.81640625" style="198"/>
    <col min="2305" max="2305" width="3.453125" style="198" customWidth="1"/>
    <col min="2306" max="2560" width="8.81640625" style="198"/>
    <col min="2561" max="2561" width="3.453125" style="198" customWidth="1"/>
    <col min="2562" max="2816" width="8.81640625" style="198"/>
    <col min="2817" max="2817" width="3.453125" style="198" customWidth="1"/>
    <col min="2818" max="3072" width="8.81640625" style="198"/>
    <col min="3073" max="3073" width="3.453125" style="198" customWidth="1"/>
    <col min="3074" max="3328" width="8.81640625" style="198"/>
    <col min="3329" max="3329" width="3.453125" style="198" customWidth="1"/>
    <col min="3330" max="3584" width="8.81640625" style="198"/>
    <col min="3585" max="3585" width="3.453125" style="198" customWidth="1"/>
    <col min="3586" max="3840" width="8.81640625" style="198"/>
    <col min="3841" max="3841" width="3.453125" style="198" customWidth="1"/>
    <col min="3842" max="4096" width="8.81640625" style="198"/>
    <col min="4097" max="4097" width="3.453125" style="198" customWidth="1"/>
    <col min="4098" max="4352" width="8.81640625" style="198"/>
    <col min="4353" max="4353" width="3.453125" style="198" customWidth="1"/>
    <col min="4354" max="4608" width="8.81640625" style="198"/>
    <col min="4609" max="4609" width="3.453125" style="198" customWidth="1"/>
    <col min="4610" max="4864" width="8.81640625" style="198"/>
    <col min="4865" max="4865" width="3.453125" style="198" customWidth="1"/>
    <col min="4866" max="5120" width="8.81640625" style="198"/>
    <col min="5121" max="5121" width="3.453125" style="198" customWidth="1"/>
    <col min="5122" max="5376" width="8.81640625" style="198"/>
    <col min="5377" max="5377" width="3.453125" style="198" customWidth="1"/>
    <col min="5378" max="5632" width="8.81640625" style="198"/>
    <col min="5633" max="5633" width="3.453125" style="198" customWidth="1"/>
    <col min="5634" max="5888" width="8.81640625" style="198"/>
    <col min="5889" max="5889" width="3.453125" style="198" customWidth="1"/>
    <col min="5890" max="6144" width="8.81640625" style="198"/>
    <col min="6145" max="6145" width="3.453125" style="198" customWidth="1"/>
    <col min="6146" max="6400" width="8.81640625" style="198"/>
    <col min="6401" max="6401" width="3.453125" style="198" customWidth="1"/>
    <col min="6402" max="6656" width="8.81640625" style="198"/>
    <col min="6657" max="6657" width="3.453125" style="198" customWidth="1"/>
    <col min="6658" max="6912" width="8.81640625" style="198"/>
    <col min="6913" max="6913" width="3.453125" style="198" customWidth="1"/>
    <col min="6914" max="7168" width="8.81640625" style="198"/>
    <col min="7169" max="7169" width="3.453125" style="198" customWidth="1"/>
    <col min="7170" max="7424" width="8.81640625" style="198"/>
    <col min="7425" max="7425" width="3.453125" style="198" customWidth="1"/>
    <col min="7426" max="7680" width="8.81640625" style="198"/>
    <col min="7681" max="7681" width="3.453125" style="198" customWidth="1"/>
    <col min="7682" max="7936" width="8.81640625" style="198"/>
    <col min="7937" max="7937" width="3.453125" style="198" customWidth="1"/>
    <col min="7938" max="8192" width="8.81640625" style="198"/>
    <col min="8193" max="8193" width="3.453125" style="198" customWidth="1"/>
    <col min="8194" max="8448" width="8.81640625" style="198"/>
    <col min="8449" max="8449" width="3.453125" style="198" customWidth="1"/>
    <col min="8450" max="8704" width="8.81640625" style="198"/>
    <col min="8705" max="8705" width="3.453125" style="198" customWidth="1"/>
    <col min="8706" max="8960" width="8.81640625" style="198"/>
    <col min="8961" max="8961" width="3.453125" style="198" customWidth="1"/>
    <col min="8962" max="9216" width="8.81640625" style="198"/>
    <col min="9217" max="9217" width="3.453125" style="198" customWidth="1"/>
    <col min="9218" max="9472" width="8.81640625" style="198"/>
    <col min="9473" max="9473" width="3.453125" style="198" customWidth="1"/>
    <col min="9474" max="9728" width="8.81640625" style="198"/>
    <col min="9729" max="9729" width="3.453125" style="198" customWidth="1"/>
    <col min="9730" max="9984" width="8.81640625" style="198"/>
    <col min="9985" max="9985" width="3.453125" style="198" customWidth="1"/>
    <col min="9986" max="10240" width="8.81640625" style="198"/>
    <col min="10241" max="10241" width="3.453125" style="198" customWidth="1"/>
    <col min="10242" max="10496" width="8.81640625" style="198"/>
    <col min="10497" max="10497" width="3.453125" style="198" customWidth="1"/>
    <col min="10498" max="10752" width="8.81640625" style="198"/>
    <col min="10753" max="10753" width="3.453125" style="198" customWidth="1"/>
    <col min="10754" max="11008" width="8.81640625" style="198"/>
    <col min="11009" max="11009" width="3.453125" style="198" customWidth="1"/>
    <col min="11010" max="11264" width="8.81640625" style="198"/>
    <col min="11265" max="11265" width="3.453125" style="198" customWidth="1"/>
    <col min="11266" max="11520" width="8.81640625" style="198"/>
    <col min="11521" max="11521" width="3.453125" style="198" customWidth="1"/>
    <col min="11522" max="11776" width="8.81640625" style="198"/>
    <col min="11777" max="11777" width="3.453125" style="198" customWidth="1"/>
    <col min="11778" max="12032" width="8.81640625" style="198"/>
    <col min="12033" max="12033" width="3.453125" style="198" customWidth="1"/>
    <col min="12034" max="12288" width="8.81640625" style="198"/>
    <col min="12289" max="12289" width="3.453125" style="198" customWidth="1"/>
    <col min="12290" max="12544" width="8.81640625" style="198"/>
    <col min="12545" max="12545" width="3.453125" style="198" customWidth="1"/>
    <col min="12546" max="12800" width="8.81640625" style="198"/>
    <col min="12801" max="12801" width="3.453125" style="198" customWidth="1"/>
    <col min="12802" max="13056" width="8.81640625" style="198"/>
    <col min="13057" max="13057" width="3.453125" style="198" customWidth="1"/>
    <col min="13058" max="13312" width="8.81640625" style="198"/>
    <col min="13313" max="13313" width="3.453125" style="198" customWidth="1"/>
    <col min="13314" max="13568" width="8.81640625" style="198"/>
    <col min="13569" max="13569" width="3.453125" style="198" customWidth="1"/>
    <col min="13570" max="13824" width="8.81640625" style="198"/>
    <col min="13825" max="13825" width="3.453125" style="198" customWidth="1"/>
    <col min="13826" max="14080" width="8.81640625" style="198"/>
    <col min="14081" max="14081" width="3.453125" style="198" customWidth="1"/>
    <col min="14082" max="14336" width="8.81640625" style="198"/>
    <col min="14337" max="14337" width="3.453125" style="198" customWidth="1"/>
    <col min="14338" max="14592" width="8.81640625" style="198"/>
    <col min="14593" max="14593" width="3.453125" style="198" customWidth="1"/>
    <col min="14594" max="14848" width="8.81640625" style="198"/>
    <col min="14849" max="14849" width="3.453125" style="198" customWidth="1"/>
    <col min="14850" max="15104" width="8.81640625" style="198"/>
    <col min="15105" max="15105" width="3.453125" style="198" customWidth="1"/>
    <col min="15106" max="15360" width="8.81640625" style="198"/>
    <col min="15361" max="15361" width="3.453125" style="198" customWidth="1"/>
    <col min="15362" max="15616" width="8.81640625" style="198"/>
    <col min="15617" max="15617" width="3.453125" style="198" customWidth="1"/>
    <col min="15618" max="15872" width="8.81640625" style="198"/>
    <col min="15873" max="15873" width="3.453125" style="198" customWidth="1"/>
    <col min="15874" max="16128" width="8.81640625" style="198"/>
    <col min="16129" max="16129" width="3.453125" style="198" customWidth="1"/>
    <col min="16130" max="16384" width="8.81640625" style="198"/>
  </cols>
  <sheetData>
    <row r="1" spans="2:13" ht="15" thickBot="1" x14ac:dyDescent="0.4"/>
    <row r="2" spans="2:13" ht="15" thickTop="1" x14ac:dyDescent="0.35">
      <c r="B2" s="409"/>
      <c r="C2" s="410"/>
      <c r="D2" s="410"/>
      <c r="E2" s="410"/>
      <c r="F2" s="410"/>
      <c r="G2" s="410"/>
      <c r="H2" s="410"/>
      <c r="I2" s="410"/>
      <c r="J2" s="410"/>
      <c r="K2" s="410"/>
      <c r="L2" s="410"/>
      <c r="M2" s="411"/>
    </row>
    <row r="3" spans="2:13" ht="18" x14ac:dyDescent="0.4">
      <c r="B3" s="412"/>
      <c r="C3" s="425" t="s">
        <v>1340</v>
      </c>
      <c r="D3" s="425"/>
      <c r="E3" s="425"/>
      <c r="F3" s="425"/>
      <c r="G3" s="425"/>
      <c r="H3" s="425"/>
      <c r="I3" s="425"/>
      <c r="J3" s="425"/>
      <c r="K3" s="425"/>
      <c r="L3" s="425"/>
      <c r="M3" s="413"/>
    </row>
    <row r="4" spans="2:13" ht="66.5" customHeight="1" x14ac:dyDescent="0.35">
      <c r="B4" s="426" t="s">
        <v>1355</v>
      </c>
      <c r="C4" s="427"/>
      <c r="D4" s="427"/>
      <c r="E4" s="427"/>
      <c r="F4" s="427"/>
      <c r="G4" s="427"/>
      <c r="H4" s="427"/>
      <c r="I4" s="427"/>
      <c r="J4" s="427"/>
      <c r="K4" s="427"/>
      <c r="L4" s="427"/>
      <c r="M4" s="428"/>
    </row>
    <row r="5" spans="2:13" ht="15" thickBot="1" x14ac:dyDescent="0.4">
      <c r="B5" s="414"/>
      <c r="C5" s="415"/>
      <c r="D5" s="415"/>
      <c r="E5" s="415"/>
      <c r="F5" s="415"/>
      <c r="G5" s="415"/>
      <c r="H5" s="415"/>
      <c r="I5" s="415"/>
      <c r="J5" s="415"/>
      <c r="K5" s="415"/>
      <c r="L5" s="415"/>
      <c r="M5" s="416"/>
    </row>
    <row r="6" spans="2:13" ht="15" thickTop="1" x14ac:dyDescent="0.35"/>
    <row r="7" spans="2:13" x14ac:dyDescent="0.35">
      <c r="B7" s="429"/>
      <c r="C7" s="429"/>
      <c r="D7" s="429"/>
      <c r="E7" s="429"/>
      <c r="F7" s="429"/>
      <c r="G7" s="429"/>
      <c r="H7" s="429"/>
      <c r="I7" s="429"/>
      <c r="J7" s="429"/>
      <c r="K7" s="429"/>
      <c r="L7" s="429"/>
      <c r="M7" s="429"/>
    </row>
    <row r="8" spans="2:13" x14ac:dyDescent="0.35">
      <c r="B8" s="232"/>
      <c r="C8" s="232"/>
      <c r="D8" s="232"/>
      <c r="E8" s="232"/>
      <c r="F8" s="232"/>
      <c r="G8" s="232"/>
      <c r="H8" s="232"/>
      <c r="I8" s="232"/>
      <c r="J8" s="232"/>
      <c r="K8" s="232"/>
      <c r="L8" s="232"/>
      <c r="M8" s="232"/>
    </row>
    <row r="9" spans="2:13" s="417" customFormat="1" ht="41.5" customHeight="1" x14ac:dyDescent="0.25">
      <c r="B9" s="430" t="s">
        <v>1354</v>
      </c>
      <c r="C9" s="424"/>
      <c r="D9" s="424"/>
      <c r="E9" s="424"/>
      <c r="F9" s="424"/>
      <c r="G9" s="424"/>
      <c r="H9" s="424"/>
      <c r="I9" s="424"/>
      <c r="J9" s="424"/>
      <c r="K9" s="424"/>
      <c r="L9" s="424"/>
      <c r="M9" s="424"/>
    </row>
    <row r="10" spans="2:13" s="417" customFormat="1" x14ac:dyDescent="0.25">
      <c r="B10" s="424" t="s">
        <v>1341</v>
      </c>
      <c r="C10" s="424"/>
      <c r="D10" s="424"/>
      <c r="E10" s="424"/>
      <c r="F10" s="418"/>
      <c r="G10" s="418"/>
      <c r="H10" s="418"/>
      <c r="I10" s="418"/>
      <c r="J10" s="418"/>
      <c r="K10" s="418"/>
      <c r="L10" s="418"/>
      <c r="M10" s="418"/>
    </row>
    <row r="11" spans="2:13" x14ac:dyDescent="0.35">
      <c r="B11" s="232"/>
      <c r="C11" s="232"/>
      <c r="D11" s="232"/>
      <c r="E11" s="232"/>
      <c r="F11" s="232"/>
      <c r="G11" s="232"/>
      <c r="H11" s="232"/>
      <c r="I11" s="232"/>
      <c r="J11" s="232"/>
      <c r="K11" s="232"/>
      <c r="L11" s="232"/>
      <c r="M11" s="232"/>
    </row>
    <row r="13" spans="2:13" x14ac:dyDescent="0.35">
      <c r="B13" s="419" t="s">
        <v>1342</v>
      </c>
    </row>
    <row r="14" spans="2:13" ht="71.5" customHeight="1" x14ac:dyDescent="0.35">
      <c r="B14" s="424" t="s">
        <v>1343</v>
      </c>
      <c r="C14" s="424"/>
      <c r="D14" s="424"/>
      <c r="E14" s="424"/>
      <c r="F14" s="424"/>
      <c r="G14" s="424"/>
      <c r="H14" s="424"/>
      <c r="I14" s="424"/>
      <c r="J14" s="424"/>
      <c r="K14" s="424"/>
      <c r="L14" s="424"/>
      <c r="M14" s="424"/>
    </row>
    <row r="15" spans="2:13" x14ac:dyDescent="0.35">
      <c r="B15" s="418"/>
      <c r="C15" s="418"/>
      <c r="D15" s="418"/>
      <c r="E15" s="418"/>
      <c r="F15" s="418"/>
      <c r="G15" s="418"/>
      <c r="H15" s="418"/>
      <c r="I15" s="418"/>
      <c r="J15" s="418"/>
      <c r="K15" s="418"/>
      <c r="L15" s="418"/>
      <c r="M15" s="418"/>
    </row>
    <row r="16" spans="2:13" x14ac:dyDescent="0.35">
      <c r="B16" s="419" t="s">
        <v>1344</v>
      </c>
    </row>
    <row r="17" spans="2:13" x14ac:dyDescent="0.35">
      <c r="B17" s="424" t="s">
        <v>1345</v>
      </c>
      <c r="C17" s="424"/>
      <c r="D17" s="424"/>
      <c r="E17" s="424"/>
      <c r="F17" s="424"/>
      <c r="G17" s="424"/>
      <c r="H17" s="424"/>
      <c r="I17" s="424"/>
      <c r="J17" s="424"/>
      <c r="K17" s="424"/>
      <c r="L17" s="424"/>
      <c r="M17" s="424"/>
    </row>
    <row r="18" spans="2:13" x14ac:dyDescent="0.35">
      <c r="B18" s="424" t="s">
        <v>1346</v>
      </c>
      <c r="C18" s="424"/>
      <c r="D18" s="424"/>
      <c r="E18" s="424"/>
      <c r="F18" s="424"/>
      <c r="G18" s="424"/>
      <c r="H18" s="424"/>
      <c r="I18" s="424"/>
      <c r="J18" s="424"/>
      <c r="K18" s="424"/>
      <c r="L18" s="424"/>
      <c r="M18" s="424"/>
    </row>
    <row r="20" spans="2:13" x14ac:dyDescent="0.35">
      <c r="B20" s="419" t="s">
        <v>1347</v>
      </c>
    </row>
    <row r="21" spans="2:13" ht="56.5" customHeight="1" x14ac:dyDescent="0.35">
      <c r="B21" s="424" t="s">
        <v>1348</v>
      </c>
      <c r="C21" s="424"/>
      <c r="D21" s="424"/>
      <c r="E21" s="424"/>
      <c r="F21" s="424"/>
      <c r="G21" s="424"/>
      <c r="H21" s="424"/>
      <c r="I21" s="424"/>
      <c r="J21" s="424"/>
      <c r="K21" s="424"/>
      <c r="L21" s="424"/>
      <c r="M21" s="424"/>
    </row>
    <row r="23" spans="2:13" ht="87.5" customHeight="1" x14ac:dyDescent="0.35">
      <c r="B23" s="424" t="s">
        <v>1349</v>
      </c>
      <c r="C23" s="424"/>
      <c r="D23" s="424"/>
      <c r="E23" s="424"/>
      <c r="F23" s="424"/>
      <c r="G23" s="424"/>
      <c r="H23" s="424"/>
      <c r="I23" s="424"/>
      <c r="J23" s="424"/>
      <c r="K23" s="424"/>
      <c r="L23" s="424"/>
      <c r="M23" s="424"/>
    </row>
    <row r="24" spans="2:13" x14ac:dyDescent="0.35">
      <c r="B24" s="420"/>
      <c r="C24" s="420"/>
      <c r="D24" s="420"/>
      <c r="E24" s="420"/>
      <c r="F24" s="420"/>
      <c r="G24" s="420"/>
      <c r="H24" s="420"/>
      <c r="I24" s="420"/>
      <c r="J24" s="420"/>
      <c r="K24" s="420"/>
      <c r="L24" s="420"/>
      <c r="M24" s="420"/>
    </row>
    <row r="25" spans="2:13" x14ac:dyDescent="0.35">
      <c r="B25" s="431"/>
      <c r="C25" s="431"/>
      <c r="D25" s="431"/>
      <c r="E25" s="431"/>
      <c r="F25" s="431"/>
      <c r="G25" s="431"/>
      <c r="H25" s="431"/>
      <c r="I25" s="431"/>
      <c r="J25" s="431"/>
      <c r="K25" s="431"/>
      <c r="L25" s="431"/>
      <c r="M25" s="431"/>
    </row>
    <row r="26" spans="2:13" x14ac:dyDescent="0.35">
      <c r="B26" s="421" t="s">
        <v>1350</v>
      </c>
      <c r="C26" s="417"/>
      <c r="D26" s="417"/>
      <c r="E26" s="417"/>
      <c r="F26" s="417"/>
      <c r="G26" s="417"/>
      <c r="H26" s="417"/>
      <c r="I26" s="417"/>
      <c r="J26" s="417"/>
      <c r="K26" s="417"/>
      <c r="L26" s="417"/>
      <c r="M26" s="417"/>
    </row>
    <row r="27" spans="2:13" x14ac:dyDescent="0.35">
      <c r="B27" s="424" t="s">
        <v>1351</v>
      </c>
      <c r="C27" s="424"/>
      <c r="D27" s="424"/>
      <c r="E27" s="424"/>
      <c r="F27" s="424"/>
      <c r="G27" s="424"/>
      <c r="H27" s="424"/>
      <c r="I27" s="424"/>
      <c r="J27" s="424"/>
      <c r="K27" s="424"/>
      <c r="L27" s="424"/>
      <c r="M27" s="424"/>
    </row>
    <row r="28" spans="2:13" x14ac:dyDescent="0.35">
      <c r="B28" s="418"/>
      <c r="C28" s="418"/>
      <c r="D28" s="418"/>
      <c r="E28" s="418"/>
      <c r="F28" s="418"/>
      <c r="G28" s="418"/>
      <c r="H28" s="418"/>
      <c r="I28" s="418"/>
      <c r="J28" s="418"/>
      <c r="K28" s="418"/>
      <c r="L28" s="418"/>
      <c r="M28" s="418"/>
    </row>
    <row r="29" spans="2:13" ht="43" customHeight="1" x14ac:dyDescent="0.35">
      <c r="B29" s="424" t="s">
        <v>1352</v>
      </c>
      <c r="C29" s="424"/>
      <c r="D29" s="424"/>
      <c r="E29" s="424"/>
      <c r="F29" s="424"/>
      <c r="G29" s="424"/>
      <c r="H29" s="424"/>
      <c r="I29" s="424"/>
      <c r="J29" s="424"/>
      <c r="K29" s="424"/>
      <c r="L29" s="424"/>
      <c r="M29" s="424"/>
    </row>
    <row r="30" spans="2:13" x14ac:dyDescent="0.35">
      <c r="B30" s="418"/>
      <c r="C30" s="418"/>
      <c r="D30" s="418"/>
      <c r="E30" s="418"/>
      <c r="F30" s="418"/>
      <c r="G30" s="418"/>
      <c r="H30" s="418"/>
      <c r="I30" s="418"/>
      <c r="J30" s="418"/>
      <c r="K30" s="418"/>
      <c r="L30" s="418"/>
      <c r="M30" s="418"/>
    </row>
    <row r="31" spans="2:13" ht="42.5" customHeight="1" x14ac:dyDescent="0.35">
      <c r="B31" s="424" t="s">
        <v>1353</v>
      </c>
      <c r="C31" s="424"/>
      <c r="D31" s="424"/>
      <c r="E31" s="424"/>
      <c r="F31" s="424"/>
      <c r="G31" s="424"/>
      <c r="H31" s="424"/>
      <c r="I31" s="424"/>
      <c r="J31" s="424"/>
      <c r="K31" s="424"/>
      <c r="L31" s="424"/>
      <c r="M31" s="424"/>
    </row>
    <row r="32" spans="2:13" x14ac:dyDescent="0.35">
      <c r="B32" s="231"/>
      <c r="C32" s="231"/>
      <c r="D32" s="231"/>
      <c r="E32" s="231"/>
      <c r="F32" s="231"/>
      <c r="G32" s="231"/>
      <c r="H32" s="231"/>
      <c r="I32" s="231"/>
      <c r="J32" s="231"/>
      <c r="K32" s="231"/>
      <c r="L32" s="231"/>
      <c r="M32" s="231"/>
    </row>
    <row r="33" spans="2:4" x14ac:dyDescent="0.35">
      <c r="B33" s="421"/>
      <c r="C33" s="417"/>
      <c r="D33" s="417"/>
    </row>
    <row r="34" spans="2:4" x14ac:dyDescent="0.35">
      <c r="B34" s="422"/>
      <c r="D34" s="417"/>
    </row>
    <row r="35" spans="2:4" x14ac:dyDescent="0.35">
      <c r="B35" s="423"/>
      <c r="C35" s="417"/>
    </row>
    <row r="36" spans="2:4" x14ac:dyDescent="0.35">
      <c r="B36" s="422"/>
    </row>
  </sheetData>
  <mergeCells count="14">
    <mergeCell ref="B29:M29"/>
    <mergeCell ref="B31:M31"/>
    <mergeCell ref="B17:M17"/>
    <mergeCell ref="B18:M18"/>
    <mergeCell ref="B21:M21"/>
    <mergeCell ref="B23:M23"/>
    <mergeCell ref="B25:M25"/>
    <mergeCell ref="B27:M27"/>
    <mergeCell ref="B14:M14"/>
    <mergeCell ref="C3:L3"/>
    <mergeCell ref="B4:M4"/>
    <mergeCell ref="B7:M7"/>
    <mergeCell ref="B9:M9"/>
    <mergeCell ref="B10:E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BF136"/>
  <sheetViews>
    <sheetView topLeftCell="A3" zoomScaleNormal="100" workbookViewId="0">
      <selection activeCell="R16" sqref="R16"/>
    </sheetView>
  </sheetViews>
  <sheetFormatPr defaultColWidth="9.1796875" defaultRowHeight="12.5" x14ac:dyDescent="0.25"/>
  <cols>
    <col min="1" max="7" width="13.7265625" customWidth="1"/>
    <col min="8" max="8" width="15.26953125" customWidth="1"/>
    <col min="9" max="10" width="13.7265625" customWidth="1"/>
    <col min="11" max="14" width="10.7265625" customWidth="1"/>
    <col min="15" max="15" width="12.7265625" customWidth="1"/>
    <col min="16" max="22" width="13.7265625" customWidth="1"/>
    <col min="23" max="32" width="12.7265625" customWidth="1"/>
    <col min="39" max="39" width="11" customWidth="1"/>
    <col min="40" max="40" width="12.453125" customWidth="1"/>
    <col min="41" max="41" width="10.453125" customWidth="1"/>
    <col min="42" max="42" width="10.7265625" customWidth="1"/>
    <col min="43" max="43" width="12.453125" customWidth="1"/>
    <col min="44" max="44" width="10.453125" customWidth="1"/>
    <col min="45" max="45" width="11.7265625" customWidth="1"/>
    <col min="46" max="46" width="10.453125" customWidth="1"/>
    <col min="49" max="49" width="10.1796875" customWidth="1"/>
  </cols>
  <sheetData>
    <row r="1" spans="1:58" x14ac:dyDescent="0.25">
      <c r="Q1" s="6"/>
      <c r="T1" s="1"/>
      <c r="Z1" s="7"/>
    </row>
    <row r="2" spans="1:58" ht="13" thickBot="1" x14ac:dyDescent="0.3">
      <c r="Q2" s="6"/>
      <c r="T2" s="1"/>
      <c r="Z2" s="7"/>
    </row>
    <row r="3" spans="1:58" ht="13.5" thickTop="1" x14ac:dyDescent="0.3">
      <c r="A3" s="25"/>
      <c r="B3" s="969" t="s">
        <v>466</v>
      </c>
      <c r="C3" s="969"/>
      <c r="D3" s="969"/>
      <c r="E3" s="969"/>
      <c r="F3" s="969"/>
      <c r="G3" s="969"/>
      <c r="H3" s="969"/>
      <c r="I3" s="969"/>
      <c r="J3" s="969"/>
      <c r="K3" s="969"/>
      <c r="L3" s="969"/>
      <c r="M3" s="969"/>
      <c r="N3" s="969"/>
      <c r="O3" s="969"/>
      <c r="P3" s="43"/>
      <c r="Q3" s="32"/>
      <c r="R3" s="32"/>
      <c r="S3" s="32"/>
      <c r="T3" s="32"/>
      <c r="U3" s="32"/>
      <c r="V3" s="32"/>
      <c r="W3" s="32"/>
      <c r="X3" s="32"/>
      <c r="Y3" s="32"/>
      <c r="Z3" s="49"/>
      <c r="AA3" s="49"/>
      <c r="AB3" s="5"/>
      <c r="AC3" s="5"/>
      <c r="AD3" s="5"/>
      <c r="AM3" s="5"/>
      <c r="AW3" s="5"/>
      <c r="AX3" s="5"/>
      <c r="AY3" s="5"/>
      <c r="AZ3" s="5"/>
      <c r="BA3" s="5"/>
      <c r="BB3" s="5"/>
      <c r="BC3" s="5"/>
      <c r="BD3" s="5"/>
      <c r="BE3" s="5"/>
      <c r="BF3" s="5"/>
    </row>
    <row r="4" spans="1:58" ht="13.5" customHeight="1" thickBot="1" x14ac:dyDescent="0.35">
      <c r="A4" s="5"/>
      <c r="B4" s="925"/>
      <c r="C4" s="925"/>
      <c r="D4" s="925"/>
      <c r="E4" s="925"/>
      <c r="F4" s="925"/>
      <c r="G4" s="925"/>
      <c r="H4" s="925"/>
      <c r="I4" s="925"/>
      <c r="J4" s="925"/>
      <c r="K4" s="925"/>
      <c r="L4" s="925"/>
      <c r="M4" s="925"/>
      <c r="N4" s="925"/>
      <c r="O4" s="925"/>
      <c r="P4" s="1"/>
      <c r="Q4" s="32"/>
      <c r="R4" s="1004" t="s">
        <v>1318</v>
      </c>
      <c r="S4" s="1004"/>
      <c r="T4" s="1004"/>
      <c r="U4" s="32"/>
      <c r="V4" s="32"/>
      <c r="W4" s="32"/>
      <c r="X4" s="32"/>
      <c r="Y4" s="32"/>
      <c r="Z4" s="49"/>
      <c r="AA4" s="49"/>
      <c r="AB4" s="1"/>
      <c r="AC4" s="1"/>
      <c r="AD4" s="1"/>
      <c r="AW4" s="5"/>
      <c r="AX4" s="5"/>
      <c r="AY4" s="5"/>
      <c r="AZ4" s="5"/>
      <c r="BA4" s="5"/>
      <c r="BB4" s="5"/>
      <c r="BC4" s="5"/>
      <c r="BD4" s="5"/>
      <c r="BE4" s="5"/>
      <c r="BF4" s="5"/>
    </row>
    <row r="5" spans="1:58" ht="12.75" customHeight="1" x14ac:dyDescent="0.3">
      <c r="B5" s="459" t="s">
        <v>16</v>
      </c>
      <c r="C5" s="460"/>
      <c r="D5" s="30" t="s">
        <v>17</v>
      </c>
      <c r="E5" s="30" t="s">
        <v>18</v>
      </c>
      <c r="F5" s="30" t="s">
        <v>19</v>
      </c>
      <c r="G5" s="30" t="s">
        <v>20</v>
      </c>
      <c r="H5" s="30" t="s">
        <v>21</v>
      </c>
      <c r="I5" s="30" t="s">
        <v>22</v>
      </c>
      <c r="J5" s="30" t="s">
        <v>23</v>
      </c>
      <c r="K5" s="30" t="s">
        <v>24</v>
      </c>
      <c r="L5" s="30" t="s">
        <v>25</v>
      </c>
      <c r="M5" s="30" t="s">
        <v>26</v>
      </c>
      <c r="N5" s="30" t="s">
        <v>27</v>
      </c>
      <c r="O5" s="65" t="s">
        <v>28</v>
      </c>
      <c r="P5" s="8"/>
      <c r="Q5" s="31"/>
      <c r="R5" s="1004"/>
      <c r="S5" s="1004"/>
      <c r="T5" s="1004"/>
      <c r="U5" s="43"/>
      <c r="V5" s="43"/>
      <c r="W5" s="43"/>
      <c r="X5" s="43"/>
      <c r="Y5" s="43"/>
      <c r="AB5" s="43"/>
      <c r="AC5" s="43"/>
      <c r="AD5" s="43"/>
      <c r="AM5" s="5"/>
      <c r="AN5" s="5"/>
      <c r="AO5" s="5"/>
      <c r="AP5" s="1"/>
      <c r="AQ5" s="5"/>
      <c r="AR5" s="1"/>
      <c r="AS5" s="1"/>
      <c r="AT5" s="1"/>
      <c r="AW5" s="5"/>
      <c r="AX5" s="5"/>
      <c r="AY5" s="5"/>
      <c r="AZ5" s="5"/>
      <c r="BA5" s="5"/>
      <c r="BB5" s="5"/>
      <c r="BC5" s="5"/>
      <c r="BD5" s="5"/>
      <c r="BE5" s="5"/>
      <c r="BF5" s="5"/>
    </row>
    <row r="6" spans="1:58" ht="12.75" customHeight="1" x14ac:dyDescent="0.3">
      <c r="B6" s="870" t="s">
        <v>447</v>
      </c>
      <c r="C6" s="579"/>
      <c r="D6" s="552" t="s">
        <v>467</v>
      </c>
      <c r="E6" s="1009"/>
      <c r="F6" s="1009"/>
      <c r="G6" s="552" t="s">
        <v>116</v>
      </c>
      <c r="H6" s="549" t="s">
        <v>30</v>
      </c>
      <c r="I6" s="549" t="s">
        <v>469</v>
      </c>
      <c r="J6" s="549" t="s">
        <v>470</v>
      </c>
      <c r="K6" s="549" t="s">
        <v>106</v>
      </c>
      <c r="L6" s="549" t="s">
        <v>107</v>
      </c>
      <c r="M6" s="549" t="s">
        <v>110</v>
      </c>
      <c r="N6" s="549" t="s">
        <v>111</v>
      </c>
      <c r="O6" s="927" t="s">
        <v>471</v>
      </c>
      <c r="Q6" s="49"/>
      <c r="R6" s="1004"/>
      <c r="S6" s="1004"/>
      <c r="T6" s="1004"/>
      <c r="U6" s="43"/>
      <c r="V6" s="43"/>
      <c r="X6" s="5"/>
      <c r="AB6" s="5"/>
      <c r="AC6" s="5"/>
      <c r="AD6" s="5"/>
      <c r="AM6" s="5"/>
      <c r="AN6" s="5"/>
      <c r="AO6" s="1"/>
      <c r="AP6" s="1"/>
      <c r="AQ6" s="1"/>
      <c r="AR6" s="1"/>
      <c r="AS6" s="1"/>
      <c r="AT6" s="1"/>
      <c r="AW6" s="5"/>
      <c r="AX6" s="5"/>
      <c r="AY6" s="5"/>
      <c r="AZ6" s="5"/>
      <c r="BA6" s="5"/>
      <c r="BB6" s="5"/>
      <c r="BC6" s="5"/>
      <c r="BD6" s="5"/>
      <c r="BE6" s="5"/>
      <c r="BF6" s="5"/>
    </row>
    <row r="7" spans="1:58" ht="12.75" customHeight="1" x14ac:dyDescent="0.3">
      <c r="B7" s="1010"/>
      <c r="C7" s="1011"/>
      <c r="D7" s="1009"/>
      <c r="E7" s="1009"/>
      <c r="F7" s="1009"/>
      <c r="G7" s="552"/>
      <c r="H7" s="622"/>
      <c r="I7" s="549"/>
      <c r="J7" s="549"/>
      <c r="K7" s="549"/>
      <c r="L7" s="549"/>
      <c r="M7" s="549"/>
      <c r="N7" s="549"/>
      <c r="O7" s="927"/>
      <c r="Q7" s="21"/>
      <c r="R7" s="1004"/>
      <c r="S7" s="1004"/>
      <c r="T7" s="1004"/>
      <c r="U7" s="29"/>
      <c r="V7" s="29"/>
      <c r="W7" s="29"/>
      <c r="X7" s="29"/>
      <c r="Y7" s="29"/>
      <c r="Z7" s="29"/>
      <c r="AA7" s="29"/>
      <c r="AB7" s="1"/>
      <c r="AC7" s="5"/>
      <c r="AD7" s="1"/>
      <c r="AM7" s="1"/>
      <c r="AN7" s="1"/>
      <c r="AO7" s="1"/>
      <c r="AP7" s="1"/>
      <c r="AQ7" s="61"/>
      <c r="AR7" s="61"/>
      <c r="AS7" s="61"/>
      <c r="AT7" s="61"/>
      <c r="AW7" s="20"/>
      <c r="AX7" s="22"/>
      <c r="AY7" s="22"/>
      <c r="AZ7" s="22"/>
      <c r="BA7" s="22"/>
      <c r="BB7" s="22"/>
      <c r="BC7" s="22"/>
      <c r="BD7" s="22"/>
      <c r="BE7" s="22"/>
      <c r="BF7" s="22"/>
    </row>
    <row r="8" spans="1:58" ht="12.75" customHeight="1" x14ac:dyDescent="0.25">
      <c r="B8" s="1010"/>
      <c r="C8" s="1011"/>
      <c r="D8" s="619" t="s">
        <v>102</v>
      </c>
      <c r="E8" s="619" t="s">
        <v>468</v>
      </c>
      <c r="F8" s="619" t="s">
        <v>103</v>
      </c>
      <c r="G8" s="552"/>
      <c r="H8" s="622"/>
      <c r="I8" s="619" t="s">
        <v>108</v>
      </c>
      <c r="J8" s="619" t="s">
        <v>109</v>
      </c>
      <c r="K8" s="504" t="s">
        <v>112</v>
      </c>
      <c r="L8" s="504" t="s">
        <v>113</v>
      </c>
      <c r="M8" s="504" t="s">
        <v>114</v>
      </c>
      <c r="N8" s="504" t="s">
        <v>115</v>
      </c>
      <c r="O8" s="932" t="s">
        <v>472</v>
      </c>
      <c r="P8" s="34"/>
      <c r="R8" s="1004"/>
      <c r="S8" s="1004"/>
      <c r="T8" s="1004"/>
      <c r="U8" s="27"/>
      <c r="V8" s="27"/>
      <c r="W8" s="27"/>
      <c r="X8" s="27"/>
      <c r="Y8" s="27"/>
      <c r="Z8" s="27"/>
      <c r="AA8" s="27"/>
      <c r="AB8" s="1"/>
      <c r="AC8" s="1"/>
      <c r="AD8" s="1"/>
      <c r="AM8" s="1"/>
      <c r="AN8" s="1"/>
      <c r="AO8" s="1"/>
      <c r="AP8" s="1"/>
      <c r="AQ8" s="62"/>
      <c r="AR8" s="62"/>
      <c r="AS8" s="62"/>
      <c r="AT8" s="62"/>
      <c r="AW8" s="20"/>
      <c r="AX8" s="22"/>
      <c r="AY8" s="22"/>
      <c r="AZ8" s="22"/>
      <c r="BA8" s="22"/>
      <c r="BB8" s="22"/>
      <c r="BC8" s="22"/>
      <c r="BD8" s="22"/>
      <c r="BE8" s="22"/>
      <c r="BF8" s="22"/>
    </row>
    <row r="9" spans="1:58" ht="13.5" customHeight="1" thickBot="1" x14ac:dyDescent="0.35">
      <c r="A9" s="5"/>
      <c r="B9" s="1012"/>
      <c r="C9" s="1013"/>
      <c r="D9" s="1007"/>
      <c r="E9" s="1007"/>
      <c r="F9" s="1007"/>
      <c r="G9" s="1005"/>
      <c r="H9" s="1003"/>
      <c r="I9" s="1006"/>
      <c r="J9" s="1006"/>
      <c r="K9" s="1003"/>
      <c r="L9" s="1003"/>
      <c r="M9" s="1003"/>
      <c r="N9" s="1003"/>
      <c r="O9" s="1008"/>
      <c r="P9" s="8"/>
      <c r="Q9" s="50"/>
      <c r="R9" s="1004"/>
      <c r="S9" s="1004"/>
      <c r="T9" s="1004"/>
      <c r="U9" s="52"/>
      <c r="V9" s="52"/>
      <c r="W9" s="24"/>
      <c r="X9" s="24"/>
      <c r="Y9" s="24"/>
      <c r="Z9" s="24"/>
      <c r="AA9" s="24"/>
      <c r="AM9" s="21"/>
      <c r="AN9" s="1"/>
      <c r="AO9" s="38"/>
      <c r="AP9" s="1"/>
      <c r="AQ9" s="60"/>
      <c r="AR9" s="60"/>
      <c r="AS9" s="63"/>
      <c r="AT9" s="63"/>
      <c r="AW9" s="20"/>
      <c r="AX9" s="22"/>
      <c r="AY9" s="22"/>
      <c r="AZ9" s="22"/>
      <c r="BA9" s="22"/>
      <c r="BB9" s="22"/>
      <c r="BC9" s="22"/>
      <c r="BD9" s="22"/>
      <c r="BE9" s="22"/>
      <c r="BF9" s="22"/>
    </row>
    <row r="10" spans="1:58" ht="12.75" customHeight="1" x14ac:dyDescent="0.3">
      <c r="A10" s="20"/>
      <c r="B10" s="967" t="s">
        <v>104</v>
      </c>
      <c r="C10" s="967"/>
      <c r="D10" s="967"/>
      <c r="E10" s="967"/>
      <c r="F10" s="967"/>
      <c r="G10" s="967"/>
      <c r="H10" s="967"/>
      <c r="I10" s="967"/>
      <c r="J10" s="967"/>
      <c r="K10" s="967"/>
      <c r="L10" s="967"/>
      <c r="M10" s="967"/>
      <c r="N10" s="967"/>
      <c r="O10" s="967"/>
      <c r="P10" s="7"/>
      <c r="Q10" s="50"/>
      <c r="R10" s="1004"/>
      <c r="S10" s="1004"/>
      <c r="T10" s="1004"/>
      <c r="U10" s="24"/>
      <c r="V10" s="24"/>
      <c r="W10" s="24"/>
      <c r="X10" s="24"/>
      <c r="Y10" s="24"/>
      <c r="Z10" s="24"/>
      <c r="AA10" s="24"/>
      <c r="AB10" s="10"/>
      <c r="AC10" s="10"/>
      <c r="AD10" s="10"/>
      <c r="AM10" s="1"/>
      <c r="AN10" s="1"/>
      <c r="AO10" s="1"/>
      <c r="AP10" s="1"/>
      <c r="AQ10" s="60"/>
      <c r="AR10" s="60"/>
      <c r="AS10" s="60"/>
      <c r="AT10" s="60"/>
      <c r="AW10" s="20"/>
      <c r="AX10" s="22"/>
      <c r="AY10" s="22"/>
      <c r="AZ10" s="22"/>
      <c r="BA10" s="22"/>
      <c r="BB10" s="22"/>
      <c r="BC10" s="22"/>
      <c r="BD10" s="22"/>
      <c r="BE10" s="22"/>
      <c r="BF10" s="22"/>
    </row>
    <row r="11" spans="1:58" ht="12.75" customHeight="1" x14ac:dyDescent="0.3">
      <c r="A11" s="20"/>
      <c r="B11" s="972" t="s">
        <v>448</v>
      </c>
      <c r="C11" s="694"/>
      <c r="D11" s="694"/>
      <c r="E11" s="694"/>
      <c r="F11" s="694"/>
      <c r="G11" s="694"/>
      <c r="H11" s="694"/>
      <c r="I11" s="694"/>
      <c r="J11" s="694"/>
      <c r="K11" s="694"/>
      <c r="L11" s="694"/>
      <c r="M11" s="694"/>
      <c r="N11" s="694"/>
      <c r="O11" s="694"/>
      <c r="P11" s="7"/>
      <c r="Q11" s="50"/>
      <c r="R11" s="1004"/>
      <c r="S11" s="1004"/>
      <c r="T11" s="1004"/>
      <c r="U11" s="24"/>
      <c r="V11" s="24"/>
      <c r="W11" s="24"/>
      <c r="X11" s="24"/>
      <c r="Y11" s="24"/>
      <c r="Z11" s="24"/>
      <c r="AA11" s="24"/>
      <c r="AB11" s="10"/>
      <c r="AC11" s="10"/>
      <c r="AD11" s="10"/>
      <c r="AM11" s="1"/>
      <c r="AN11" s="1"/>
      <c r="AO11" s="1"/>
      <c r="AP11" s="1"/>
      <c r="AQ11" s="60"/>
      <c r="AR11" s="60"/>
      <c r="AS11" s="60"/>
      <c r="AT11" s="60"/>
      <c r="AW11" s="20"/>
      <c r="AX11" s="22"/>
      <c r="AY11" s="22"/>
      <c r="AZ11" s="22"/>
      <c r="BA11" s="22"/>
      <c r="BB11" s="22"/>
      <c r="BC11" s="22"/>
      <c r="BD11" s="22"/>
      <c r="BE11" s="22"/>
      <c r="BF11" s="22"/>
    </row>
    <row r="12" spans="1:58" x14ac:dyDescent="0.25">
      <c r="A12" s="20"/>
      <c r="B12" s="610" t="s">
        <v>560</v>
      </c>
      <c r="C12" s="522"/>
      <c r="D12" s="3">
        <f ca="1">IFERROR(INDIRECT(B12 &amp; "!" &amp; "$N$47"),0)</f>
        <v>0</v>
      </c>
      <c r="E12" s="3">
        <f ca="1">IFERROR(INDIRECT(B12 &amp; "!" &amp; "$N$48"),0)</f>
        <v>0</v>
      </c>
      <c r="F12" s="3">
        <f ca="1">IFERROR(INDIRECT(B12 &amp; "!" &amp; "$N$50"),0)</f>
        <v>0</v>
      </c>
      <c r="G12" s="66" t="s">
        <v>14</v>
      </c>
      <c r="H12" s="3">
        <f ca="1">IFERROR(INDIRECT(B12 &amp; "!" &amp; "$E$47"),0)</f>
        <v>0</v>
      </c>
      <c r="I12" s="68">
        <f ca="1">+H12*D12*D12</f>
        <v>0</v>
      </c>
      <c r="J12" s="68">
        <f ca="1">SQRT(H12*D12)</f>
        <v>0</v>
      </c>
      <c r="K12" s="66" t="s">
        <v>14</v>
      </c>
      <c r="L12" s="66" t="s">
        <v>14</v>
      </c>
      <c r="M12" s="66" t="s">
        <v>14</v>
      </c>
      <c r="N12" s="66" t="s">
        <v>14</v>
      </c>
      <c r="O12" s="124" t="s">
        <v>14</v>
      </c>
      <c r="P12" s="7"/>
      <c r="Q12" s="50"/>
      <c r="R12" s="1004"/>
      <c r="S12" s="1004"/>
      <c r="T12" s="1004"/>
      <c r="U12" s="24"/>
      <c r="V12" s="24"/>
      <c r="W12" s="24"/>
      <c r="X12" s="24"/>
      <c r="Y12" s="24"/>
      <c r="Z12" s="24"/>
      <c r="AA12" s="24"/>
      <c r="AB12" s="10"/>
      <c r="AC12" s="10"/>
      <c r="AD12" s="10"/>
      <c r="AM12" s="39"/>
      <c r="AN12" s="26"/>
      <c r="AO12" s="38"/>
      <c r="AP12" s="1"/>
      <c r="AQ12" s="60"/>
      <c r="AR12" s="60"/>
      <c r="AS12" s="63"/>
      <c r="AT12" s="63"/>
      <c r="AW12" s="58"/>
    </row>
    <row r="13" spans="1:58" x14ac:dyDescent="0.25">
      <c r="A13" s="20"/>
      <c r="B13" s="610" t="s">
        <v>561</v>
      </c>
      <c r="C13" s="522"/>
      <c r="D13" s="3">
        <f t="shared" ref="D13:D19" ca="1" si="0">IFERROR(INDIRECT(B13 &amp; "!" &amp; "$N$47"),0)</f>
        <v>0</v>
      </c>
      <c r="E13" s="3">
        <f t="shared" ref="E13:E19" ca="1" si="1">IFERROR(INDIRECT(B13 &amp; "!" &amp; "$N$48"),0)</f>
        <v>0</v>
      </c>
      <c r="F13" s="3">
        <f t="shared" ref="F13:F19" ca="1" si="2">IFERROR(INDIRECT(B13 &amp; "!" &amp; "$N$50"),0)</f>
        <v>0</v>
      </c>
      <c r="G13" s="66" t="s">
        <v>14</v>
      </c>
      <c r="H13" s="3">
        <f t="shared" ref="H13:H19" ca="1" si="3">IFERROR(INDIRECT(B13 &amp; "!" &amp; "$E$47"),0)</f>
        <v>0</v>
      </c>
      <c r="I13" s="68">
        <f t="shared" ref="I13:I19" ca="1" si="4">+H13*D13*D13</f>
        <v>0</v>
      </c>
      <c r="J13" s="68">
        <f t="shared" ref="J13:J19" ca="1" si="5">SQRT(H13*D13)</f>
        <v>0</v>
      </c>
      <c r="K13" s="66" t="s">
        <v>14</v>
      </c>
      <c r="L13" s="66" t="s">
        <v>14</v>
      </c>
      <c r="M13" s="66" t="s">
        <v>14</v>
      </c>
      <c r="N13" s="66" t="s">
        <v>14</v>
      </c>
      <c r="O13" s="124" t="s">
        <v>14</v>
      </c>
      <c r="P13" s="7"/>
      <c r="Q13" s="50"/>
      <c r="R13" s="1004"/>
      <c r="S13" s="1004"/>
      <c r="T13" s="1004"/>
      <c r="U13" s="24"/>
      <c r="V13" s="24"/>
      <c r="W13" s="24"/>
      <c r="X13" s="24"/>
      <c r="Y13" s="24"/>
      <c r="Z13" s="24"/>
      <c r="AA13" s="24"/>
      <c r="AB13" s="10"/>
      <c r="AC13" s="10"/>
      <c r="AD13" s="10"/>
      <c r="AM13" s="26"/>
      <c r="AN13" s="26"/>
      <c r="AO13" s="1"/>
      <c r="AP13" s="1"/>
      <c r="AQ13" s="60"/>
      <c r="AR13" s="60"/>
      <c r="AS13" s="60"/>
      <c r="AT13" s="60"/>
    </row>
    <row r="14" spans="1:58" x14ac:dyDescent="0.25">
      <c r="A14" s="20"/>
      <c r="B14" s="610" t="s">
        <v>562</v>
      </c>
      <c r="C14" s="522"/>
      <c r="D14" s="3">
        <f t="shared" ca="1" si="0"/>
        <v>0</v>
      </c>
      <c r="E14" s="3">
        <f t="shared" ca="1" si="1"/>
        <v>0</v>
      </c>
      <c r="F14" s="3">
        <f t="shared" ca="1" si="2"/>
        <v>0</v>
      </c>
      <c r="G14" s="66" t="s">
        <v>14</v>
      </c>
      <c r="H14" s="3">
        <f t="shared" ca="1" si="3"/>
        <v>0</v>
      </c>
      <c r="I14" s="68">
        <f t="shared" ca="1" si="4"/>
        <v>0</v>
      </c>
      <c r="J14" s="68">
        <f t="shared" ca="1" si="5"/>
        <v>0</v>
      </c>
      <c r="K14" s="66" t="s">
        <v>14</v>
      </c>
      <c r="L14" s="66" t="s">
        <v>14</v>
      </c>
      <c r="M14" s="66" t="s">
        <v>14</v>
      </c>
      <c r="N14" s="66" t="s">
        <v>14</v>
      </c>
      <c r="O14" s="124" t="s">
        <v>14</v>
      </c>
      <c r="P14" s="7"/>
      <c r="Q14" s="50"/>
      <c r="R14" s="1004"/>
      <c r="S14" s="1004"/>
      <c r="T14" s="1004"/>
      <c r="U14" s="24"/>
      <c r="V14" s="24"/>
      <c r="W14" s="24"/>
      <c r="X14" s="24"/>
      <c r="Y14" s="24"/>
      <c r="Z14" s="24"/>
      <c r="AA14" s="24"/>
      <c r="AB14" s="10"/>
      <c r="AC14" s="10"/>
      <c r="AD14" s="10"/>
      <c r="AM14" s="26"/>
      <c r="AN14" s="26"/>
      <c r="AO14" s="1"/>
      <c r="AP14" s="1"/>
      <c r="AQ14" s="60"/>
      <c r="AR14" s="60"/>
      <c r="AS14" s="60"/>
      <c r="AT14" s="60"/>
    </row>
    <row r="15" spans="1:58" x14ac:dyDescent="0.25">
      <c r="A15" s="20"/>
      <c r="B15" s="610" t="s">
        <v>563</v>
      </c>
      <c r="C15" s="522"/>
      <c r="D15" s="3">
        <f t="shared" ca="1" si="0"/>
        <v>0</v>
      </c>
      <c r="E15" s="3">
        <f t="shared" ca="1" si="1"/>
        <v>0</v>
      </c>
      <c r="F15" s="3">
        <f t="shared" ca="1" si="2"/>
        <v>0</v>
      </c>
      <c r="G15" s="66" t="s">
        <v>14</v>
      </c>
      <c r="H15" s="3">
        <f t="shared" ca="1" si="3"/>
        <v>0</v>
      </c>
      <c r="I15" s="68">
        <f t="shared" ca="1" si="4"/>
        <v>0</v>
      </c>
      <c r="J15" s="68">
        <f t="shared" ca="1" si="5"/>
        <v>0</v>
      </c>
      <c r="K15" s="66" t="s">
        <v>14</v>
      </c>
      <c r="L15" s="66" t="s">
        <v>14</v>
      </c>
      <c r="M15" s="66" t="s">
        <v>14</v>
      </c>
      <c r="N15" s="66" t="s">
        <v>14</v>
      </c>
      <c r="O15" s="124" t="s">
        <v>14</v>
      </c>
      <c r="P15" s="7"/>
      <c r="Q15" s="50"/>
      <c r="R15" s="1004"/>
      <c r="S15" s="1004"/>
      <c r="T15" s="1004"/>
      <c r="U15" s="24"/>
      <c r="V15" s="24"/>
      <c r="W15" s="24"/>
      <c r="X15" s="24"/>
      <c r="Y15" s="24"/>
      <c r="Z15" s="24"/>
      <c r="AA15" s="24"/>
      <c r="AB15" s="10"/>
      <c r="AC15" s="10"/>
      <c r="AD15" s="10"/>
      <c r="AM15" s="26"/>
      <c r="AN15" s="26"/>
      <c r="AO15" s="1"/>
      <c r="AP15" s="1"/>
      <c r="AQ15" s="60"/>
      <c r="AR15" s="60"/>
      <c r="AS15" s="60"/>
      <c r="AT15" s="60"/>
    </row>
    <row r="16" spans="1:58" x14ac:dyDescent="0.25">
      <c r="A16" s="20"/>
      <c r="B16" s="610" t="s">
        <v>564</v>
      </c>
      <c r="C16" s="522"/>
      <c r="D16" s="3">
        <f t="shared" ca="1" si="0"/>
        <v>0</v>
      </c>
      <c r="E16" s="3">
        <f t="shared" ca="1" si="1"/>
        <v>0</v>
      </c>
      <c r="F16" s="3">
        <f t="shared" ca="1" si="2"/>
        <v>0</v>
      </c>
      <c r="G16" s="66" t="s">
        <v>14</v>
      </c>
      <c r="H16" s="3">
        <f t="shared" ca="1" si="3"/>
        <v>0</v>
      </c>
      <c r="I16" s="68">
        <f t="shared" ca="1" si="4"/>
        <v>0</v>
      </c>
      <c r="J16" s="68">
        <f t="shared" ca="1" si="5"/>
        <v>0</v>
      </c>
      <c r="K16" s="66" t="s">
        <v>14</v>
      </c>
      <c r="L16" s="66" t="s">
        <v>14</v>
      </c>
      <c r="M16" s="66" t="s">
        <v>14</v>
      </c>
      <c r="N16" s="66" t="s">
        <v>14</v>
      </c>
      <c r="O16" s="124" t="s">
        <v>14</v>
      </c>
      <c r="P16" s="7"/>
      <c r="Q16" s="50"/>
      <c r="R16" s="51"/>
      <c r="S16" s="51"/>
      <c r="T16" s="24"/>
      <c r="U16" s="24"/>
      <c r="V16" s="24"/>
      <c r="W16" s="24"/>
      <c r="X16" s="24"/>
      <c r="Y16" s="24"/>
      <c r="Z16" s="24"/>
      <c r="AA16" s="24"/>
      <c r="AB16" s="10"/>
      <c r="AC16" s="10"/>
      <c r="AD16" s="10"/>
      <c r="AM16" s="26"/>
      <c r="AN16" s="26"/>
      <c r="AO16" s="1"/>
      <c r="AP16" s="1"/>
      <c r="AQ16" s="60"/>
      <c r="AR16" s="60"/>
      <c r="AS16" s="60"/>
      <c r="AT16" s="60"/>
    </row>
    <row r="17" spans="1:53" x14ac:dyDescent="0.25">
      <c r="A17" s="20"/>
      <c r="B17" s="610" t="s">
        <v>565</v>
      </c>
      <c r="C17" s="522"/>
      <c r="D17" s="3">
        <f t="shared" ca="1" si="0"/>
        <v>0</v>
      </c>
      <c r="E17" s="3">
        <f t="shared" ca="1" si="1"/>
        <v>0</v>
      </c>
      <c r="F17" s="3">
        <f t="shared" ca="1" si="2"/>
        <v>0</v>
      </c>
      <c r="G17" s="66" t="s">
        <v>14</v>
      </c>
      <c r="H17" s="3">
        <f t="shared" ca="1" si="3"/>
        <v>0</v>
      </c>
      <c r="I17" s="68">
        <f t="shared" ca="1" si="4"/>
        <v>0</v>
      </c>
      <c r="J17" s="68">
        <f t="shared" ca="1" si="5"/>
        <v>0</v>
      </c>
      <c r="K17" s="66" t="s">
        <v>14</v>
      </c>
      <c r="L17" s="66" t="s">
        <v>14</v>
      </c>
      <c r="M17" s="66" t="s">
        <v>14</v>
      </c>
      <c r="N17" s="66" t="s">
        <v>14</v>
      </c>
      <c r="O17" s="124" t="s">
        <v>14</v>
      </c>
      <c r="P17" s="7"/>
      <c r="Q17" s="50"/>
      <c r="R17" s="51"/>
      <c r="S17" s="51"/>
      <c r="T17" s="24"/>
      <c r="U17" s="24"/>
      <c r="V17" s="24"/>
      <c r="W17" s="24"/>
      <c r="X17" s="24"/>
      <c r="Y17" s="24"/>
      <c r="Z17" s="24"/>
      <c r="AA17" s="24"/>
      <c r="AB17" s="10"/>
      <c r="AC17" s="10"/>
      <c r="AD17" s="10"/>
      <c r="AM17" s="26"/>
      <c r="AN17" s="26"/>
      <c r="AO17" s="1"/>
      <c r="AP17" s="1"/>
      <c r="AQ17" s="60"/>
      <c r="AR17" s="60"/>
      <c r="AS17" s="60"/>
      <c r="AT17" s="60"/>
    </row>
    <row r="18" spans="1:53" x14ac:dyDescent="0.25">
      <c r="A18" s="20"/>
      <c r="B18" s="610" t="s">
        <v>566</v>
      </c>
      <c r="C18" s="522"/>
      <c r="D18" s="3">
        <f t="shared" ca="1" si="0"/>
        <v>0</v>
      </c>
      <c r="E18" s="3">
        <f t="shared" ca="1" si="1"/>
        <v>0</v>
      </c>
      <c r="F18" s="3">
        <f t="shared" ca="1" si="2"/>
        <v>0</v>
      </c>
      <c r="G18" s="66" t="s">
        <v>14</v>
      </c>
      <c r="H18" s="3">
        <f t="shared" ca="1" si="3"/>
        <v>0</v>
      </c>
      <c r="I18" s="68">
        <f t="shared" ca="1" si="4"/>
        <v>0</v>
      </c>
      <c r="J18" s="68">
        <f t="shared" ca="1" si="5"/>
        <v>0</v>
      </c>
      <c r="K18" s="66" t="s">
        <v>14</v>
      </c>
      <c r="L18" s="66" t="s">
        <v>14</v>
      </c>
      <c r="M18" s="66" t="s">
        <v>14</v>
      </c>
      <c r="N18" s="66" t="s">
        <v>14</v>
      </c>
      <c r="O18" s="124" t="s">
        <v>14</v>
      </c>
      <c r="P18" s="7"/>
      <c r="Q18" s="50"/>
      <c r="R18" s="51"/>
      <c r="S18" s="51"/>
      <c r="T18" s="24"/>
      <c r="U18" s="24"/>
      <c r="V18" s="24"/>
      <c r="W18" s="24"/>
      <c r="X18" s="24"/>
      <c r="Y18" s="24"/>
      <c r="Z18" s="24"/>
      <c r="AA18" s="24"/>
      <c r="AB18" s="10"/>
      <c r="AC18" s="10"/>
      <c r="AD18" s="10"/>
      <c r="AM18" s="26"/>
      <c r="AN18" s="26"/>
      <c r="AO18" s="38"/>
      <c r="AP18" s="22"/>
      <c r="AQ18" s="22"/>
      <c r="AR18" s="22"/>
      <c r="AS18" s="22"/>
      <c r="AT18" s="22"/>
    </row>
    <row r="19" spans="1:53" ht="13" thickBot="1" x14ac:dyDescent="0.3">
      <c r="A19" s="20"/>
      <c r="B19" s="1014" t="s">
        <v>567</v>
      </c>
      <c r="C19" s="526"/>
      <c r="D19" s="37">
        <f t="shared" ca="1" si="0"/>
        <v>0</v>
      </c>
      <c r="E19" s="37">
        <f t="shared" ca="1" si="1"/>
        <v>0</v>
      </c>
      <c r="F19" s="37">
        <f t="shared" ca="1" si="2"/>
        <v>0</v>
      </c>
      <c r="G19" s="175" t="s">
        <v>14</v>
      </c>
      <c r="H19" s="37">
        <f t="shared" ca="1" si="3"/>
        <v>0</v>
      </c>
      <c r="I19" s="176">
        <f t="shared" ca="1" si="4"/>
        <v>0</v>
      </c>
      <c r="J19" s="176">
        <f t="shared" ca="1" si="5"/>
        <v>0</v>
      </c>
      <c r="K19" s="175" t="s">
        <v>14</v>
      </c>
      <c r="L19" s="175" t="s">
        <v>14</v>
      </c>
      <c r="M19" s="175" t="s">
        <v>14</v>
      </c>
      <c r="N19" s="175" t="s">
        <v>14</v>
      </c>
      <c r="O19" s="177" t="s">
        <v>14</v>
      </c>
      <c r="P19" s="7"/>
      <c r="Q19" s="50"/>
      <c r="R19" s="51"/>
      <c r="S19" s="51"/>
      <c r="T19" s="24"/>
      <c r="U19" s="24"/>
      <c r="V19" s="24"/>
      <c r="W19" s="24"/>
      <c r="X19" s="24"/>
      <c r="Y19" s="24"/>
      <c r="Z19" s="24"/>
      <c r="AA19" s="24"/>
      <c r="AB19" s="10"/>
      <c r="AC19" s="10"/>
      <c r="AD19" s="10"/>
      <c r="AM19" s="57"/>
      <c r="AN19" s="57"/>
      <c r="AO19" s="17"/>
      <c r="AP19" s="17"/>
      <c r="AQ19" s="17"/>
      <c r="AR19" s="17"/>
      <c r="AS19" s="17"/>
      <c r="AT19" s="17"/>
    </row>
    <row r="20" spans="1:53" ht="13" thickBot="1" x14ac:dyDescent="0.3">
      <c r="A20" s="20"/>
      <c r="B20" s="1019" t="s">
        <v>532</v>
      </c>
      <c r="C20" s="1019"/>
      <c r="D20" s="165">
        <f ca="1">SUM(D12:D19)</f>
        <v>0</v>
      </c>
      <c r="E20" s="165">
        <f t="shared" ref="E20:F20" ca="1" si="6">SUM(E12:E19)</f>
        <v>0</v>
      </c>
      <c r="F20" s="165">
        <f t="shared" ca="1" si="6"/>
        <v>0</v>
      </c>
      <c r="G20" s="178"/>
      <c r="H20" s="165"/>
      <c r="I20" s="179"/>
      <c r="J20" s="179"/>
      <c r="K20" s="178"/>
      <c r="L20" s="178"/>
      <c r="M20" s="178"/>
      <c r="N20" s="178"/>
      <c r="O20" s="180"/>
      <c r="P20" s="7"/>
      <c r="Q20" s="50"/>
      <c r="R20" s="51"/>
      <c r="S20" s="51"/>
      <c r="T20" s="24"/>
      <c r="U20" s="24"/>
      <c r="V20" s="24"/>
      <c r="W20" s="24"/>
      <c r="X20" s="24"/>
      <c r="Y20" s="24"/>
      <c r="Z20" s="24"/>
      <c r="AA20" s="24"/>
      <c r="AB20" s="10"/>
      <c r="AC20" s="10"/>
      <c r="AD20" s="10"/>
      <c r="AM20" s="57"/>
      <c r="AN20" s="57"/>
      <c r="AO20" s="17"/>
      <c r="AP20" s="17"/>
      <c r="AQ20" s="17"/>
      <c r="AR20" s="17"/>
      <c r="AS20" s="17"/>
      <c r="AT20" s="17"/>
    </row>
    <row r="21" spans="1:53" ht="13" x14ac:dyDescent="0.3">
      <c r="A21" s="20"/>
      <c r="B21" s="994" t="s">
        <v>449</v>
      </c>
      <c r="C21" s="735"/>
      <c r="D21" s="735"/>
      <c r="E21" s="735"/>
      <c r="F21" s="735"/>
      <c r="G21" s="735"/>
      <c r="H21" s="735"/>
      <c r="I21" s="735"/>
      <c r="J21" s="735"/>
      <c r="K21" s="735"/>
      <c r="L21" s="735"/>
      <c r="M21" s="735"/>
      <c r="N21" s="735"/>
      <c r="O21" s="735"/>
      <c r="P21" s="7"/>
      <c r="Q21" s="50"/>
      <c r="R21" s="51"/>
      <c r="S21" s="51"/>
      <c r="T21" s="24"/>
      <c r="U21" s="24"/>
      <c r="V21" s="24"/>
      <c r="W21" s="24"/>
      <c r="X21" s="24"/>
      <c r="Y21" s="24"/>
      <c r="Z21" s="24"/>
      <c r="AA21" s="24"/>
      <c r="AB21" s="10"/>
      <c r="AC21" s="10"/>
      <c r="AD21" s="10"/>
      <c r="AM21" s="57"/>
      <c r="AN21" s="57"/>
      <c r="AO21" s="17"/>
      <c r="AP21" s="17"/>
      <c r="AQ21" s="17"/>
      <c r="AR21" s="17"/>
      <c r="AS21" s="17"/>
      <c r="AT21" s="17"/>
    </row>
    <row r="22" spans="1:53" x14ac:dyDescent="0.25">
      <c r="A22" s="20"/>
      <c r="B22" s="610" t="s">
        <v>560</v>
      </c>
      <c r="C22" s="522"/>
      <c r="D22" s="3">
        <f ca="1">IFERROR(INDIRECT(B22 &amp; "!" &amp; "$N$79"),0)</f>
        <v>0</v>
      </c>
      <c r="E22" s="3">
        <f ca="1">IFERROR(INDIRECT(B22 &amp; "!" &amp; "$N$80"),0)</f>
        <v>0</v>
      </c>
      <c r="F22" s="3">
        <f ca="1">IFERROR(INDIRECT(B22 &amp; "!" &amp; "$N$82"),0)</f>
        <v>0</v>
      </c>
      <c r="G22" s="66" t="s">
        <v>14</v>
      </c>
      <c r="H22" s="3">
        <f ca="1">IFERROR(INDIRECT(B22 &amp; "!" &amp; "$E$79"),0)</f>
        <v>0</v>
      </c>
      <c r="I22" s="68">
        <f ca="1">+H22*D22*D22</f>
        <v>0</v>
      </c>
      <c r="J22" s="68">
        <f ca="1">SQRT(H22*D22)</f>
        <v>0</v>
      </c>
      <c r="K22" s="66" t="s">
        <v>14</v>
      </c>
      <c r="L22" s="66" t="s">
        <v>14</v>
      </c>
      <c r="M22" s="66" t="s">
        <v>14</v>
      </c>
      <c r="N22" s="66" t="s">
        <v>14</v>
      </c>
      <c r="O22" s="124" t="s">
        <v>14</v>
      </c>
      <c r="P22" s="7"/>
      <c r="Q22" s="50"/>
      <c r="R22" s="51"/>
      <c r="S22" s="51"/>
      <c r="T22" s="24"/>
      <c r="U22" s="24"/>
      <c r="V22" s="24"/>
      <c r="W22" s="24"/>
      <c r="X22" s="24"/>
      <c r="Y22" s="24"/>
      <c r="Z22" s="24"/>
      <c r="AA22" s="24"/>
      <c r="AB22" s="10"/>
      <c r="AC22" s="10"/>
      <c r="AD22" s="10"/>
      <c r="AM22" s="57"/>
      <c r="AN22" s="57"/>
      <c r="AO22" s="17"/>
      <c r="AP22" s="17"/>
      <c r="AQ22" s="17"/>
      <c r="AR22" s="17"/>
      <c r="AS22" s="17"/>
      <c r="AT22" s="17"/>
    </row>
    <row r="23" spans="1:53" x14ac:dyDescent="0.25">
      <c r="A23" s="20"/>
      <c r="B23" s="610" t="s">
        <v>561</v>
      </c>
      <c r="C23" s="522"/>
      <c r="D23" s="3">
        <f t="shared" ref="D23:D29" ca="1" si="7">IFERROR(INDIRECT(B23 &amp; "!" &amp; "$N$79"),0)</f>
        <v>0</v>
      </c>
      <c r="E23" s="3">
        <f t="shared" ref="E23:E29" ca="1" si="8">IFERROR(INDIRECT(B23 &amp; "!" &amp; "$N$80"),0)</f>
        <v>0</v>
      </c>
      <c r="F23" s="3">
        <f t="shared" ref="F23:F29" ca="1" si="9">IFERROR(INDIRECT(B23 &amp; "!" &amp; "$N$82"),0)</f>
        <v>0</v>
      </c>
      <c r="G23" s="66" t="s">
        <v>14</v>
      </c>
      <c r="H23" s="3">
        <f t="shared" ref="H23:H29" ca="1" si="10">IFERROR(INDIRECT(B23 &amp; "!" &amp; "$E$79"),0)</f>
        <v>0</v>
      </c>
      <c r="I23" s="68">
        <f t="shared" ref="I23:I29" ca="1" si="11">+H23*D23*D23</f>
        <v>0</v>
      </c>
      <c r="J23" s="68">
        <f t="shared" ref="J23:J29" ca="1" si="12">SQRT(H23*D23)</f>
        <v>0</v>
      </c>
      <c r="K23" s="66" t="s">
        <v>14</v>
      </c>
      <c r="L23" s="66" t="s">
        <v>14</v>
      </c>
      <c r="M23" s="66" t="s">
        <v>14</v>
      </c>
      <c r="N23" s="66" t="s">
        <v>14</v>
      </c>
      <c r="O23" s="124" t="s">
        <v>14</v>
      </c>
      <c r="P23" s="7"/>
      <c r="Q23" s="50"/>
      <c r="R23" s="51"/>
      <c r="S23" s="51"/>
      <c r="T23" s="24"/>
      <c r="U23" s="24"/>
      <c r="V23" s="24"/>
      <c r="W23" s="24"/>
      <c r="X23" s="24"/>
      <c r="Y23" s="24"/>
      <c r="Z23" s="24"/>
      <c r="AA23" s="24"/>
      <c r="AB23" s="10"/>
      <c r="AC23" s="10"/>
      <c r="AD23" s="10"/>
      <c r="AM23" s="57"/>
      <c r="AN23" s="57"/>
      <c r="AO23" s="17"/>
      <c r="AP23" s="17"/>
      <c r="AQ23" s="17"/>
      <c r="AR23" s="17"/>
      <c r="AS23" s="17"/>
      <c r="AT23" s="17"/>
    </row>
    <row r="24" spans="1:53" x14ac:dyDescent="0.25">
      <c r="A24" s="20"/>
      <c r="B24" s="610" t="s">
        <v>562</v>
      </c>
      <c r="C24" s="522"/>
      <c r="D24" s="3">
        <f t="shared" ca="1" si="7"/>
        <v>0</v>
      </c>
      <c r="E24" s="3">
        <f t="shared" ca="1" si="8"/>
        <v>0</v>
      </c>
      <c r="F24" s="3">
        <f t="shared" ca="1" si="9"/>
        <v>0</v>
      </c>
      <c r="G24" s="66" t="s">
        <v>14</v>
      </c>
      <c r="H24" s="3">
        <f t="shared" ca="1" si="10"/>
        <v>0</v>
      </c>
      <c r="I24" s="68">
        <f t="shared" ca="1" si="11"/>
        <v>0</v>
      </c>
      <c r="J24" s="68">
        <f t="shared" ca="1" si="12"/>
        <v>0</v>
      </c>
      <c r="K24" s="66" t="s">
        <v>14</v>
      </c>
      <c r="L24" s="66" t="s">
        <v>14</v>
      </c>
      <c r="M24" s="66" t="s">
        <v>14</v>
      </c>
      <c r="N24" s="66" t="s">
        <v>14</v>
      </c>
      <c r="O24" s="124" t="s">
        <v>14</v>
      </c>
      <c r="P24" s="7"/>
      <c r="Q24" s="50"/>
      <c r="R24" s="51"/>
      <c r="S24" s="51"/>
      <c r="T24" s="24"/>
      <c r="U24" s="24"/>
      <c r="V24" s="24"/>
      <c r="W24" s="24"/>
      <c r="X24" s="24"/>
      <c r="Y24" s="24"/>
      <c r="Z24" s="24"/>
      <c r="AA24" s="24"/>
      <c r="AB24" s="10"/>
      <c r="AC24" s="10"/>
      <c r="AD24" s="10"/>
      <c r="AM24" s="57"/>
      <c r="AN24" s="57"/>
      <c r="AO24" s="17"/>
      <c r="AP24" s="17"/>
      <c r="AQ24" s="17"/>
      <c r="AR24" s="17"/>
      <c r="AS24" s="17"/>
      <c r="AT24" s="17"/>
    </row>
    <row r="25" spans="1:53" x14ac:dyDescent="0.25">
      <c r="A25" s="20"/>
      <c r="B25" s="610" t="s">
        <v>563</v>
      </c>
      <c r="C25" s="522"/>
      <c r="D25" s="3">
        <f t="shared" ca="1" si="7"/>
        <v>0</v>
      </c>
      <c r="E25" s="3">
        <f t="shared" ca="1" si="8"/>
        <v>0</v>
      </c>
      <c r="F25" s="3">
        <f t="shared" ca="1" si="9"/>
        <v>0</v>
      </c>
      <c r="G25" s="66" t="s">
        <v>14</v>
      </c>
      <c r="H25" s="3">
        <f t="shared" ca="1" si="10"/>
        <v>0</v>
      </c>
      <c r="I25" s="68">
        <f t="shared" ca="1" si="11"/>
        <v>0</v>
      </c>
      <c r="J25" s="68">
        <f t="shared" ca="1" si="12"/>
        <v>0</v>
      </c>
      <c r="K25" s="66" t="s">
        <v>14</v>
      </c>
      <c r="L25" s="66" t="s">
        <v>14</v>
      </c>
      <c r="M25" s="66" t="s">
        <v>14</v>
      </c>
      <c r="N25" s="66" t="s">
        <v>14</v>
      </c>
      <c r="O25" s="124" t="s">
        <v>14</v>
      </c>
      <c r="P25" s="7"/>
      <c r="Q25" s="50"/>
      <c r="R25" s="51"/>
      <c r="S25" s="51"/>
      <c r="T25" s="24"/>
      <c r="U25" s="24"/>
      <c r="V25" s="24"/>
      <c r="W25" s="24"/>
      <c r="X25" s="24"/>
      <c r="Y25" s="24"/>
      <c r="Z25" s="24"/>
      <c r="AA25" s="24"/>
      <c r="AB25" s="10"/>
      <c r="AC25" s="10"/>
      <c r="AD25" s="10"/>
      <c r="AM25" s="57"/>
      <c r="AN25" s="57"/>
      <c r="AO25" s="17"/>
      <c r="AP25" s="17"/>
      <c r="AQ25" s="17"/>
      <c r="AR25" s="17"/>
      <c r="AS25" s="17"/>
      <c r="AT25" s="17"/>
    </row>
    <row r="26" spans="1:53" x14ac:dyDescent="0.25">
      <c r="A26" s="20"/>
      <c r="B26" s="610" t="s">
        <v>564</v>
      </c>
      <c r="C26" s="522"/>
      <c r="D26" s="3">
        <f t="shared" ca="1" si="7"/>
        <v>0</v>
      </c>
      <c r="E26" s="3">
        <f t="shared" ca="1" si="8"/>
        <v>0</v>
      </c>
      <c r="F26" s="3">
        <f t="shared" ca="1" si="9"/>
        <v>0</v>
      </c>
      <c r="G26" s="66" t="s">
        <v>14</v>
      </c>
      <c r="H26" s="3">
        <f t="shared" ca="1" si="10"/>
        <v>0</v>
      </c>
      <c r="I26" s="68">
        <f t="shared" ca="1" si="11"/>
        <v>0</v>
      </c>
      <c r="J26" s="68">
        <f t="shared" ca="1" si="12"/>
        <v>0</v>
      </c>
      <c r="K26" s="66" t="s">
        <v>14</v>
      </c>
      <c r="L26" s="66" t="s">
        <v>14</v>
      </c>
      <c r="M26" s="66" t="s">
        <v>14</v>
      </c>
      <c r="N26" s="66" t="s">
        <v>14</v>
      </c>
      <c r="O26" s="124" t="s">
        <v>14</v>
      </c>
      <c r="P26" s="7"/>
      <c r="Q26" s="50"/>
      <c r="R26" s="51"/>
      <c r="S26" s="51"/>
      <c r="T26" s="24"/>
      <c r="U26" s="24"/>
      <c r="V26" s="24"/>
      <c r="W26" s="24"/>
      <c r="X26" s="24"/>
      <c r="Y26" s="24"/>
      <c r="Z26" s="24"/>
      <c r="AA26" s="24"/>
      <c r="AB26" s="10"/>
      <c r="AC26" s="10"/>
      <c r="AD26" s="10"/>
      <c r="AM26" s="57"/>
      <c r="AN26" s="57"/>
      <c r="AO26" s="17"/>
      <c r="AP26" s="17"/>
      <c r="AQ26" s="17"/>
      <c r="AR26" s="17"/>
      <c r="AS26" s="17"/>
      <c r="AT26" s="17"/>
    </row>
    <row r="27" spans="1:53" x14ac:dyDescent="0.25">
      <c r="A27" s="20"/>
      <c r="B27" s="610" t="s">
        <v>565</v>
      </c>
      <c r="C27" s="522"/>
      <c r="D27" s="3">
        <f t="shared" ca="1" si="7"/>
        <v>0</v>
      </c>
      <c r="E27" s="3">
        <f t="shared" ca="1" si="8"/>
        <v>0</v>
      </c>
      <c r="F27" s="3">
        <f t="shared" ca="1" si="9"/>
        <v>0</v>
      </c>
      <c r="G27" s="66" t="s">
        <v>14</v>
      </c>
      <c r="H27" s="3">
        <f t="shared" ca="1" si="10"/>
        <v>0</v>
      </c>
      <c r="I27" s="68">
        <f t="shared" ca="1" si="11"/>
        <v>0</v>
      </c>
      <c r="J27" s="68">
        <f t="shared" ca="1" si="12"/>
        <v>0</v>
      </c>
      <c r="K27" s="66" t="s">
        <v>14</v>
      </c>
      <c r="L27" s="66" t="s">
        <v>14</v>
      </c>
      <c r="M27" s="66" t="s">
        <v>14</v>
      </c>
      <c r="N27" s="66" t="s">
        <v>14</v>
      </c>
      <c r="O27" s="124" t="s">
        <v>14</v>
      </c>
      <c r="P27" s="7"/>
      <c r="Q27" s="50"/>
      <c r="R27" s="51"/>
      <c r="S27" s="51"/>
      <c r="T27" s="24"/>
      <c r="U27" s="24"/>
      <c r="V27" s="24"/>
      <c r="W27" s="24"/>
      <c r="X27" s="24"/>
      <c r="Y27" s="24"/>
      <c r="Z27" s="24"/>
      <c r="AA27" s="24"/>
      <c r="AB27" s="10"/>
      <c r="AC27" s="10"/>
      <c r="AD27" s="10"/>
      <c r="AM27" s="57"/>
      <c r="AN27" s="57"/>
      <c r="AO27" s="17"/>
      <c r="AP27" s="17"/>
      <c r="AQ27" s="17"/>
      <c r="AR27" s="17"/>
      <c r="AS27" s="17"/>
      <c r="AT27" s="17"/>
    </row>
    <row r="28" spans="1:53" x14ac:dyDescent="0.25">
      <c r="A28" s="20"/>
      <c r="B28" s="610" t="s">
        <v>566</v>
      </c>
      <c r="C28" s="522"/>
      <c r="D28" s="3">
        <f t="shared" ca="1" si="7"/>
        <v>0</v>
      </c>
      <c r="E28" s="3">
        <f t="shared" ca="1" si="8"/>
        <v>0</v>
      </c>
      <c r="F28" s="3">
        <f t="shared" ca="1" si="9"/>
        <v>0</v>
      </c>
      <c r="G28" s="66" t="s">
        <v>14</v>
      </c>
      <c r="H28" s="3">
        <f t="shared" ca="1" si="10"/>
        <v>0</v>
      </c>
      <c r="I28" s="68">
        <f t="shared" ca="1" si="11"/>
        <v>0</v>
      </c>
      <c r="J28" s="68">
        <f t="shared" ca="1" si="12"/>
        <v>0</v>
      </c>
      <c r="K28" s="66" t="s">
        <v>14</v>
      </c>
      <c r="L28" s="66" t="s">
        <v>14</v>
      </c>
      <c r="M28" s="66" t="s">
        <v>14</v>
      </c>
      <c r="N28" s="66" t="s">
        <v>14</v>
      </c>
      <c r="O28" s="124" t="s">
        <v>14</v>
      </c>
      <c r="P28" s="7"/>
      <c r="Q28" s="50"/>
      <c r="R28" s="51"/>
      <c r="S28" s="51"/>
      <c r="T28" s="24"/>
      <c r="U28" s="24"/>
      <c r="V28" s="24"/>
      <c r="W28" s="24"/>
      <c r="X28" s="24"/>
      <c r="Y28" s="24"/>
      <c r="Z28" s="24"/>
      <c r="AA28" s="24"/>
      <c r="AB28" s="10"/>
      <c r="AC28" s="10"/>
      <c r="AD28" s="10"/>
      <c r="AM28" s="57"/>
      <c r="AN28" s="57"/>
      <c r="AO28" s="17"/>
      <c r="AP28" s="17"/>
      <c r="AQ28" s="17"/>
      <c r="AR28" s="17"/>
      <c r="AS28" s="17"/>
      <c r="AT28" s="17"/>
    </row>
    <row r="29" spans="1:53" ht="13" thickBot="1" x14ac:dyDescent="0.3">
      <c r="A29" s="20"/>
      <c r="B29" s="610" t="s">
        <v>567</v>
      </c>
      <c r="C29" s="522"/>
      <c r="D29" s="3">
        <f t="shared" ca="1" si="7"/>
        <v>0</v>
      </c>
      <c r="E29" s="3">
        <f t="shared" ca="1" si="8"/>
        <v>0</v>
      </c>
      <c r="F29" s="3">
        <f t="shared" ca="1" si="9"/>
        <v>0</v>
      </c>
      <c r="G29" s="66" t="s">
        <v>14</v>
      </c>
      <c r="H29" s="3">
        <f t="shared" ca="1" si="10"/>
        <v>0</v>
      </c>
      <c r="I29" s="68">
        <f t="shared" ca="1" si="11"/>
        <v>0</v>
      </c>
      <c r="J29" s="68">
        <f t="shared" ca="1" si="12"/>
        <v>0</v>
      </c>
      <c r="K29" s="66" t="s">
        <v>14</v>
      </c>
      <c r="L29" s="66" t="s">
        <v>14</v>
      </c>
      <c r="M29" s="66" t="s">
        <v>14</v>
      </c>
      <c r="N29" s="66" t="s">
        <v>14</v>
      </c>
      <c r="O29" s="124" t="s">
        <v>14</v>
      </c>
      <c r="P29" s="7"/>
      <c r="Q29" s="50"/>
      <c r="R29" s="51"/>
      <c r="S29" s="51"/>
      <c r="T29" s="24"/>
      <c r="U29" s="24"/>
      <c r="V29" s="24"/>
      <c r="W29" s="24"/>
      <c r="X29" s="24"/>
      <c r="Y29" s="24"/>
      <c r="Z29" s="24"/>
      <c r="AA29" s="24"/>
      <c r="AB29" s="10"/>
      <c r="AC29" s="10"/>
      <c r="AD29" s="10"/>
      <c r="AM29" s="57"/>
      <c r="AN29" s="57"/>
      <c r="AO29" s="17"/>
      <c r="AP29" s="17"/>
      <c r="AQ29" s="17"/>
      <c r="AR29" s="17"/>
      <c r="AS29" s="17"/>
      <c r="AT29" s="17"/>
    </row>
    <row r="30" spans="1:53" ht="13" thickBot="1" x14ac:dyDescent="0.3">
      <c r="A30" s="20"/>
      <c r="B30" s="1019" t="s">
        <v>532</v>
      </c>
      <c r="C30" s="1019"/>
      <c r="D30" s="165">
        <f ca="1">SUM(D22:D29)</f>
        <v>0</v>
      </c>
      <c r="E30" s="165">
        <f t="shared" ref="E30" ca="1" si="13">SUM(E22:E29)</f>
        <v>0</v>
      </c>
      <c r="F30" s="165">
        <f t="shared" ref="F30" ca="1" si="14">SUM(F22:F29)</f>
        <v>0</v>
      </c>
      <c r="G30" s="178"/>
      <c r="H30" s="165"/>
      <c r="I30" s="179"/>
      <c r="J30" s="179"/>
      <c r="K30" s="178"/>
      <c r="L30" s="178"/>
      <c r="M30" s="178"/>
      <c r="N30" s="178"/>
      <c r="O30" s="180"/>
      <c r="P30" s="7"/>
      <c r="Q30" s="50"/>
      <c r="R30" s="51"/>
      <c r="S30" s="51"/>
      <c r="T30" s="24"/>
      <c r="U30" s="24"/>
      <c r="V30" s="24"/>
      <c r="W30" s="24"/>
      <c r="X30" s="24"/>
      <c r="Y30" s="24"/>
      <c r="Z30" s="24"/>
      <c r="AA30" s="24"/>
      <c r="AB30" s="10"/>
      <c r="AC30" s="10"/>
      <c r="AD30" s="10"/>
      <c r="AM30" s="57"/>
      <c r="AN30" s="57"/>
      <c r="AO30" s="17"/>
      <c r="AP30" s="17"/>
      <c r="AQ30" s="17"/>
      <c r="AR30" s="17"/>
      <c r="AS30" s="17"/>
      <c r="AT30" s="17"/>
    </row>
    <row r="31" spans="1:53" ht="13" x14ac:dyDescent="0.3">
      <c r="A31" s="20"/>
      <c r="B31" s="972" t="s">
        <v>450</v>
      </c>
      <c r="C31" s="694"/>
      <c r="D31" s="694"/>
      <c r="E31" s="694"/>
      <c r="F31" s="694"/>
      <c r="G31" s="694"/>
      <c r="H31" s="694"/>
      <c r="I31" s="694"/>
      <c r="J31" s="694"/>
      <c r="K31" s="694"/>
      <c r="L31" s="694"/>
      <c r="M31" s="694"/>
      <c r="N31" s="694"/>
      <c r="O31" s="694"/>
      <c r="P31" s="7"/>
      <c r="Q31" s="50"/>
      <c r="R31" s="51"/>
      <c r="S31" s="51"/>
      <c r="T31" s="24"/>
      <c r="U31" s="24"/>
      <c r="V31" s="24"/>
      <c r="W31" s="24"/>
      <c r="X31" s="24"/>
      <c r="Y31" s="24"/>
      <c r="Z31" s="24"/>
      <c r="AA31" s="24"/>
      <c r="AB31" s="10"/>
      <c r="AC31" s="10"/>
      <c r="AD31" s="10"/>
      <c r="AM31" s="57"/>
      <c r="AN31" s="57"/>
      <c r="AO31" s="17"/>
      <c r="AP31" s="17"/>
      <c r="AQ31" s="17"/>
      <c r="AR31" s="17"/>
      <c r="AS31" s="17"/>
      <c r="AT31" s="17"/>
    </row>
    <row r="32" spans="1:53" x14ac:dyDescent="0.25">
      <c r="A32" s="20"/>
      <c r="B32" s="610" t="s">
        <v>560</v>
      </c>
      <c r="C32" s="522"/>
      <c r="D32" s="3">
        <f ca="1">IFERROR(INDIRECT(B32 &amp; "!" &amp; "$M$126"),0)</f>
        <v>0</v>
      </c>
      <c r="E32" s="3">
        <f ca="1">IFERROR(INDIRECT(B32 &amp; "!" &amp; "$M$127"),0)</f>
        <v>0</v>
      </c>
      <c r="F32" s="3">
        <f ca="1">IFERROR(INDIRECT(B32 &amp; "!" &amp; "$M$128"),0)</f>
        <v>0</v>
      </c>
      <c r="G32" s="66" t="s">
        <v>14</v>
      </c>
      <c r="H32" s="3">
        <f ca="1">IFERROR(INDIRECT(B32 &amp; "!" &amp; "$M$116"),0)</f>
        <v>0</v>
      </c>
      <c r="I32" s="68">
        <f ca="1">+H32*D32*D32</f>
        <v>0</v>
      </c>
      <c r="J32" s="68">
        <f ca="1">SQRT(H32*D32)</f>
        <v>0</v>
      </c>
      <c r="K32" s="66" t="s">
        <v>14</v>
      </c>
      <c r="L32" s="66" t="s">
        <v>14</v>
      </c>
      <c r="M32" s="66" t="s">
        <v>14</v>
      </c>
      <c r="N32" s="66" t="s">
        <v>14</v>
      </c>
      <c r="O32" s="124" t="s">
        <v>14</v>
      </c>
      <c r="P32" s="7"/>
      <c r="Q32" s="20"/>
      <c r="T32" s="24"/>
      <c r="U32" s="24"/>
      <c r="V32" s="24"/>
      <c r="W32" s="24"/>
      <c r="X32" s="24"/>
      <c r="Y32" s="24"/>
      <c r="Z32" s="24"/>
      <c r="AA32" s="24"/>
      <c r="AB32" s="10"/>
      <c r="AC32" s="10"/>
      <c r="AD32" s="10"/>
      <c r="AM32" s="17"/>
      <c r="AN32" s="17"/>
      <c r="AO32" s="17"/>
      <c r="AP32" s="17"/>
      <c r="AQ32" s="17"/>
      <c r="AR32" s="17"/>
      <c r="AS32" s="17"/>
      <c r="AT32" s="17"/>
      <c r="AW32" s="20"/>
      <c r="BA32" s="22"/>
    </row>
    <row r="33" spans="1:53" x14ac:dyDescent="0.25">
      <c r="A33" s="20"/>
      <c r="B33" s="610" t="s">
        <v>561</v>
      </c>
      <c r="C33" s="522"/>
      <c r="D33" s="3">
        <f t="shared" ref="D33:D39" ca="1" si="15">IFERROR(INDIRECT(B33 &amp; "!" &amp; "$M$126"),0)</f>
        <v>0</v>
      </c>
      <c r="E33" s="3">
        <f t="shared" ref="E33:E39" ca="1" si="16">IFERROR(INDIRECT(B33 &amp; "!" &amp; "$M$127"),0)</f>
        <v>0</v>
      </c>
      <c r="F33" s="3">
        <f t="shared" ref="F33:F39" ca="1" si="17">IFERROR(INDIRECT(B33 &amp; "!" &amp; "$M$128"),0)</f>
        <v>0</v>
      </c>
      <c r="G33" s="66" t="s">
        <v>14</v>
      </c>
      <c r="H33" s="3">
        <f t="shared" ref="H33:H39" ca="1" si="18">IFERROR(INDIRECT(B33 &amp; "!" &amp; "$M$116"),0)</f>
        <v>0</v>
      </c>
      <c r="I33" s="68">
        <f t="shared" ref="I33:I39" ca="1" si="19">+H33*D33*D33</f>
        <v>0</v>
      </c>
      <c r="J33" s="68">
        <f t="shared" ref="J33:J39" ca="1" si="20">SQRT(H33*D33)</f>
        <v>0</v>
      </c>
      <c r="K33" s="66" t="s">
        <v>14</v>
      </c>
      <c r="L33" s="66" t="s">
        <v>14</v>
      </c>
      <c r="M33" s="66" t="s">
        <v>14</v>
      </c>
      <c r="N33" s="66" t="s">
        <v>14</v>
      </c>
      <c r="O33" s="124" t="s">
        <v>14</v>
      </c>
      <c r="P33" s="7"/>
      <c r="Q33" s="53"/>
      <c r="R33" s="33"/>
      <c r="S33" s="33"/>
      <c r="T33" s="33"/>
      <c r="U33" s="33"/>
      <c r="V33" s="33"/>
      <c r="W33" s="33"/>
      <c r="X33" s="33"/>
      <c r="Y33" s="33"/>
      <c r="Z33" s="33"/>
      <c r="AA33" s="33"/>
      <c r="AB33" s="10"/>
      <c r="AC33" s="10"/>
      <c r="AD33" s="10"/>
      <c r="AM33" s="17"/>
      <c r="AN33" s="57"/>
      <c r="AO33" s="17"/>
      <c r="AP33" s="17"/>
      <c r="AQ33" s="17"/>
      <c r="AR33" s="17"/>
      <c r="AS33" s="17"/>
      <c r="AT33" s="17"/>
    </row>
    <row r="34" spans="1:53" x14ac:dyDescent="0.25">
      <c r="A34" s="20"/>
      <c r="B34" s="610" t="s">
        <v>562</v>
      </c>
      <c r="C34" s="522"/>
      <c r="D34" s="3">
        <f t="shared" ca="1" si="15"/>
        <v>0</v>
      </c>
      <c r="E34" s="3">
        <f t="shared" ca="1" si="16"/>
        <v>0</v>
      </c>
      <c r="F34" s="3">
        <f t="shared" ca="1" si="17"/>
        <v>0</v>
      </c>
      <c r="G34" s="66" t="s">
        <v>14</v>
      </c>
      <c r="H34" s="3">
        <f t="shared" ca="1" si="18"/>
        <v>0</v>
      </c>
      <c r="I34" s="68">
        <f t="shared" ca="1" si="19"/>
        <v>0</v>
      </c>
      <c r="J34" s="68">
        <f t="shared" ca="1" si="20"/>
        <v>0</v>
      </c>
      <c r="K34" s="66" t="s">
        <v>14</v>
      </c>
      <c r="L34" s="66" t="s">
        <v>14</v>
      </c>
      <c r="M34" s="66" t="s">
        <v>14</v>
      </c>
      <c r="N34" s="66" t="s">
        <v>14</v>
      </c>
      <c r="O34" s="124" t="s">
        <v>14</v>
      </c>
      <c r="P34" s="7"/>
      <c r="Q34" s="53"/>
      <c r="R34" s="33"/>
      <c r="S34" s="33"/>
      <c r="T34" s="33"/>
      <c r="U34" s="33"/>
      <c r="V34" s="33"/>
      <c r="W34" s="33"/>
      <c r="X34" s="33"/>
      <c r="Y34" s="33"/>
      <c r="Z34" s="33"/>
      <c r="AA34" s="33"/>
      <c r="AB34" s="10"/>
      <c r="AC34" s="10"/>
      <c r="AD34" s="10"/>
      <c r="AM34" s="17"/>
      <c r="AN34" s="57"/>
      <c r="AO34" s="17"/>
      <c r="AP34" s="17"/>
      <c r="AQ34" s="17"/>
      <c r="AR34" s="17"/>
      <c r="AS34" s="17"/>
      <c r="AT34" s="17"/>
    </row>
    <row r="35" spans="1:53" x14ac:dyDescent="0.25">
      <c r="A35" s="20"/>
      <c r="B35" s="610" t="s">
        <v>563</v>
      </c>
      <c r="C35" s="522"/>
      <c r="D35" s="3">
        <f t="shared" ca="1" si="15"/>
        <v>0</v>
      </c>
      <c r="E35" s="3">
        <f t="shared" ca="1" si="16"/>
        <v>0</v>
      </c>
      <c r="F35" s="3">
        <f t="shared" ca="1" si="17"/>
        <v>0</v>
      </c>
      <c r="G35" s="66" t="s">
        <v>14</v>
      </c>
      <c r="H35" s="3">
        <f t="shared" ca="1" si="18"/>
        <v>0</v>
      </c>
      <c r="I35" s="68">
        <f t="shared" ca="1" si="19"/>
        <v>0</v>
      </c>
      <c r="J35" s="68">
        <f t="shared" ca="1" si="20"/>
        <v>0</v>
      </c>
      <c r="K35" s="66" t="s">
        <v>14</v>
      </c>
      <c r="L35" s="66" t="s">
        <v>14</v>
      </c>
      <c r="M35" s="66" t="s">
        <v>14</v>
      </c>
      <c r="N35" s="66" t="s">
        <v>14</v>
      </c>
      <c r="O35" s="124" t="s">
        <v>14</v>
      </c>
      <c r="P35" s="7"/>
      <c r="Q35" s="53"/>
      <c r="R35" s="33"/>
      <c r="S35" s="33"/>
      <c r="T35" s="33"/>
      <c r="U35" s="33"/>
      <c r="V35" s="33"/>
      <c r="W35" s="33"/>
      <c r="X35" s="33"/>
      <c r="Y35" s="33"/>
      <c r="Z35" s="33"/>
      <c r="AA35" s="33"/>
      <c r="AB35" s="10"/>
      <c r="AC35" s="10"/>
      <c r="AD35" s="10"/>
      <c r="AM35" s="17"/>
      <c r="AN35" s="57"/>
      <c r="AO35" s="17"/>
      <c r="AP35" s="17"/>
      <c r="AQ35" s="17"/>
      <c r="AR35" s="17"/>
      <c r="AS35" s="17"/>
      <c r="AT35" s="17"/>
    </row>
    <row r="36" spans="1:53" x14ac:dyDescent="0.25">
      <c r="A36" s="20"/>
      <c r="B36" s="610" t="s">
        <v>564</v>
      </c>
      <c r="C36" s="522"/>
      <c r="D36" s="3">
        <f t="shared" ca="1" si="15"/>
        <v>0</v>
      </c>
      <c r="E36" s="3">
        <f t="shared" ca="1" si="16"/>
        <v>0</v>
      </c>
      <c r="F36" s="3">
        <f t="shared" ca="1" si="17"/>
        <v>0</v>
      </c>
      <c r="G36" s="66" t="s">
        <v>14</v>
      </c>
      <c r="H36" s="3">
        <f t="shared" ca="1" si="18"/>
        <v>0</v>
      </c>
      <c r="I36" s="68">
        <f t="shared" ca="1" si="19"/>
        <v>0</v>
      </c>
      <c r="J36" s="68">
        <f t="shared" ca="1" si="20"/>
        <v>0</v>
      </c>
      <c r="K36" s="66" t="s">
        <v>14</v>
      </c>
      <c r="L36" s="66" t="s">
        <v>14</v>
      </c>
      <c r="M36" s="66" t="s">
        <v>14</v>
      </c>
      <c r="N36" s="66" t="s">
        <v>14</v>
      </c>
      <c r="O36" s="124" t="s">
        <v>14</v>
      </c>
      <c r="P36" s="7"/>
      <c r="Q36" s="53"/>
      <c r="R36" s="33"/>
      <c r="S36" s="33"/>
      <c r="T36" s="33"/>
      <c r="U36" s="33"/>
      <c r="V36" s="33"/>
      <c r="W36" s="33"/>
      <c r="X36" s="33"/>
      <c r="Y36" s="33"/>
      <c r="Z36" s="33"/>
      <c r="AA36" s="33"/>
      <c r="AB36" s="10"/>
      <c r="AC36" s="10"/>
      <c r="AD36" s="10"/>
      <c r="AM36" s="17"/>
      <c r="AN36" s="57"/>
      <c r="AO36" s="17"/>
      <c r="AP36" s="17"/>
      <c r="AQ36" s="17"/>
      <c r="AR36" s="17"/>
      <c r="AS36" s="17"/>
      <c r="AT36" s="17"/>
    </row>
    <row r="37" spans="1:53" x14ac:dyDescent="0.25">
      <c r="A37" s="20"/>
      <c r="B37" s="610" t="s">
        <v>565</v>
      </c>
      <c r="C37" s="522"/>
      <c r="D37" s="3">
        <f t="shared" ca="1" si="15"/>
        <v>0</v>
      </c>
      <c r="E37" s="3">
        <f t="shared" ca="1" si="16"/>
        <v>0</v>
      </c>
      <c r="F37" s="3">
        <f t="shared" ca="1" si="17"/>
        <v>0</v>
      </c>
      <c r="G37" s="66" t="s">
        <v>14</v>
      </c>
      <c r="H37" s="3">
        <f t="shared" ca="1" si="18"/>
        <v>0</v>
      </c>
      <c r="I37" s="68">
        <f t="shared" ca="1" si="19"/>
        <v>0</v>
      </c>
      <c r="J37" s="68">
        <f ca="1">SQRT(H37*D37)</f>
        <v>0</v>
      </c>
      <c r="K37" s="66" t="s">
        <v>14</v>
      </c>
      <c r="L37" s="66" t="s">
        <v>14</v>
      </c>
      <c r="M37" s="66" t="s">
        <v>14</v>
      </c>
      <c r="N37" s="66" t="s">
        <v>14</v>
      </c>
      <c r="O37" s="124" t="s">
        <v>14</v>
      </c>
      <c r="P37" s="7"/>
      <c r="Q37" s="53"/>
      <c r="R37" s="33"/>
      <c r="S37" s="33"/>
      <c r="T37" s="33"/>
      <c r="U37" s="33"/>
      <c r="V37" s="33"/>
      <c r="W37" s="33"/>
      <c r="X37" s="33"/>
      <c r="Y37" s="33"/>
      <c r="Z37" s="33"/>
      <c r="AA37" s="33"/>
      <c r="AB37" s="10"/>
      <c r="AC37" s="10"/>
      <c r="AD37" s="10"/>
      <c r="AM37" s="17"/>
      <c r="AN37" s="57"/>
      <c r="AO37" s="17"/>
      <c r="AP37" s="17"/>
      <c r="AQ37" s="17"/>
      <c r="AR37" s="17"/>
      <c r="AS37" s="17"/>
      <c r="AT37" s="17"/>
    </row>
    <row r="38" spans="1:53" ht="13" x14ac:dyDescent="0.3">
      <c r="A38" s="20"/>
      <c r="B38" s="610" t="s">
        <v>566</v>
      </c>
      <c r="C38" s="522"/>
      <c r="D38" s="3">
        <f t="shared" ca="1" si="15"/>
        <v>0</v>
      </c>
      <c r="E38" s="3">
        <f t="shared" ca="1" si="16"/>
        <v>0</v>
      </c>
      <c r="F38" s="3">
        <f t="shared" ca="1" si="17"/>
        <v>0</v>
      </c>
      <c r="G38" s="66" t="s">
        <v>14</v>
      </c>
      <c r="H38" s="3">
        <f t="shared" ca="1" si="18"/>
        <v>0</v>
      </c>
      <c r="I38" s="68">
        <f t="shared" ca="1" si="19"/>
        <v>0</v>
      </c>
      <c r="J38" s="68">
        <f t="shared" ca="1" si="20"/>
        <v>0</v>
      </c>
      <c r="K38" s="66" t="s">
        <v>14</v>
      </c>
      <c r="L38" s="66" t="s">
        <v>14</v>
      </c>
      <c r="M38" s="66" t="s">
        <v>14</v>
      </c>
      <c r="N38" s="66" t="s">
        <v>14</v>
      </c>
      <c r="O38" s="124" t="s">
        <v>14</v>
      </c>
      <c r="P38" s="45"/>
      <c r="Q38" s="1"/>
      <c r="R38" s="1"/>
      <c r="S38" s="1"/>
      <c r="T38" s="1"/>
      <c r="U38" s="1"/>
      <c r="V38" s="1"/>
      <c r="W38" s="1"/>
      <c r="X38" s="1"/>
      <c r="Y38" s="1"/>
      <c r="Z38" s="1"/>
      <c r="AA38" s="1"/>
      <c r="AB38" s="10"/>
      <c r="AC38" s="10"/>
      <c r="AD38" s="10"/>
      <c r="AM38" s="17"/>
      <c r="AN38" s="17"/>
      <c r="AO38" s="17"/>
      <c r="AP38" s="17"/>
      <c r="AQ38" s="17"/>
      <c r="AR38" s="17"/>
      <c r="AS38" s="17"/>
      <c r="AT38" s="17"/>
      <c r="AW38" s="20"/>
      <c r="BA38" s="22"/>
    </row>
    <row r="39" spans="1:53" ht="13.5" thickBot="1" x14ac:dyDescent="0.3">
      <c r="B39" s="610" t="s">
        <v>567</v>
      </c>
      <c r="C39" s="522"/>
      <c r="D39" s="3">
        <f t="shared" ca="1" si="15"/>
        <v>0</v>
      </c>
      <c r="E39" s="3">
        <f t="shared" ca="1" si="16"/>
        <v>0</v>
      </c>
      <c r="F39" s="3">
        <f t="shared" ca="1" si="17"/>
        <v>0</v>
      </c>
      <c r="G39" s="66" t="s">
        <v>14</v>
      </c>
      <c r="H39" s="3">
        <f t="shared" ca="1" si="18"/>
        <v>0</v>
      </c>
      <c r="I39" s="68">
        <f t="shared" ca="1" si="19"/>
        <v>0</v>
      </c>
      <c r="J39" s="68">
        <f t="shared" ca="1" si="20"/>
        <v>0</v>
      </c>
      <c r="K39" s="66" t="s">
        <v>14</v>
      </c>
      <c r="L39" s="66" t="s">
        <v>14</v>
      </c>
      <c r="M39" s="66" t="s">
        <v>14</v>
      </c>
      <c r="N39" s="66" t="s">
        <v>14</v>
      </c>
      <c r="O39" s="124" t="s">
        <v>14</v>
      </c>
      <c r="P39" s="44"/>
      <c r="Q39" s="32"/>
      <c r="R39" s="32"/>
      <c r="S39" s="32"/>
      <c r="T39" s="32"/>
      <c r="U39" s="32"/>
      <c r="V39" s="32"/>
      <c r="W39" s="32"/>
      <c r="X39" s="32"/>
      <c r="Y39" s="32"/>
      <c r="Z39" s="49"/>
      <c r="AA39" s="49"/>
      <c r="AB39" s="10"/>
      <c r="AC39" s="10"/>
      <c r="AD39" s="10"/>
    </row>
    <row r="40" spans="1:53" ht="13" thickBot="1" x14ac:dyDescent="0.3">
      <c r="A40" s="20"/>
      <c r="B40" s="1019" t="s">
        <v>532</v>
      </c>
      <c r="C40" s="1019"/>
      <c r="D40" s="165">
        <f ca="1">SUM(D32:D39)</f>
        <v>0</v>
      </c>
      <c r="E40" s="165">
        <f t="shared" ref="E40" ca="1" si="21">SUM(E32:E39)</f>
        <v>0</v>
      </c>
      <c r="F40" s="165">
        <f t="shared" ref="F40" ca="1" si="22">SUM(F32:F39)</f>
        <v>0</v>
      </c>
      <c r="G40" s="178"/>
      <c r="H40" s="165"/>
      <c r="I40" s="179"/>
      <c r="J40" s="179"/>
      <c r="K40" s="178"/>
      <c r="L40" s="178"/>
      <c r="M40" s="178"/>
      <c r="N40" s="178"/>
      <c r="O40" s="180"/>
      <c r="P40" s="7"/>
      <c r="Q40" s="50"/>
      <c r="R40" s="51"/>
      <c r="S40" s="51"/>
      <c r="T40" s="24"/>
      <c r="U40" s="24"/>
      <c r="V40" s="24"/>
      <c r="W40" s="24"/>
      <c r="X40" s="24"/>
      <c r="Y40" s="24"/>
      <c r="Z40" s="24"/>
      <c r="AA40" s="24"/>
      <c r="AB40" s="10"/>
      <c r="AC40" s="10"/>
      <c r="AD40" s="10"/>
      <c r="AM40" s="57"/>
      <c r="AN40" s="57"/>
      <c r="AO40" s="17"/>
      <c r="AP40" s="17"/>
      <c r="AQ40" s="17"/>
      <c r="AR40" s="17"/>
      <c r="AS40" s="17"/>
      <c r="AT40" s="17"/>
    </row>
    <row r="41" spans="1:53" ht="13" x14ac:dyDescent="0.3">
      <c r="B41" s="967" t="s">
        <v>105</v>
      </c>
      <c r="C41" s="967"/>
      <c r="D41" s="967"/>
      <c r="E41" s="967"/>
      <c r="F41" s="967"/>
      <c r="G41" s="967"/>
      <c r="H41" s="967"/>
      <c r="I41" s="967"/>
      <c r="J41" s="967"/>
      <c r="K41" s="967"/>
      <c r="L41" s="967"/>
      <c r="M41" s="967"/>
      <c r="N41" s="967"/>
      <c r="O41" s="967"/>
      <c r="P41" s="43"/>
      <c r="Q41" s="32"/>
      <c r="R41" s="32"/>
      <c r="S41" s="32"/>
      <c r="T41" s="32"/>
      <c r="U41" s="32"/>
      <c r="V41" s="32"/>
      <c r="W41" s="32"/>
      <c r="X41" s="32"/>
      <c r="Y41" s="32"/>
      <c r="Z41" s="49"/>
      <c r="AA41" s="49"/>
      <c r="AB41" s="1"/>
      <c r="AC41" s="1"/>
      <c r="AD41" s="1"/>
      <c r="AE41" s="1"/>
      <c r="AF41" s="1"/>
      <c r="AG41" s="1"/>
      <c r="AH41" s="1"/>
      <c r="AI41" s="1"/>
      <c r="AJ41" s="1"/>
      <c r="AM41" s="5"/>
      <c r="AN41" s="5"/>
      <c r="AO41" s="5"/>
      <c r="AP41" s="5"/>
      <c r="AQ41" s="5"/>
      <c r="AR41" s="1"/>
      <c r="AS41" s="1"/>
      <c r="AT41" s="1"/>
    </row>
    <row r="42" spans="1:53" ht="13" x14ac:dyDescent="0.3">
      <c r="B42" s="972" t="s">
        <v>452</v>
      </c>
      <c r="C42" s="694"/>
      <c r="D42" s="694"/>
      <c r="E42" s="694"/>
      <c r="F42" s="694"/>
      <c r="G42" s="694"/>
      <c r="H42" s="694"/>
      <c r="I42" s="694"/>
      <c r="J42" s="694"/>
      <c r="K42" s="694"/>
      <c r="L42" s="694"/>
      <c r="M42" s="694"/>
      <c r="N42" s="694"/>
      <c r="O42" s="694"/>
      <c r="P42" s="43"/>
      <c r="Q42" s="32"/>
      <c r="R42" s="32"/>
      <c r="S42" s="32"/>
      <c r="T42" s="32"/>
      <c r="U42" s="32"/>
      <c r="V42" s="32"/>
      <c r="W42" s="32"/>
      <c r="X42" s="32"/>
      <c r="Y42" s="32"/>
      <c r="Z42" s="49"/>
      <c r="AA42" s="49"/>
      <c r="AB42" s="1"/>
      <c r="AC42" s="1"/>
      <c r="AD42" s="1"/>
      <c r="AE42" s="1"/>
      <c r="AF42" s="1"/>
      <c r="AG42" s="1"/>
      <c r="AH42" s="1"/>
      <c r="AI42" s="1"/>
      <c r="AJ42" s="1"/>
      <c r="AM42" s="5"/>
      <c r="AN42" s="5"/>
      <c r="AO42" s="5"/>
      <c r="AP42" s="5"/>
      <c r="AQ42" s="5"/>
      <c r="AR42" s="1"/>
      <c r="AS42" s="1"/>
      <c r="AT42" s="1"/>
    </row>
    <row r="43" spans="1:53" ht="13" x14ac:dyDescent="0.3">
      <c r="A43" s="28"/>
      <c r="B43" s="610" t="s">
        <v>568</v>
      </c>
      <c r="C43" s="522"/>
      <c r="D43" s="3" t="str">
        <f ca="1">IFERROR(INDIRECT(B43 &amp; "!" &amp; "$N$51"),0)</f>
        <v>(6)*(7)*(8)</v>
      </c>
      <c r="E43" s="3">
        <f ca="1">IFERROR(INDIRECT(B43 &amp; "!" &amp; "$N$52"),0)</f>
        <v>0</v>
      </c>
      <c r="F43" s="3">
        <f ca="1">IFERROR(INDIRECT(B43 &amp; "!" &amp; "$N$54"),0)</f>
        <v>0.8115267159585341</v>
      </c>
      <c r="G43" s="66" t="s">
        <v>14</v>
      </c>
      <c r="H43" s="69" t="str">
        <f ca="1">IFERROR(INDIRECT(B43 &amp; "!" &amp; "$F$51"),0)</f>
        <v>from Table 12-10</v>
      </c>
      <c r="I43" s="68" t="e">
        <f ca="1">+H43*D43*D43</f>
        <v>#VALUE!</v>
      </c>
      <c r="J43" s="68" t="e">
        <f ca="1">SQRT(H43*D43)</f>
        <v>#VALUE!</v>
      </c>
      <c r="K43" s="66" t="s">
        <v>14</v>
      </c>
      <c r="L43" s="66" t="s">
        <v>14</v>
      </c>
      <c r="M43" s="66" t="s">
        <v>14</v>
      </c>
      <c r="N43" s="66" t="s">
        <v>14</v>
      </c>
      <c r="O43" s="124" t="s">
        <v>14</v>
      </c>
      <c r="P43" s="8"/>
      <c r="Q43" s="49"/>
      <c r="R43" s="49"/>
      <c r="S43" s="49"/>
      <c r="T43" s="5"/>
      <c r="U43" s="1"/>
      <c r="V43" s="5"/>
      <c r="X43" s="5"/>
      <c r="Y43" s="1"/>
      <c r="Z43" s="5"/>
      <c r="AB43" s="43"/>
      <c r="AC43" s="43"/>
      <c r="AD43" s="43"/>
      <c r="AE43" s="43"/>
      <c r="AF43" s="43"/>
      <c r="AG43" s="43"/>
      <c r="AH43" s="43"/>
      <c r="AI43" s="43"/>
      <c r="AJ43" s="43"/>
      <c r="AM43" s="5"/>
      <c r="AN43" s="5"/>
      <c r="AO43" s="5"/>
      <c r="AP43" s="1"/>
      <c r="AQ43" s="5"/>
      <c r="AR43" s="1"/>
      <c r="AS43" s="1"/>
      <c r="AT43" s="1"/>
    </row>
    <row r="44" spans="1:53" ht="13" x14ac:dyDescent="0.3">
      <c r="A44" s="67"/>
      <c r="B44" s="965" t="s">
        <v>569</v>
      </c>
      <c r="C44" s="522"/>
      <c r="D44" s="3">
        <f t="shared" ref="D44:D50" ca="1" si="23">IFERROR(INDIRECT(B44 &amp; "!" &amp; "$N$51"),0)</f>
        <v>0</v>
      </c>
      <c r="E44" s="3">
        <f t="shared" ref="E44:E50" ca="1" si="24">IFERROR(INDIRECT(B44 &amp; "!" &amp; "$N$52"),0)</f>
        <v>0</v>
      </c>
      <c r="F44" s="3">
        <f t="shared" ref="F44:F50" ca="1" si="25">IFERROR(INDIRECT(B44 &amp; "!" &amp; "$N$54"),0)</f>
        <v>0</v>
      </c>
      <c r="G44" s="66" t="s">
        <v>14</v>
      </c>
      <c r="H44" s="69">
        <f t="shared" ref="H44:H50" ca="1" si="26">IFERROR(INDIRECT(B44 &amp; "!" &amp; "$F$51"),0)</f>
        <v>0</v>
      </c>
      <c r="I44" s="68">
        <f t="shared" ref="I44:I50" ca="1" si="27">+H44*D44*D44</f>
        <v>0</v>
      </c>
      <c r="J44" s="68">
        <f t="shared" ref="J44:J50" ca="1" si="28">SQRT(H44*D44)</f>
        <v>0</v>
      </c>
      <c r="K44" s="66" t="s">
        <v>14</v>
      </c>
      <c r="L44" s="66" t="s">
        <v>14</v>
      </c>
      <c r="M44" s="66" t="s">
        <v>14</v>
      </c>
      <c r="N44" s="66" t="s">
        <v>14</v>
      </c>
      <c r="O44" s="124" t="s">
        <v>14</v>
      </c>
      <c r="Q44" s="21"/>
      <c r="R44" s="1"/>
      <c r="S44" s="1"/>
      <c r="T44" s="1"/>
      <c r="U44" s="1"/>
      <c r="X44" s="1"/>
      <c r="Y44" s="1"/>
      <c r="AB44" s="32"/>
      <c r="AC44" s="32"/>
      <c r="AD44" s="32"/>
      <c r="AE44" s="32"/>
      <c r="AF44" s="32"/>
      <c r="AG44" s="32"/>
      <c r="AH44" s="32"/>
      <c r="AI44" s="32"/>
      <c r="AJ44" s="32"/>
      <c r="AM44" s="5"/>
      <c r="AN44" s="5"/>
      <c r="AO44" s="1"/>
      <c r="AP44" s="1"/>
      <c r="AQ44" s="1"/>
      <c r="AR44" s="1"/>
      <c r="AS44" s="1"/>
      <c r="AT44" s="1"/>
    </row>
    <row r="45" spans="1:53" ht="13" x14ac:dyDescent="0.3">
      <c r="A45" s="67"/>
      <c r="B45" s="610" t="s">
        <v>570</v>
      </c>
      <c r="C45" s="522"/>
      <c r="D45" s="3">
        <f t="shared" ca="1" si="23"/>
        <v>0</v>
      </c>
      <c r="E45" s="3">
        <f t="shared" ca="1" si="24"/>
        <v>0</v>
      </c>
      <c r="F45" s="3">
        <f t="shared" ca="1" si="25"/>
        <v>0</v>
      </c>
      <c r="G45" s="66" t="s">
        <v>14</v>
      </c>
      <c r="H45" s="69">
        <f t="shared" ca="1" si="26"/>
        <v>0</v>
      </c>
      <c r="I45" s="68">
        <f t="shared" ca="1" si="27"/>
        <v>0</v>
      </c>
      <c r="J45" s="68">
        <f t="shared" ca="1" si="28"/>
        <v>0</v>
      </c>
      <c r="K45" s="66" t="s">
        <v>14</v>
      </c>
      <c r="L45" s="66" t="s">
        <v>14</v>
      </c>
      <c r="M45" s="66" t="s">
        <v>14</v>
      </c>
      <c r="N45" s="66" t="s">
        <v>14</v>
      </c>
      <c r="O45" s="124" t="s">
        <v>14</v>
      </c>
      <c r="Q45" s="21"/>
      <c r="R45" s="1"/>
      <c r="S45" s="1"/>
      <c r="T45" s="1"/>
      <c r="U45" s="1"/>
      <c r="X45" s="1"/>
      <c r="Y45" s="1"/>
      <c r="AB45" s="32"/>
      <c r="AC45" s="32"/>
      <c r="AD45" s="32"/>
      <c r="AE45" s="32"/>
      <c r="AF45" s="32"/>
      <c r="AG45" s="32"/>
      <c r="AH45" s="32"/>
      <c r="AI45" s="32"/>
      <c r="AJ45" s="32"/>
      <c r="AM45" s="5"/>
      <c r="AN45" s="5"/>
      <c r="AO45" s="1"/>
      <c r="AP45" s="1"/>
      <c r="AQ45" s="1"/>
      <c r="AR45" s="1"/>
      <c r="AS45" s="1"/>
      <c r="AT45" s="1"/>
    </row>
    <row r="46" spans="1:53" ht="13" x14ac:dyDescent="0.3">
      <c r="A46" s="67"/>
      <c r="B46" s="965" t="s">
        <v>571</v>
      </c>
      <c r="C46" s="522"/>
      <c r="D46" s="3">
        <f t="shared" ca="1" si="23"/>
        <v>0</v>
      </c>
      <c r="E46" s="3">
        <f t="shared" ca="1" si="24"/>
        <v>0</v>
      </c>
      <c r="F46" s="3">
        <f t="shared" ca="1" si="25"/>
        <v>0</v>
      </c>
      <c r="G46" s="66" t="s">
        <v>14</v>
      </c>
      <c r="H46" s="69">
        <f t="shared" ca="1" si="26"/>
        <v>0</v>
      </c>
      <c r="I46" s="68">
        <f t="shared" ca="1" si="27"/>
        <v>0</v>
      </c>
      <c r="J46" s="68">
        <f t="shared" ca="1" si="28"/>
        <v>0</v>
      </c>
      <c r="K46" s="66" t="s">
        <v>14</v>
      </c>
      <c r="L46" s="66" t="s">
        <v>14</v>
      </c>
      <c r="M46" s="66" t="s">
        <v>14</v>
      </c>
      <c r="N46" s="66" t="s">
        <v>14</v>
      </c>
      <c r="O46" s="124" t="s">
        <v>14</v>
      </c>
      <c r="Q46" s="21"/>
      <c r="R46" s="1"/>
      <c r="S46" s="1"/>
      <c r="T46" s="1"/>
      <c r="U46" s="1"/>
      <c r="X46" s="1"/>
      <c r="Y46" s="1"/>
      <c r="AB46" s="32"/>
      <c r="AC46" s="32"/>
      <c r="AD46" s="32"/>
      <c r="AE46" s="32"/>
      <c r="AF46" s="32"/>
      <c r="AG46" s="32"/>
      <c r="AH46" s="32"/>
      <c r="AI46" s="32"/>
      <c r="AJ46" s="32"/>
      <c r="AM46" s="5"/>
      <c r="AN46" s="5"/>
      <c r="AO46" s="1"/>
      <c r="AP46" s="1"/>
      <c r="AQ46" s="1"/>
      <c r="AR46" s="1"/>
      <c r="AS46" s="1"/>
      <c r="AT46" s="1"/>
    </row>
    <row r="47" spans="1:53" ht="13" x14ac:dyDescent="0.3">
      <c r="A47" s="67"/>
      <c r="B47" s="610" t="s">
        <v>572</v>
      </c>
      <c r="C47" s="522"/>
      <c r="D47" s="3">
        <f t="shared" ca="1" si="23"/>
        <v>0</v>
      </c>
      <c r="E47" s="3">
        <f t="shared" ca="1" si="24"/>
        <v>0</v>
      </c>
      <c r="F47" s="3">
        <f t="shared" ca="1" si="25"/>
        <v>0</v>
      </c>
      <c r="G47" s="66" t="s">
        <v>14</v>
      </c>
      <c r="H47" s="69">
        <f t="shared" ca="1" si="26"/>
        <v>0</v>
      </c>
      <c r="I47" s="68">
        <f t="shared" ca="1" si="27"/>
        <v>0</v>
      </c>
      <c r="J47" s="68">
        <f t="shared" ca="1" si="28"/>
        <v>0</v>
      </c>
      <c r="K47" s="66" t="s">
        <v>14</v>
      </c>
      <c r="L47" s="66" t="s">
        <v>14</v>
      </c>
      <c r="M47" s="66" t="s">
        <v>14</v>
      </c>
      <c r="N47" s="66" t="s">
        <v>14</v>
      </c>
      <c r="O47" s="124" t="s">
        <v>14</v>
      </c>
      <c r="Q47" s="21"/>
      <c r="R47" s="1"/>
      <c r="S47" s="1"/>
      <c r="T47" s="1"/>
      <c r="U47" s="1"/>
      <c r="X47" s="1"/>
      <c r="Y47" s="1"/>
      <c r="AB47" s="32"/>
      <c r="AC47" s="32"/>
      <c r="AD47" s="32"/>
      <c r="AE47" s="32"/>
      <c r="AF47" s="32"/>
      <c r="AG47" s="32"/>
      <c r="AH47" s="32"/>
      <c r="AI47" s="32"/>
      <c r="AJ47" s="32"/>
      <c r="AM47" s="5"/>
      <c r="AN47" s="5"/>
      <c r="AO47" s="1"/>
      <c r="AP47" s="1"/>
      <c r="AQ47" s="1"/>
      <c r="AR47" s="1"/>
      <c r="AS47" s="1"/>
      <c r="AT47" s="1"/>
    </row>
    <row r="48" spans="1:53" ht="13" x14ac:dyDescent="0.3">
      <c r="A48" s="67"/>
      <c r="B48" s="965" t="s">
        <v>573</v>
      </c>
      <c r="C48" s="522"/>
      <c r="D48" s="3">
        <f t="shared" ca="1" si="23"/>
        <v>0</v>
      </c>
      <c r="E48" s="3">
        <f t="shared" ca="1" si="24"/>
        <v>0</v>
      </c>
      <c r="F48" s="3">
        <f t="shared" ca="1" si="25"/>
        <v>0</v>
      </c>
      <c r="G48" s="66" t="s">
        <v>14</v>
      </c>
      <c r="H48" s="69">
        <f t="shared" ca="1" si="26"/>
        <v>0</v>
      </c>
      <c r="I48" s="68">
        <f t="shared" ca="1" si="27"/>
        <v>0</v>
      </c>
      <c r="J48" s="68">
        <f ca="1">SQRT(H48*D48)</f>
        <v>0</v>
      </c>
      <c r="K48" s="66" t="s">
        <v>14</v>
      </c>
      <c r="L48" s="66" t="s">
        <v>14</v>
      </c>
      <c r="M48" s="66" t="s">
        <v>14</v>
      </c>
      <c r="N48" s="66" t="s">
        <v>14</v>
      </c>
      <c r="O48" s="124" t="s">
        <v>14</v>
      </c>
      <c r="Q48" s="21"/>
      <c r="R48" s="1"/>
      <c r="S48" s="1"/>
      <c r="T48" s="1"/>
      <c r="U48" s="1"/>
      <c r="X48" s="1"/>
      <c r="Y48" s="1"/>
      <c r="AB48" s="32"/>
      <c r="AC48" s="32"/>
      <c r="AD48" s="32"/>
      <c r="AE48" s="32"/>
      <c r="AF48" s="32"/>
      <c r="AG48" s="32"/>
      <c r="AH48" s="32"/>
      <c r="AI48" s="32"/>
      <c r="AJ48" s="32"/>
      <c r="AM48" s="5"/>
      <c r="AN48" s="5"/>
      <c r="AO48" s="1"/>
      <c r="AP48" s="1"/>
      <c r="AQ48" s="1"/>
      <c r="AR48" s="1"/>
      <c r="AS48" s="1"/>
      <c r="AT48" s="1"/>
    </row>
    <row r="49" spans="1:46" ht="13" x14ac:dyDescent="0.25">
      <c r="A49" s="49"/>
      <c r="B49" s="610" t="s">
        <v>574</v>
      </c>
      <c r="C49" s="522"/>
      <c r="D49" s="3">
        <f t="shared" ca="1" si="23"/>
        <v>0</v>
      </c>
      <c r="E49" s="3">
        <f t="shared" ca="1" si="24"/>
        <v>0</v>
      </c>
      <c r="F49" s="3">
        <f t="shared" ca="1" si="25"/>
        <v>0</v>
      </c>
      <c r="G49" s="66" t="s">
        <v>14</v>
      </c>
      <c r="H49" s="69">
        <f t="shared" ca="1" si="26"/>
        <v>0</v>
      </c>
      <c r="I49" s="68">
        <f t="shared" ca="1" si="27"/>
        <v>0</v>
      </c>
      <c r="J49" s="68">
        <f t="shared" ca="1" si="28"/>
        <v>0</v>
      </c>
      <c r="K49" s="66" t="s">
        <v>14</v>
      </c>
      <c r="L49" s="66" t="s">
        <v>14</v>
      </c>
      <c r="M49" s="66" t="s">
        <v>14</v>
      </c>
      <c r="N49" s="66" t="s">
        <v>14</v>
      </c>
      <c r="O49" s="124" t="s">
        <v>14</v>
      </c>
      <c r="Q49" s="49"/>
      <c r="AB49" s="32"/>
      <c r="AC49" s="32"/>
      <c r="AD49" s="32"/>
      <c r="AE49" s="32"/>
      <c r="AF49" s="32"/>
      <c r="AG49" s="32"/>
      <c r="AH49" s="32"/>
      <c r="AI49" s="32"/>
      <c r="AJ49" s="32"/>
      <c r="AM49" s="1"/>
      <c r="AN49" s="1"/>
      <c r="AO49" s="1"/>
      <c r="AP49" s="1"/>
      <c r="AQ49" s="61"/>
      <c r="AR49" s="61"/>
      <c r="AS49" s="61"/>
      <c r="AT49" s="61"/>
    </row>
    <row r="50" spans="1:46" ht="13.5" thickBot="1" x14ac:dyDescent="0.3">
      <c r="A50" s="49"/>
      <c r="B50" s="965" t="s">
        <v>575</v>
      </c>
      <c r="C50" s="522"/>
      <c r="D50" s="3">
        <f t="shared" ca="1" si="23"/>
        <v>0</v>
      </c>
      <c r="E50" s="3">
        <f t="shared" ca="1" si="24"/>
        <v>0</v>
      </c>
      <c r="F50" s="3">
        <f t="shared" ca="1" si="25"/>
        <v>0</v>
      </c>
      <c r="G50" s="66" t="s">
        <v>14</v>
      </c>
      <c r="H50" s="69">
        <f t="shared" ca="1" si="26"/>
        <v>0</v>
      </c>
      <c r="I50" s="68">
        <f t="shared" ca="1" si="27"/>
        <v>0</v>
      </c>
      <c r="J50" s="68">
        <f t="shared" ca="1" si="28"/>
        <v>0</v>
      </c>
      <c r="K50" s="66" t="s">
        <v>14</v>
      </c>
      <c r="L50" s="66" t="s">
        <v>14</v>
      </c>
      <c r="M50" s="66" t="s">
        <v>14</v>
      </c>
      <c r="N50" s="66" t="s">
        <v>14</v>
      </c>
      <c r="O50" s="124" t="s">
        <v>14</v>
      </c>
      <c r="T50" s="29"/>
      <c r="U50" s="29"/>
      <c r="V50" s="29"/>
      <c r="W50" s="27"/>
      <c r="X50" s="29"/>
      <c r="Y50" s="29"/>
      <c r="Z50" s="29"/>
      <c r="AA50" s="27"/>
      <c r="AB50" s="47"/>
      <c r="AC50" s="47"/>
      <c r="AD50" s="47"/>
      <c r="AE50" s="47"/>
      <c r="AF50" s="47"/>
      <c r="AG50" s="47"/>
      <c r="AH50" s="47"/>
      <c r="AI50" s="47"/>
      <c r="AJ50" s="47"/>
      <c r="AM50" s="1"/>
      <c r="AN50" s="1"/>
      <c r="AO50" s="1"/>
      <c r="AP50" s="1"/>
      <c r="AQ50" s="62"/>
      <c r="AR50" s="62"/>
      <c r="AS50" s="62"/>
      <c r="AT50" s="62"/>
    </row>
    <row r="51" spans="1:46" ht="13" thickBot="1" x14ac:dyDescent="0.3">
      <c r="A51" s="20"/>
      <c r="B51" s="1019" t="s">
        <v>533</v>
      </c>
      <c r="C51" s="1019"/>
      <c r="D51" s="165">
        <f ca="1">SUM(D43:D50)</f>
        <v>0</v>
      </c>
      <c r="E51" s="165">
        <f t="shared" ref="E51" ca="1" si="29">SUM(E43:E50)</f>
        <v>0</v>
      </c>
      <c r="F51" s="165">
        <f t="shared" ref="F51" ca="1" si="30">SUM(F43:F50)</f>
        <v>0.8115267159585341</v>
      </c>
      <c r="G51" s="178"/>
      <c r="H51" s="165"/>
      <c r="I51" s="179"/>
      <c r="J51" s="179"/>
      <c r="K51" s="178"/>
      <c r="L51" s="178"/>
      <c r="M51" s="178"/>
      <c r="N51" s="178"/>
      <c r="O51" s="180"/>
      <c r="P51" s="7"/>
      <c r="Q51" s="50"/>
      <c r="R51" s="51"/>
      <c r="S51" s="51"/>
      <c r="T51" s="24"/>
      <c r="U51" s="24"/>
      <c r="V51" s="24"/>
      <c r="W51" s="24"/>
      <c r="X51" s="24"/>
      <c r="Y51" s="24"/>
      <c r="Z51" s="24"/>
      <c r="AA51" s="24"/>
      <c r="AB51" s="10"/>
      <c r="AC51" s="10"/>
      <c r="AD51" s="10"/>
      <c r="AM51" s="57"/>
      <c r="AN51" s="57"/>
      <c r="AO51" s="17"/>
      <c r="AP51" s="17"/>
      <c r="AQ51" s="17"/>
      <c r="AR51" s="17"/>
      <c r="AS51" s="17"/>
      <c r="AT51" s="17"/>
    </row>
    <row r="52" spans="1:46" ht="13" x14ac:dyDescent="0.3">
      <c r="A52" s="49"/>
      <c r="B52" s="972" t="s">
        <v>449</v>
      </c>
      <c r="C52" s="694"/>
      <c r="D52" s="694"/>
      <c r="E52" s="694"/>
      <c r="F52" s="694"/>
      <c r="G52" s="694"/>
      <c r="H52" s="694"/>
      <c r="I52" s="694"/>
      <c r="J52" s="694"/>
      <c r="K52" s="694"/>
      <c r="L52" s="694"/>
      <c r="M52" s="694"/>
      <c r="N52" s="694"/>
      <c r="O52" s="694"/>
      <c r="T52" s="29"/>
      <c r="U52" s="29"/>
      <c r="V52" s="29"/>
      <c r="W52" s="27"/>
      <c r="X52" s="29"/>
      <c r="Y52" s="29"/>
      <c r="Z52" s="29"/>
      <c r="AA52" s="27"/>
      <c r="AB52" s="47"/>
      <c r="AC52" s="47"/>
      <c r="AD52" s="47"/>
      <c r="AE52" s="47"/>
      <c r="AF52" s="47"/>
      <c r="AG52" s="47"/>
      <c r="AH52" s="47"/>
      <c r="AI52" s="47"/>
      <c r="AJ52" s="47"/>
      <c r="AM52" s="1"/>
      <c r="AN52" s="1"/>
      <c r="AO52" s="1"/>
      <c r="AP52" s="1"/>
      <c r="AQ52" s="62"/>
      <c r="AR52" s="62"/>
      <c r="AS52" s="62"/>
      <c r="AT52" s="62"/>
    </row>
    <row r="53" spans="1:46" ht="13" x14ac:dyDescent="0.25">
      <c r="A53" s="42"/>
      <c r="B53" s="610" t="s">
        <v>568</v>
      </c>
      <c r="C53" s="522"/>
      <c r="D53" s="3">
        <f ca="1">IFERROR(INDIRECT(B53 &amp; "!" &amp; "$N$83"),0)</f>
        <v>0</v>
      </c>
      <c r="E53" s="3">
        <f ca="1">IFERROR(INDIRECT(B53 &amp; "!" &amp; "$N$84"),0)</f>
        <v>0</v>
      </c>
      <c r="F53" s="3">
        <f ca="1">IFERROR(INDIRECT(B53 &amp; "!" &amp; "$N$86"),0)</f>
        <v>7.3725978030109926E-2</v>
      </c>
      <c r="G53" s="66" t="s">
        <v>14</v>
      </c>
      <c r="H53" s="3">
        <f ca="1">IFERROR(INDIRECT(B53 &amp; "!" &amp; "$F$83"),0)</f>
        <v>0</v>
      </c>
      <c r="I53" s="68">
        <f ca="1">+H53*D53*D53</f>
        <v>0</v>
      </c>
      <c r="J53" s="68">
        <f ca="1">SQRT(H53*D53)</f>
        <v>0</v>
      </c>
      <c r="K53" s="66" t="s">
        <v>14</v>
      </c>
      <c r="L53" s="66" t="s">
        <v>14</v>
      </c>
      <c r="M53" s="66" t="s">
        <v>14</v>
      </c>
      <c r="N53" s="66" t="s">
        <v>14</v>
      </c>
      <c r="O53" s="124" t="s">
        <v>14</v>
      </c>
      <c r="P53" s="34"/>
      <c r="T53" s="27"/>
      <c r="U53" s="27"/>
      <c r="V53" s="27"/>
      <c r="W53" s="27"/>
      <c r="X53" s="27"/>
      <c r="Y53" s="27"/>
      <c r="Z53" s="27"/>
      <c r="AA53" s="27"/>
      <c r="AB53" s="48"/>
      <c r="AC53" s="48"/>
      <c r="AD53" s="48"/>
      <c r="AE53" s="48"/>
      <c r="AF53" s="48"/>
      <c r="AG53" s="48"/>
      <c r="AH53" s="48"/>
      <c r="AI53" s="48"/>
      <c r="AJ53" s="48"/>
      <c r="AM53" s="21"/>
      <c r="AN53" s="1"/>
      <c r="AO53" s="38"/>
      <c r="AP53" s="1"/>
      <c r="AQ53" s="60"/>
      <c r="AR53" s="60"/>
      <c r="AS53" s="63"/>
      <c r="AT53" s="63"/>
    </row>
    <row r="54" spans="1:46" ht="13" x14ac:dyDescent="0.3">
      <c r="A54" s="42"/>
      <c r="B54" s="965" t="s">
        <v>569</v>
      </c>
      <c r="C54" s="522"/>
      <c r="D54" s="3">
        <f t="shared" ref="D54:D60" ca="1" si="31">IFERROR(INDIRECT(B54 &amp; "!" &amp; "$N$83"),0)</f>
        <v>0</v>
      </c>
      <c r="E54" s="3">
        <f t="shared" ref="E54:E60" ca="1" si="32">IFERROR(INDIRECT(B54 &amp; "!" &amp; "$N$84"),0)</f>
        <v>0</v>
      </c>
      <c r="F54" s="3">
        <f t="shared" ref="F54:F60" ca="1" si="33">IFERROR(INDIRECT(B54 &amp; "!" &amp; "$N$86"),0)</f>
        <v>0</v>
      </c>
      <c r="G54" s="66" t="s">
        <v>14</v>
      </c>
      <c r="H54" s="3">
        <f t="shared" ref="H54:H60" ca="1" si="34">IFERROR(INDIRECT(B54 &amp; "!" &amp; "$F$83"),0)</f>
        <v>0</v>
      </c>
      <c r="I54" s="68">
        <f t="shared" ref="I54:I59" ca="1" si="35">+H54*D54*D54</f>
        <v>0</v>
      </c>
      <c r="J54" s="68">
        <f t="shared" ref="J54:J59" ca="1" si="36">SQRT(H54*D54)</f>
        <v>0</v>
      </c>
      <c r="K54" s="66" t="s">
        <v>14</v>
      </c>
      <c r="L54" s="66" t="s">
        <v>14</v>
      </c>
      <c r="M54" s="66" t="s">
        <v>14</v>
      </c>
      <c r="N54" s="66" t="s">
        <v>14</v>
      </c>
      <c r="O54" s="124" t="s">
        <v>14</v>
      </c>
      <c r="P54" s="5"/>
      <c r="Q54" s="50"/>
      <c r="R54" s="1"/>
      <c r="S54" s="1"/>
      <c r="T54" s="52"/>
      <c r="U54" s="52"/>
      <c r="V54" s="52"/>
      <c r="W54" s="1"/>
      <c r="X54" s="24"/>
      <c r="Y54" s="24"/>
      <c r="Z54" s="24"/>
      <c r="AA54" s="24"/>
      <c r="AB54" s="5"/>
      <c r="AC54" s="1"/>
      <c r="AD54" s="1"/>
      <c r="AE54" s="1"/>
      <c r="AF54" s="1"/>
      <c r="AG54" s="1"/>
      <c r="AH54" s="1"/>
      <c r="AI54" s="1"/>
      <c r="AJ54" s="1"/>
      <c r="AM54" s="1"/>
      <c r="AN54" s="1"/>
      <c r="AO54" s="1"/>
      <c r="AP54" s="1"/>
      <c r="AQ54" s="60"/>
      <c r="AR54" s="60"/>
      <c r="AS54" s="60"/>
      <c r="AT54" s="60"/>
    </row>
    <row r="55" spans="1:46" ht="13" x14ac:dyDescent="0.3">
      <c r="A55" s="42"/>
      <c r="B55" s="610" t="s">
        <v>570</v>
      </c>
      <c r="C55" s="522"/>
      <c r="D55" s="3">
        <f t="shared" ca="1" si="31"/>
        <v>0</v>
      </c>
      <c r="E55" s="3">
        <f t="shared" ca="1" si="32"/>
        <v>0</v>
      </c>
      <c r="F55" s="3">
        <f t="shared" ca="1" si="33"/>
        <v>0</v>
      </c>
      <c r="G55" s="66" t="s">
        <v>14</v>
      </c>
      <c r="H55" s="3">
        <f t="shared" ca="1" si="34"/>
        <v>0</v>
      </c>
      <c r="I55" s="68">
        <f t="shared" ca="1" si="35"/>
        <v>0</v>
      </c>
      <c r="J55" s="68">
        <f t="shared" ca="1" si="36"/>
        <v>0</v>
      </c>
      <c r="K55" s="66" t="s">
        <v>14</v>
      </c>
      <c r="L55" s="66" t="s">
        <v>14</v>
      </c>
      <c r="M55" s="66" t="s">
        <v>14</v>
      </c>
      <c r="N55" s="66" t="s">
        <v>14</v>
      </c>
      <c r="O55" s="124" t="s">
        <v>14</v>
      </c>
      <c r="P55" s="5"/>
      <c r="Q55" s="50"/>
      <c r="R55" s="1"/>
      <c r="S55" s="1"/>
      <c r="T55" s="52"/>
      <c r="U55" s="52"/>
      <c r="V55" s="52"/>
      <c r="W55" s="1"/>
      <c r="X55" s="24"/>
      <c r="Y55" s="24"/>
      <c r="Z55" s="24"/>
      <c r="AA55" s="24"/>
      <c r="AB55" s="5"/>
      <c r="AC55" s="1"/>
      <c r="AD55" s="1"/>
      <c r="AE55" s="1"/>
      <c r="AF55" s="1"/>
      <c r="AG55" s="1"/>
      <c r="AH55" s="1"/>
      <c r="AI55" s="1"/>
      <c r="AJ55" s="1"/>
      <c r="AM55" s="1"/>
      <c r="AN55" s="1"/>
      <c r="AO55" s="1"/>
      <c r="AP55" s="1"/>
      <c r="AQ55" s="60"/>
      <c r="AR55" s="60"/>
      <c r="AS55" s="60"/>
      <c r="AT55" s="60"/>
    </row>
    <row r="56" spans="1:46" ht="13" x14ac:dyDescent="0.3">
      <c r="A56" s="42"/>
      <c r="B56" s="965" t="s">
        <v>571</v>
      </c>
      <c r="C56" s="522"/>
      <c r="D56" s="3">
        <f t="shared" ca="1" si="31"/>
        <v>0</v>
      </c>
      <c r="E56" s="3">
        <f t="shared" ca="1" si="32"/>
        <v>0</v>
      </c>
      <c r="F56" s="3">
        <f t="shared" ca="1" si="33"/>
        <v>0</v>
      </c>
      <c r="G56" s="66" t="s">
        <v>14</v>
      </c>
      <c r="H56" s="3">
        <f t="shared" ca="1" si="34"/>
        <v>0</v>
      </c>
      <c r="I56" s="68">
        <f t="shared" ca="1" si="35"/>
        <v>0</v>
      </c>
      <c r="J56" s="68">
        <f t="shared" ca="1" si="36"/>
        <v>0</v>
      </c>
      <c r="K56" s="66" t="s">
        <v>14</v>
      </c>
      <c r="L56" s="66" t="s">
        <v>14</v>
      </c>
      <c r="M56" s="66" t="s">
        <v>14</v>
      </c>
      <c r="N56" s="66" t="s">
        <v>14</v>
      </c>
      <c r="O56" s="124" t="s">
        <v>14</v>
      </c>
      <c r="P56" s="5"/>
      <c r="Q56" s="50"/>
      <c r="R56" s="1"/>
      <c r="S56" s="1"/>
      <c r="T56" s="52"/>
      <c r="U56" s="52"/>
      <c r="V56" s="52"/>
      <c r="W56" s="1"/>
      <c r="X56" s="24"/>
      <c r="Y56" s="24"/>
      <c r="Z56" s="24"/>
      <c r="AA56" s="24"/>
      <c r="AB56" s="5"/>
      <c r="AC56" s="1"/>
      <c r="AD56" s="1"/>
      <c r="AE56" s="1"/>
      <c r="AF56" s="1"/>
      <c r="AG56" s="1"/>
      <c r="AH56" s="1"/>
      <c r="AI56" s="1"/>
      <c r="AJ56" s="1"/>
      <c r="AM56" s="1"/>
      <c r="AN56" s="1"/>
      <c r="AO56" s="1"/>
      <c r="AP56" s="1"/>
      <c r="AQ56" s="60"/>
      <c r="AR56" s="60"/>
      <c r="AS56" s="60"/>
      <c r="AT56" s="60"/>
    </row>
    <row r="57" spans="1:46" ht="13" x14ac:dyDescent="0.3">
      <c r="A57" s="42"/>
      <c r="B57" s="610" t="s">
        <v>572</v>
      </c>
      <c r="C57" s="522"/>
      <c r="D57" s="3">
        <f t="shared" ca="1" si="31"/>
        <v>0</v>
      </c>
      <c r="E57" s="3">
        <f t="shared" ca="1" si="32"/>
        <v>0</v>
      </c>
      <c r="F57" s="3">
        <f t="shared" ca="1" si="33"/>
        <v>0</v>
      </c>
      <c r="G57" s="66" t="s">
        <v>14</v>
      </c>
      <c r="H57" s="3">
        <f t="shared" ca="1" si="34"/>
        <v>0</v>
      </c>
      <c r="I57" s="68">
        <f t="shared" ca="1" si="35"/>
        <v>0</v>
      </c>
      <c r="J57" s="68">
        <f t="shared" ca="1" si="36"/>
        <v>0</v>
      </c>
      <c r="K57" s="66" t="s">
        <v>14</v>
      </c>
      <c r="L57" s="66" t="s">
        <v>14</v>
      </c>
      <c r="M57" s="66" t="s">
        <v>14</v>
      </c>
      <c r="N57" s="66" t="s">
        <v>14</v>
      </c>
      <c r="O57" s="124" t="s">
        <v>14</v>
      </c>
      <c r="P57" s="5"/>
      <c r="Q57" s="50"/>
      <c r="R57" s="1"/>
      <c r="S57" s="1"/>
      <c r="T57" s="52"/>
      <c r="U57" s="52"/>
      <c r="V57" s="52"/>
      <c r="W57" s="1"/>
      <c r="X57" s="24"/>
      <c r="Y57" s="24"/>
      <c r="Z57" s="24"/>
      <c r="AA57" s="24"/>
      <c r="AB57" s="5"/>
      <c r="AC57" s="1"/>
      <c r="AD57" s="1"/>
      <c r="AE57" s="1"/>
      <c r="AF57" s="1"/>
      <c r="AG57" s="1"/>
      <c r="AH57" s="1"/>
      <c r="AI57" s="1"/>
      <c r="AJ57" s="1"/>
      <c r="AM57" s="1"/>
      <c r="AN57" s="1"/>
      <c r="AO57" s="1"/>
      <c r="AP57" s="1"/>
      <c r="AQ57" s="60"/>
      <c r="AR57" s="60"/>
      <c r="AS57" s="60"/>
      <c r="AT57" s="60"/>
    </row>
    <row r="58" spans="1:46" ht="13" x14ac:dyDescent="0.3">
      <c r="A58" s="42"/>
      <c r="B58" s="965" t="s">
        <v>573</v>
      </c>
      <c r="C58" s="522"/>
      <c r="D58" s="3">
        <f t="shared" ca="1" si="31"/>
        <v>0</v>
      </c>
      <c r="E58" s="3">
        <f t="shared" ca="1" si="32"/>
        <v>0</v>
      </c>
      <c r="F58" s="3">
        <f t="shared" ca="1" si="33"/>
        <v>0</v>
      </c>
      <c r="G58" s="66" t="s">
        <v>14</v>
      </c>
      <c r="H58" s="3">
        <f t="shared" ca="1" si="34"/>
        <v>0</v>
      </c>
      <c r="I58" s="68">
        <f t="shared" ca="1" si="35"/>
        <v>0</v>
      </c>
      <c r="J58" s="68">
        <f t="shared" ca="1" si="36"/>
        <v>0</v>
      </c>
      <c r="K58" s="66" t="s">
        <v>14</v>
      </c>
      <c r="L58" s="66" t="s">
        <v>14</v>
      </c>
      <c r="M58" s="66" t="s">
        <v>14</v>
      </c>
      <c r="N58" s="66" t="s">
        <v>14</v>
      </c>
      <c r="O58" s="124" t="s">
        <v>14</v>
      </c>
      <c r="P58" s="5"/>
      <c r="Q58" s="50"/>
      <c r="R58" s="1"/>
      <c r="S58" s="1"/>
      <c r="T58" s="52"/>
      <c r="U58" s="52"/>
      <c r="V58" s="52"/>
      <c r="W58" s="1"/>
      <c r="X58" s="24"/>
      <c r="Y58" s="24"/>
      <c r="Z58" s="24"/>
      <c r="AA58" s="24"/>
      <c r="AB58" s="5"/>
      <c r="AC58" s="1"/>
      <c r="AD58" s="1"/>
      <c r="AE58" s="1"/>
      <c r="AF58" s="1"/>
      <c r="AG58" s="1"/>
      <c r="AH58" s="1"/>
      <c r="AI58" s="1"/>
      <c r="AJ58" s="1"/>
      <c r="AM58" s="1"/>
      <c r="AN58" s="1"/>
      <c r="AO58" s="1"/>
      <c r="AP58" s="1"/>
      <c r="AQ58" s="60"/>
      <c r="AR58" s="60"/>
      <c r="AS58" s="60"/>
      <c r="AT58" s="60"/>
    </row>
    <row r="59" spans="1:46" ht="13" x14ac:dyDescent="0.3">
      <c r="A59" s="22"/>
      <c r="B59" s="610" t="s">
        <v>574</v>
      </c>
      <c r="C59" s="522"/>
      <c r="D59" s="3">
        <f t="shared" ca="1" si="31"/>
        <v>0</v>
      </c>
      <c r="E59" s="3">
        <f t="shared" ca="1" si="32"/>
        <v>0</v>
      </c>
      <c r="F59" s="3">
        <f t="shared" ca="1" si="33"/>
        <v>0</v>
      </c>
      <c r="G59" s="66" t="s">
        <v>14</v>
      </c>
      <c r="H59" s="3">
        <f t="shared" ca="1" si="34"/>
        <v>0</v>
      </c>
      <c r="I59" s="68">
        <f t="shared" ca="1" si="35"/>
        <v>0</v>
      </c>
      <c r="J59" s="68">
        <f t="shared" ca="1" si="36"/>
        <v>0</v>
      </c>
      <c r="K59" s="66" t="s">
        <v>14</v>
      </c>
      <c r="L59" s="66" t="s">
        <v>14</v>
      </c>
      <c r="M59" s="66" t="s">
        <v>14</v>
      </c>
      <c r="N59" s="66" t="s">
        <v>14</v>
      </c>
      <c r="O59" s="124" t="s">
        <v>14</v>
      </c>
      <c r="P59" s="5"/>
      <c r="Q59" s="50"/>
      <c r="R59" s="1"/>
      <c r="S59" s="1"/>
      <c r="T59" s="52"/>
      <c r="U59" s="52"/>
      <c r="V59" s="52"/>
      <c r="W59" s="1"/>
      <c r="X59" s="24"/>
      <c r="Y59" s="24"/>
      <c r="Z59" s="24"/>
      <c r="AA59" s="24"/>
      <c r="AB59" s="5"/>
      <c r="AC59" s="1"/>
      <c r="AD59" s="1"/>
      <c r="AE59" s="1"/>
      <c r="AF59" s="1"/>
      <c r="AG59" s="1"/>
      <c r="AH59" s="1"/>
      <c r="AI59" s="1"/>
      <c r="AJ59" s="1"/>
      <c r="AM59" s="1"/>
      <c r="AN59" s="1"/>
      <c r="AO59" s="1"/>
      <c r="AP59" s="1"/>
      <c r="AQ59" s="60"/>
      <c r="AR59" s="60"/>
      <c r="AS59" s="60"/>
      <c r="AT59" s="60"/>
    </row>
    <row r="60" spans="1:46" ht="13" thickBot="1" x14ac:dyDescent="0.3">
      <c r="A60" s="20"/>
      <c r="B60" s="965" t="s">
        <v>575</v>
      </c>
      <c r="C60" s="522"/>
      <c r="D60" s="3">
        <f t="shared" ca="1" si="31"/>
        <v>0</v>
      </c>
      <c r="E60" s="3">
        <f t="shared" ca="1" si="32"/>
        <v>0</v>
      </c>
      <c r="F60" s="3">
        <f t="shared" ca="1" si="33"/>
        <v>0</v>
      </c>
      <c r="G60" s="66" t="s">
        <v>14</v>
      </c>
      <c r="H60" s="3">
        <f t="shared" ca="1" si="34"/>
        <v>0</v>
      </c>
      <c r="I60" s="68">
        <f ca="1">+H60*D60*D60</f>
        <v>0</v>
      </c>
      <c r="J60" s="68">
        <f ca="1">SQRT(H60*D60)</f>
        <v>0</v>
      </c>
      <c r="K60" s="66" t="s">
        <v>14</v>
      </c>
      <c r="L60" s="66" t="s">
        <v>14</v>
      </c>
      <c r="M60" s="66" t="s">
        <v>14</v>
      </c>
      <c r="N60" s="66" t="s">
        <v>14</v>
      </c>
      <c r="O60" s="124" t="s">
        <v>14</v>
      </c>
      <c r="P60" s="44"/>
      <c r="Q60" s="50"/>
      <c r="R60" s="51"/>
      <c r="S60" s="51"/>
      <c r="V60" s="24"/>
      <c r="W60" s="24"/>
      <c r="X60" s="24"/>
      <c r="Y60" s="24"/>
      <c r="Z60" s="24"/>
      <c r="AA60" s="24"/>
      <c r="AB60" s="10"/>
      <c r="AC60" s="10"/>
      <c r="AD60" s="10"/>
      <c r="AE60" s="10"/>
      <c r="AF60" s="10"/>
      <c r="AG60" s="10"/>
      <c r="AH60" s="10"/>
      <c r="AI60" s="10"/>
      <c r="AJ60" s="10"/>
      <c r="AM60" s="39"/>
      <c r="AN60" s="26"/>
      <c r="AO60" s="38"/>
      <c r="AP60" s="1"/>
      <c r="AQ60" s="60"/>
      <c r="AR60" s="60"/>
      <c r="AS60" s="63"/>
      <c r="AT60" s="63"/>
    </row>
    <row r="61" spans="1:46" ht="13" thickBot="1" x14ac:dyDescent="0.3">
      <c r="A61" s="20"/>
      <c r="B61" s="1020" t="s">
        <v>533</v>
      </c>
      <c r="C61" s="1020"/>
      <c r="D61" s="185">
        <f ca="1">SUM(D53:D60)</f>
        <v>0</v>
      </c>
      <c r="E61" s="185">
        <f t="shared" ref="E61" ca="1" si="37">SUM(E53:E60)</f>
        <v>0</v>
      </c>
      <c r="F61" s="185">
        <f t="shared" ref="F61" ca="1" si="38">SUM(F53:F60)</f>
        <v>7.3725978030109926E-2</v>
      </c>
      <c r="G61" s="186"/>
      <c r="H61" s="185"/>
      <c r="I61" s="187"/>
      <c r="J61" s="187"/>
      <c r="K61" s="186"/>
      <c r="L61" s="186"/>
      <c r="M61" s="186"/>
      <c r="N61" s="186"/>
      <c r="O61" s="188"/>
      <c r="P61" s="7"/>
      <c r="Q61" s="50"/>
      <c r="R61" s="51"/>
      <c r="S61" s="51"/>
      <c r="T61" s="24"/>
      <c r="U61" s="24"/>
      <c r="V61" s="24"/>
      <c r="W61" s="24"/>
      <c r="X61" s="24"/>
      <c r="Y61" s="24"/>
      <c r="Z61" s="24"/>
      <c r="AA61" s="24"/>
      <c r="AB61" s="10"/>
      <c r="AC61" s="10"/>
      <c r="AD61" s="10"/>
      <c r="AM61" s="57"/>
      <c r="AN61" s="57"/>
      <c r="AO61" s="17"/>
      <c r="AP61" s="17"/>
      <c r="AQ61" s="17"/>
      <c r="AR61" s="17"/>
      <c r="AS61" s="17"/>
      <c r="AT61" s="17"/>
    </row>
    <row r="62" spans="1:46" ht="14" thickTop="1" thickBot="1" x14ac:dyDescent="0.3">
      <c r="A62" s="25"/>
      <c r="B62" s="985" t="s">
        <v>101</v>
      </c>
      <c r="C62" s="986"/>
      <c r="D62" s="166">
        <f ca="1">SUM(D12:D19)+SUM(D22:D29)+SUM(D32:D39)+SUM(D43:D50)+SUM(D53:D60)</f>
        <v>0</v>
      </c>
      <c r="E62" s="166">
        <f ca="1">SUM(E12:E19)+SUM(E22:E29)+SUM(E32:E39)+SUM(E43:E50)+SUM(E53:E60)</f>
        <v>0</v>
      </c>
      <c r="F62" s="166">
        <f ca="1">SUM(F12:F19)+SUM(F22:F29)+SUM(F32:F39)+SUM(F43:F50)+SUM(F53:F60)</f>
        <v>0.88525269398864403</v>
      </c>
      <c r="G62" s="181">
        <v>34</v>
      </c>
      <c r="H62" s="182" t="s">
        <v>14</v>
      </c>
      <c r="I62" s="166" t="e">
        <f t="shared" ref="I62:J62" ca="1" si="39">SUM(I12:I19)+SUM(I22:I29)+SUM(I32:I39)+SUM(I43:I50)+SUM(I53:I60)</f>
        <v>#VALUE!</v>
      </c>
      <c r="J62" s="166" t="e">
        <f t="shared" ca="1" si="39"/>
        <v>#VALUE!</v>
      </c>
      <c r="K62" s="183" t="e">
        <f ca="1">1/(1+I62/D62)</f>
        <v>#VALUE!</v>
      </c>
      <c r="L62" s="183" t="e">
        <f ca="1">K62*D62+((1-K62)*G62)</f>
        <v>#VALUE!</v>
      </c>
      <c r="M62" s="183" t="e">
        <f ca="1">1/(1+(J62/D62))</f>
        <v>#VALUE!</v>
      </c>
      <c r="N62" s="183" t="e">
        <f ca="1">+M62*D62+(1-M62)*G62</f>
        <v>#VALUE!</v>
      </c>
      <c r="O62" s="184" t="e">
        <f ca="1">(L62+N62)/2</f>
        <v>#VALUE!</v>
      </c>
      <c r="P62" s="44"/>
      <c r="S62" s="10"/>
      <c r="T62" s="10"/>
      <c r="U62" s="10"/>
      <c r="V62" s="10"/>
      <c r="W62" s="10"/>
      <c r="X62" s="10"/>
      <c r="Y62" s="10"/>
      <c r="Z62" s="10"/>
      <c r="AA62" s="10"/>
      <c r="AB62" s="10"/>
      <c r="AC62" s="10"/>
      <c r="AD62" s="10"/>
      <c r="AE62" s="10"/>
      <c r="AF62" s="10"/>
      <c r="AG62" s="10"/>
      <c r="AH62" s="10"/>
      <c r="AI62" s="10"/>
      <c r="AJ62" s="10"/>
      <c r="AM62" s="26"/>
      <c r="AN62" s="26"/>
      <c r="AO62" s="1"/>
      <c r="AP62" s="1"/>
      <c r="AQ62" s="60"/>
      <c r="AR62" s="60"/>
      <c r="AS62" s="60"/>
      <c r="AT62" s="60"/>
    </row>
    <row r="63" spans="1:46" x14ac:dyDescent="0.25">
      <c r="A63" s="23"/>
      <c r="B63" s="33"/>
      <c r="C63" s="28"/>
      <c r="D63" s="28"/>
      <c r="F63" s="23"/>
      <c r="H63" s="23"/>
      <c r="J63" s="23"/>
      <c r="K63" s="23"/>
      <c r="L63" s="23"/>
      <c r="P63" s="44"/>
      <c r="S63" s="10"/>
      <c r="T63" s="10"/>
      <c r="U63" s="10"/>
      <c r="V63" s="10"/>
      <c r="W63" s="10"/>
      <c r="X63" s="10"/>
      <c r="Y63" s="10"/>
      <c r="Z63" s="10"/>
      <c r="AA63" s="10"/>
      <c r="AB63" s="10"/>
      <c r="AC63" s="10"/>
      <c r="AD63" s="10"/>
      <c r="AE63" s="10"/>
      <c r="AF63" s="10"/>
      <c r="AG63" s="10"/>
      <c r="AH63" s="10"/>
      <c r="AI63" s="10"/>
      <c r="AJ63" s="10"/>
      <c r="AM63" s="26"/>
      <c r="AN63" s="26"/>
      <c r="AO63" s="38"/>
      <c r="AP63" s="22"/>
      <c r="AQ63" s="22"/>
      <c r="AR63" s="22"/>
      <c r="AS63" s="22"/>
      <c r="AT63" s="22"/>
    </row>
    <row r="64" spans="1:46" x14ac:dyDescent="0.25">
      <c r="A64" s="23"/>
      <c r="B64" s="33"/>
      <c r="C64" s="28"/>
      <c r="D64" s="28"/>
      <c r="F64" s="23"/>
      <c r="H64" s="23"/>
      <c r="J64" s="23"/>
      <c r="K64" s="23"/>
      <c r="L64" s="23"/>
      <c r="P64" s="44"/>
      <c r="S64" s="10"/>
      <c r="T64" s="10"/>
      <c r="U64" s="10"/>
      <c r="V64" s="10"/>
      <c r="W64" s="10"/>
      <c r="X64" s="10"/>
      <c r="Y64" s="10"/>
      <c r="Z64" s="10"/>
      <c r="AA64" s="10"/>
      <c r="AB64" s="10"/>
      <c r="AC64" s="10"/>
      <c r="AD64" s="10"/>
      <c r="AE64" s="10"/>
      <c r="AF64" s="10"/>
      <c r="AG64" s="10"/>
      <c r="AH64" s="10"/>
      <c r="AI64" s="10"/>
      <c r="AJ64" s="10"/>
      <c r="AM64" s="26"/>
      <c r="AN64" s="26"/>
      <c r="AO64" s="38"/>
      <c r="AP64" s="22"/>
      <c r="AQ64" s="22"/>
      <c r="AR64" s="22"/>
      <c r="AS64" s="22"/>
      <c r="AT64" s="22"/>
    </row>
    <row r="65" spans="1:46" ht="13" thickBot="1" x14ac:dyDescent="0.3">
      <c r="A65" s="23"/>
      <c r="B65" s="33"/>
      <c r="C65" s="28"/>
      <c r="D65" s="28"/>
      <c r="F65" s="23"/>
      <c r="H65" s="23"/>
      <c r="J65" s="23"/>
      <c r="K65" s="23"/>
      <c r="L65" s="23"/>
      <c r="P65" s="44"/>
      <c r="S65" s="10"/>
      <c r="T65" s="10"/>
      <c r="U65" s="10"/>
      <c r="V65" s="10"/>
      <c r="W65" s="10"/>
      <c r="X65" s="10"/>
      <c r="Y65" s="10"/>
      <c r="Z65" s="10"/>
      <c r="AA65" s="10"/>
      <c r="AB65" s="10"/>
      <c r="AC65" s="10"/>
      <c r="AD65" s="10"/>
      <c r="AE65" s="10"/>
      <c r="AF65" s="10"/>
      <c r="AG65" s="10"/>
      <c r="AH65" s="10"/>
      <c r="AI65" s="10"/>
      <c r="AJ65" s="10"/>
      <c r="AM65" s="26"/>
      <c r="AN65" s="26"/>
      <c r="AO65" s="38"/>
      <c r="AP65" s="22"/>
      <c r="AQ65" s="22"/>
      <c r="AR65" s="22"/>
      <c r="AS65" s="22"/>
      <c r="AT65" s="22"/>
    </row>
    <row r="66" spans="1:46" ht="13" thickTop="1" x14ac:dyDescent="0.25">
      <c r="A66" s="23"/>
      <c r="B66" s="33"/>
      <c r="C66" s="28"/>
      <c r="D66" s="28"/>
      <c r="G66" s="969" t="s">
        <v>473</v>
      </c>
      <c r="H66" s="970"/>
      <c r="I66" s="970"/>
      <c r="J66" s="970"/>
      <c r="K66" s="23"/>
      <c r="L66" s="23"/>
      <c r="S66" s="10"/>
      <c r="T66" s="10"/>
      <c r="U66" s="10"/>
      <c r="V66" s="10"/>
      <c r="W66" s="10"/>
      <c r="X66" s="10"/>
      <c r="Y66" s="10"/>
      <c r="Z66" s="10"/>
      <c r="AA66" s="10"/>
      <c r="AB66" s="10"/>
      <c r="AC66" s="10"/>
      <c r="AD66" s="10"/>
      <c r="AE66" s="10"/>
      <c r="AF66" s="10"/>
      <c r="AG66" s="10"/>
      <c r="AH66" s="10"/>
      <c r="AI66" s="10"/>
      <c r="AJ66" s="10"/>
      <c r="AM66" s="26"/>
      <c r="AN66" s="26"/>
      <c r="AO66" s="38"/>
      <c r="AP66" s="22"/>
      <c r="AQ66" s="22"/>
      <c r="AR66" s="22"/>
      <c r="AS66" s="22"/>
      <c r="AT66" s="22"/>
    </row>
    <row r="67" spans="1:46" ht="13" thickBot="1" x14ac:dyDescent="0.3">
      <c r="A67" s="23"/>
      <c r="B67" s="33"/>
      <c r="C67" s="28"/>
      <c r="D67" s="28"/>
      <c r="G67" s="971"/>
      <c r="H67" s="971"/>
      <c r="I67" s="971"/>
      <c r="J67" s="971"/>
      <c r="K67" s="23"/>
      <c r="L67" s="23"/>
      <c r="S67" s="10"/>
      <c r="T67" s="10"/>
      <c r="U67" s="10"/>
      <c r="V67" s="10"/>
      <c r="W67" s="10"/>
      <c r="X67" s="10"/>
      <c r="Y67" s="10"/>
      <c r="Z67" s="10"/>
      <c r="AA67" s="10"/>
      <c r="AB67" s="10"/>
      <c r="AC67" s="10"/>
      <c r="AD67" s="10"/>
      <c r="AE67" s="10"/>
      <c r="AF67" s="10"/>
      <c r="AG67" s="10"/>
      <c r="AH67" s="10"/>
      <c r="AI67" s="10"/>
      <c r="AJ67" s="10"/>
      <c r="AM67" s="26"/>
      <c r="AN67" s="26"/>
      <c r="AO67" s="38"/>
      <c r="AP67" s="22"/>
      <c r="AQ67" s="22"/>
      <c r="AR67" s="22"/>
      <c r="AS67" s="22"/>
      <c r="AT67" s="22"/>
    </row>
    <row r="68" spans="1:46" x14ac:dyDescent="0.25">
      <c r="A68" s="23"/>
      <c r="B68" s="33"/>
      <c r="C68" s="28"/>
      <c r="D68" s="28"/>
      <c r="G68" s="459" t="s">
        <v>16</v>
      </c>
      <c r="H68" s="460"/>
      <c r="I68" s="30" t="s">
        <v>17</v>
      </c>
      <c r="J68" s="65" t="s">
        <v>18</v>
      </c>
      <c r="K68" s="23"/>
      <c r="L68" s="23"/>
      <c r="S68" s="10"/>
      <c r="T68" s="10"/>
      <c r="U68" s="10"/>
      <c r="V68" s="10"/>
      <c r="W68" s="10"/>
      <c r="X68" s="10"/>
      <c r="Y68" s="10"/>
      <c r="Z68" s="10"/>
      <c r="AA68" s="10"/>
      <c r="AB68" s="10"/>
      <c r="AC68" s="10"/>
      <c r="AD68" s="10"/>
      <c r="AE68" s="10"/>
      <c r="AF68" s="10"/>
      <c r="AG68" s="10"/>
      <c r="AH68" s="10"/>
      <c r="AI68" s="10"/>
      <c r="AJ68" s="10"/>
      <c r="AM68" s="26"/>
      <c r="AN68" s="26"/>
      <c r="AO68" s="38"/>
      <c r="AP68" s="22"/>
      <c r="AQ68" s="22"/>
      <c r="AR68" s="22"/>
      <c r="AS68" s="22"/>
      <c r="AT68" s="22"/>
    </row>
    <row r="69" spans="1:46" ht="15.5" thickBot="1" x14ac:dyDescent="0.45">
      <c r="A69" s="23"/>
      <c r="B69" s="33"/>
      <c r="C69" s="28"/>
      <c r="D69" s="28"/>
      <c r="G69" s="966" t="s">
        <v>453</v>
      </c>
      <c r="H69" s="966"/>
      <c r="I69" s="128" t="s">
        <v>454</v>
      </c>
      <c r="J69" s="5" t="s">
        <v>455</v>
      </c>
      <c r="K69" s="23"/>
      <c r="L69" s="23"/>
      <c r="S69" s="10"/>
      <c r="T69" s="10"/>
      <c r="U69" s="10"/>
      <c r="V69" s="10"/>
      <c r="W69" s="10"/>
      <c r="X69" s="10"/>
      <c r="Y69" s="10"/>
      <c r="Z69" s="10"/>
      <c r="AA69" s="10"/>
      <c r="AB69" s="10"/>
      <c r="AC69" s="10"/>
      <c r="AD69" s="10"/>
      <c r="AE69" s="10"/>
      <c r="AF69" s="10"/>
      <c r="AG69" s="10"/>
      <c r="AH69" s="10"/>
      <c r="AI69" s="10"/>
      <c r="AJ69" s="10"/>
      <c r="AM69" s="26"/>
      <c r="AN69" s="26"/>
      <c r="AO69" s="38"/>
      <c r="AP69" s="22"/>
      <c r="AQ69" s="22"/>
      <c r="AR69" s="22"/>
      <c r="AS69" s="22"/>
      <c r="AT69" s="22"/>
    </row>
    <row r="70" spans="1:46" ht="13" x14ac:dyDescent="0.3">
      <c r="A70" s="23"/>
      <c r="B70" s="33"/>
      <c r="C70" s="28"/>
      <c r="D70" s="28"/>
      <c r="G70" s="967" t="s">
        <v>104</v>
      </c>
      <c r="H70" s="967"/>
      <c r="I70" s="967"/>
      <c r="J70" s="967"/>
      <c r="K70" s="23"/>
      <c r="L70" s="23"/>
      <c r="S70" s="10"/>
      <c r="T70" s="10"/>
      <c r="U70" s="10"/>
      <c r="V70" s="10"/>
      <c r="W70" s="10"/>
      <c r="X70" s="10"/>
      <c r="Y70" s="10"/>
      <c r="Z70" s="10"/>
      <c r="AA70" s="10"/>
      <c r="AB70" s="10"/>
      <c r="AC70" s="10"/>
      <c r="AD70" s="10"/>
      <c r="AE70" s="10"/>
      <c r="AF70" s="10"/>
      <c r="AG70" s="10"/>
      <c r="AH70" s="10"/>
      <c r="AI70" s="10"/>
      <c r="AJ70" s="10"/>
      <c r="AM70" s="26"/>
      <c r="AN70" s="26"/>
      <c r="AO70" s="38"/>
      <c r="AP70" s="22"/>
      <c r="AQ70" s="22"/>
      <c r="AR70" s="22"/>
      <c r="AS70" s="22"/>
      <c r="AT70" s="22"/>
    </row>
    <row r="71" spans="1:46" x14ac:dyDescent="0.25">
      <c r="A71" s="23"/>
      <c r="B71" s="33"/>
      <c r="C71" s="28"/>
      <c r="D71" s="28"/>
      <c r="G71" s="610" t="s">
        <v>560</v>
      </c>
      <c r="H71" s="522"/>
      <c r="I71" s="129">
        <f ca="1">IFERROR(INDIRECT(G71 &amp; "!" &amp; "$M$137"),0)</f>
        <v>0</v>
      </c>
      <c r="J71" s="131" t="str">
        <f ca="1">IFERROR(INDIRECT(G71 &amp; "!" &amp; "$M$147"),0)</f>
        <v>(8)*</v>
      </c>
      <c r="K71" s="23"/>
      <c r="L71" s="23"/>
      <c r="S71" s="10"/>
      <c r="T71" s="10"/>
      <c r="U71" s="10"/>
      <c r="V71" s="10"/>
      <c r="W71" s="10"/>
      <c r="X71" s="10"/>
      <c r="Y71" s="10"/>
      <c r="Z71" s="10"/>
      <c r="AA71" s="10"/>
      <c r="AB71" s="10"/>
      <c r="AC71" s="10"/>
      <c r="AD71" s="10"/>
      <c r="AE71" s="10"/>
      <c r="AF71" s="10"/>
      <c r="AG71" s="10"/>
      <c r="AH71" s="10"/>
      <c r="AI71" s="10"/>
      <c r="AJ71" s="10"/>
      <c r="AM71" s="26"/>
      <c r="AN71" s="26"/>
      <c r="AO71" s="38"/>
      <c r="AP71" s="22"/>
      <c r="AQ71" s="22"/>
      <c r="AR71" s="22"/>
      <c r="AS71" s="22"/>
      <c r="AT71" s="22"/>
    </row>
    <row r="72" spans="1:46" x14ac:dyDescent="0.25">
      <c r="A72" s="23"/>
      <c r="B72" s="33"/>
      <c r="C72" s="28"/>
      <c r="D72" s="28"/>
      <c r="G72" s="610" t="s">
        <v>561</v>
      </c>
      <c r="H72" s="522"/>
      <c r="I72" s="129">
        <f t="shared" ref="I72:I78" ca="1" si="40">IFERROR(INDIRECT(G72 &amp; "!" &amp; "$M$137"),0)</f>
        <v>0</v>
      </c>
      <c r="J72" s="131">
        <f t="shared" ref="J72:J78" ca="1" si="41">IFERROR(INDIRECT(G72 &amp; "!" &amp; "$M$147"),0)</f>
        <v>0</v>
      </c>
      <c r="K72" s="23"/>
      <c r="L72" s="23"/>
      <c r="S72" s="10"/>
      <c r="T72" s="10"/>
      <c r="U72" s="10"/>
      <c r="V72" s="10"/>
      <c r="W72" s="10"/>
      <c r="X72" s="10"/>
      <c r="Y72" s="10"/>
      <c r="Z72" s="10"/>
      <c r="AA72" s="10"/>
      <c r="AB72" s="10"/>
      <c r="AC72" s="10"/>
      <c r="AD72" s="10"/>
      <c r="AE72" s="10"/>
      <c r="AF72" s="10"/>
      <c r="AG72" s="10"/>
      <c r="AH72" s="10"/>
      <c r="AI72" s="10"/>
      <c r="AJ72" s="10"/>
      <c r="AM72" s="26"/>
      <c r="AN72" s="26"/>
      <c r="AO72" s="38"/>
      <c r="AP72" s="22"/>
      <c r="AQ72" s="22"/>
      <c r="AR72" s="22"/>
      <c r="AS72" s="22"/>
      <c r="AT72" s="22"/>
    </row>
    <row r="73" spans="1:46" x14ac:dyDescent="0.25">
      <c r="A73" s="23"/>
      <c r="B73" s="33"/>
      <c r="C73" s="28"/>
      <c r="D73" s="28"/>
      <c r="G73" s="610" t="s">
        <v>562</v>
      </c>
      <c r="H73" s="522"/>
      <c r="I73" s="129">
        <f t="shared" ca="1" si="40"/>
        <v>0</v>
      </c>
      <c r="J73" s="131">
        <f t="shared" ca="1" si="41"/>
        <v>0</v>
      </c>
      <c r="K73" s="23"/>
      <c r="L73" s="23"/>
      <c r="S73" s="10"/>
      <c r="T73" s="10"/>
      <c r="U73" s="10"/>
      <c r="V73" s="10"/>
      <c r="W73" s="10"/>
      <c r="X73" s="10"/>
      <c r="Y73" s="10"/>
      <c r="Z73" s="10"/>
      <c r="AA73" s="10"/>
      <c r="AB73" s="10"/>
      <c r="AC73" s="10"/>
      <c r="AD73" s="10"/>
      <c r="AE73" s="10"/>
      <c r="AF73" s="10"/>
      <c r="AG73" s="10"/>
      <c r="AH73" s="10"/>
      <c r="AI73" s="10"/>
      <c r="AJ73" s="10"/>
      <c r="AM73" s="26"/>
      <c r="AN73" s="26"/>
      <c r="AO73" s="38"/>
      <c r="AP73" s="22"/>
      <c r="AQ73" s="22"/>
      <c r="AR73" s="22"/>
      <c r="AS73" s="22"/>
      <c r="AT73" s="22"/>
    </row>
    <row r="74" spans="1:46" x14ac:dyDescent="0.25">
      <c r="A74" s="23"/>
      <c r="B74" s="33"/>
      <c r="C74" s="28"/>
      <c r="D74" s="28"/>
      <c r="G74" s="610" t="s">
        <v>563</v>
      </c>
      <c r="H74" s="522"/>
      <c r="I74" s="129">
        <f t="shared" ca="1" si="40"/>
        <v>0</v>
      </c>
      <c r="J74" s="131">
        <f t="shared" ca="1" si="41"/>
        <v>0</v>
      </c>
      <c r="K74" s="23"/>
      <c r="L74" s="23"/>
      <c r="S74" s="10"/>
      <c r="T74" s="10"/>
      <c r="U74" s="10"/>
      <c r="V74" s="10"/>
      <c r="W74" s="10"/>
      <c r="X74" s="10"/>
      <c r="Y74" s="10"/>
      <c r="Z74" s="10"/>
      <c r="AA74" s="10"/>
      <c r="AB74" s="10"/>
      <c r="AC74" s="10"/>
      <c r="AD74" s="10"/>
      <c r="AE74" s="10"/>
      <c r="AF74" s="10"/>
      <c r="AG74" s="10"/>
      <c r="AH74" s="10"/>
      <c r="AI74" s="10"/>
      <c r="AJ74" s="10"/>
      <c r="AM74" s="26"/>
      <c r="AN74" s="26"/>
      <c r="AO74" s="38"/>
      <c r="AP74" s="22"/>
      <c r="AQ74" s="22"/>
      <c r="AR74" s="22"/>
      <c r="AS74" s="22"/>
      <c r="AT74" s="22"/>
    </row>
    <row r="75" spans="1:46" x14ac:dyDescent="0.25">
      <c r="A75" s="23"/>
      <c r="B75" s="33"/>
      <c r="C75" s="28"/>
      <c r="D75" s="28"/>
      <c r="G75" s="610" t="s">
        <v>564</v>
      </c>
      <c r="H75" s="522"/>
      <c r="I75" s="129">
        <f t="shared" ca="1" si="40"/>
        <v>0</v>
      </c>
      <c r="J75" s="131">
        <f t="shared" ca="1" si="41"/>
        <v>0</v>
      </c>
      <c r="K75" s="23"/>
      <c r="L75" s="23"/>
      <c r="S75" s="10"/>
      <c r="T75" s="10"/>
      <c r="U75" s="10"/>
      <c r="V75" s="10"/>
      <c r="W75" s="10"/>
      <c r="X75" s="10"/>
      <c r="Y75" s="10"/>
      <c r="Z75" s="10"/>
      <c r="AA75" s="10"/>
      <c r="AB75" s="10"/>
      <c r="AC75" s="10"/>
      <c r="AD75" s="10"/>
      <c r="AE75" s="10"/>
      <c r="AF75" s="10"/>
      <c r="AG75" s="10"/>
      <c r="AH75" s="10"/>
      <c r="AI75" s="10"/>
      <c r="AJ75" s="10"/>
      <c r="AM75" s="26"/>
      <c r="AN75" s="26"/>
      <c r="AO75" s="38"/>
      <c r="AP75" s="22"/>
      <c r="AQ75" s="22"/>
      <c r="AR75" s="22"/>
      <c r="AS75" s="22"/>
      <c r="AT75" s="22"/>
    </row>
    <row r="76" spans="1:46" x14ac:dyDescent="0.25">
      <c r="A76" s="23"/>
      <c r="B76" s="33"/>
      <c r="C76" s="28"/>
      <c r="D76" s="28"/>
      <c r="G76" s="610" t="s">
        <v>565</v>
      </c>
      <c r="H76" s="522"/>
      <c r="I76" s="129">
        <f ca="1">IFERROR(INDIRECT(G76 &amp; "!" &amp; "$M$137"),0)</f>
        <v>0</v>
      </c>
      <c r="J76" s="131">
        <f t="shared" ca="1" si="41"/>
        <v>0</v>
      </c>
      <c r="K76" s="23"/>
      <c r="L76" s="23"/>
      <c r="S76" s="10"/>
      <c r="T76" s="10"/>
      <c r="U76" s="10"/>
      <c r="V76" s="10"/>
      <c r="W76" s="10"/>
      <c r="X76" s="10"/>
      <c r="Y76" s="10"/>
      <c r="Z76" s="10"/>
      <c r="AA76" s="10"/>
      <c r="AB76" s="10"/>
      <c r="AC76" s="10"/>
      <c r="AD76" s="10"/>
      <c r="AE76" s="10"/>
      <c r="AF76" s="10"/>
      <c r="AG76" s="10"/>
      <c r="AH76" s="10"/>
      <c r="AI76" s="10"/>
      <c r="AJ76" s="10"/>
      <c r="AM76" s="26"/>
      <c r="AN76" s="26"/>
      <c r="AO76" s="38"/>
      <c r="AP76" s="22"/>
      <c r="AQ76" s="22"/>
      <c r="AR76" s="22"/>
      <c r="AS76" s="22"/>
      <c r="AT76" s="22"/>
    </row>
    <row r="77" spans="1:46" x14ac:dyDescent="0.25">
      <c r="A77" s="23"/>
      <c r="B77" s="33"/>
      <c r="C77" s="28"/>
      <c r="D77" s="28"/>
      <c r="G77" s="610" t="s">
        <v>566</v>
      </c>
      <c r="H77" s="522"/>
      <c r="I77" s="129">
        <f t="shared" ca="1" si="40"/>
        <v>0</v>
      </c>
      <c r="J77" s="131">
        <f t="shared" ca="1" si="41"/>
        <v>0</v>
      </c>
      <c r="K77" s="23"/>
      <c r="L77" s="23"/>
      <c r="S77" s="10"/>
      <c r="T77" s="10"/>
      <c r="U77" s="10"/>
      <c r="V77" s="10"/>
      <c r="W77" s="10"/>
      <c r="X77" s="10"/>
      <c r="Y77" s="10"/>
      <c r="Z77" s="10"/>
      <c r="AA77" s="10"/>
      <c r="AB77" s="10"/>
      <c r="AC77" s="10"/>
      <c r="AD77" s="10"/>
      <c r="AE77" s="10"/>
      <c r="AF77" s="10"/>
      <c r="AG77" s="10"/>
      <c r="AH77" s="10"/>
      <c r="AI77" s="10"/>
      <c r="AJ77" s="10"/>
      <c r="AM77" s="26"/>
      <c r="AN77" s="26"/>
      <c r="AO77" s="38"/>
      <c r="AP77" s="22"/>
      <c r="AQ77" s="22"/>
      <c r="AR77" s="22"/>
      <c r="AS77" s="22"/>
      <c r="AT77" s="22"/>
    </row>
    <row r="78" spans="1:46" x14ac:dyDescent="0.25">
      <c r="A78" s="23"/>
      <c r="B78" s="33"/>
      <c r="C78" s="28"/>
      <c r="D78" s="28"/>
      <c r="G78" s="610" t="s">
        <v>567</v>
      </c>
      <c r="H78" s="522"/>
      <c r="I78" s="129">
        <f t="shared" ca="1" si="40"/>
        <v>0</v>
      </c>
      <c r="J78" s="131">
        <f t="shared" ca="1" si="41"/>
        <v>0</v>
      </c>
      <c r="K78" s="23"/>
      <c r="L78" s="23"/>
      <c r="S78" s="10"/>
      <c r="T78" s="10"/>
      <c r="U78" s="10"/>
      <c r="V78" s="10"/>
      <c r="W78" s="10"/>
      <c r="X78" s="10"/>
      <c r="Y78" s="10"/>
      <c r="Z78" s="10"/>
      <c r="AA78" s="10"/>
      <c r="AB78" s="10"/>
      <c r="AC78" s="10"/>
      <c r="AD78" s="10"/>
      <c r="AE78" s="10"/>
      <c r="AF78" s="10"/>
      <c r="AG78" s="10"/>
      <c r="AH78" s="10"/>
      <c r="AI78" s="10"/>
      <c r="AJ78" s="10"/>
      <c r="AM78" s="26"/>
      <c r="AN78" s="26"/>
      <c r="AO78" s="38"/>
      <c r="AP78" s="22"/>
      <c r="AQ78" s="22"/>
      <c r="AR78" s="22"/>
      <c r="AS78" s="22"/>
      <c r="AT78" s="22"/>
    </row>
    <row r="79" spans="1:46" ht="13" x14ac:dyDescent="0.3">
      <c r="A79" s="23"/>
      <c r="B79" s="33"/>
      <c r="C79" s="28"/>
      <c r="D79" s="28"/>
      <c r="G79" s="499" t="s">
        <v>105</v>
      </c>
      <c r="H79" s="497"/>
      <c r="I79" s="497"/>
      <c r="J79" s="498"/>
      <c r="K79" s="23"/>
      <c r="L79" s="23"/>
      <c r="S79" s="10"/>
      <c r="T79" s="10"/>
      <c r="U79" s="10"/>
      <c r="V79" s="10"/>
      <c r="W79" s="10"/>
      <c r="X79" s="10"/>
      <c r="Y79" s="10"/>
      <c r="Z79" s="10"/>
      <c r="AA79" s="10"/>
      <c r="AB79" s="10"/>
      <c r="AC79" s="10"/>
      <c r="AD79" s="10"/>
      <c r="AE79" s="10"/>
      <c r="AF79" s="10"/>
      <c r="AG79" s="10"/>
      <c r="AH79" s="10"/>
      <c r="AI79" s="10"/>
      <c r="AJ79" s="10"/>
      <c r="AM79" s="26"/>
      <c r="AN79" s="26"/>
      <c r="AO79" s="38"/>
      <c r="AP79" s="22"/>
      <c r="AQ79" s="22"/>
      <c r="AR79" s="22"/>
      <c r="AS79" s="22"/>
      <c r="AT79" s="22"/>
    </row>
    <row r="80" spans="1:46" x14ac:dyDescent="0.25">
      <c r="A80" s="23"/>
      <c r="B80" s="33"/>
      <c r="C80" s="28"/>
      <c r="D80" s="28"/>
      <c r="G80" s="610" t="s">
        <v>568</v>
      </c>
      <c r="H80" s="522"/>
      <c r="I80" s="129">
        <f ca="1">IFERROR(INDIRECT(G80 &amp; "!" &amp; "$F$170"),0)</f>
        <v>0.13576752276819248</v>
      </c>
      <c r="J80" s="131">
        <f ca="1">IFERROR(INDIRECT(G80 &amp; "!" &amp; "$F$171"),0)</f>
        <v>0</v>
      </c>
      <c r="K80" s="23"/>
      <c r="L80" s="23"/>
      <c r="S80" s="10"/>
      <c r="T80" s="10"/>
      <c r="U80" s="10"/>
      <c r="V80" s="10"/>
      <c r="W80" s="10"/>
      <c r="X80" s="10"/>
      <c r="Y80" s="10"/>
      <c r="Z80" s="10"/>
      <c r="AA80" s="10"/>
      <c r="AB80" s="10"/>
      <c r="AC80" s="10"/>
      <c r="AD80" s="10"/>
      <c r="AE80" s="10"/>
      <c r="AF80" s="10"/>
      <c r="AG80" s="10"/>
      <c r="AH80" s="10"/>
      <c r="AI80" s="10"/>
      <c r="AJ80" s="10"/>
      <c r="AM80" s="26"/>
      <c r="AN80" s="26"/>
      <c r="AO80" s="38"/>
      <c r="AP80" s="22"/>
      <c r="AQ80" s="22"/>
      <c r="AR80" s="22"/>
      <c r="AS80" s="22"/>
      <c r="AT80" s="22"/>
    </row>
    <row r="81" spans="1:46" x14ac:dyDescent="0.25">
      <c r="A81" s="23"/>
      <c r="B81" s="33"/>
      <c r="C81" s="28"/>
      <c r="D81" s="28"/>
      <c r="G81" s="965" t="s">
        <v>569</v>
      </c>
      <c r="H81" s="522"/>
      <c r="I81" s="129">
        <f t="shared" ref="I81:I87" ca="1" si="42">IFERROR(INDIRECT(G81 &amp; "!" &amp; "$F$170"),0)</f>
        <v>0</v>
      </c>
      <c r="J81" s="131">
        <f t="shared" ref="J81:J87" ca="1" si="43">IFERROR(INDIRECT(G81 &amp; "!" &amp; "$F$171"),0)</f>
        <v>0</v>
      </c>
      <c r="K81" s="23"/>
      <c r="L81" s="23"/>
      <c r="S81" s="10"/>
      <c r="T81" s="10"/>
      <c r="U81" s="10"/>
      <c r="V81" s="10"/>
      <c r="W81" s="10"/>
      <c r="X81" s="10"/>
      <c r="Y81" s="10"/>
      <c r="Z81" s="10"/>
      <c r="AA81" s="10"/>
      <c r="AB81" s="10"/>
      <c r="AC81" s="10"/>
      <c r="AD81" s="10"/>
      <c r="AE81" s="10"/>
      <c r="AF81" s="10"/>
      <c r="AG81" s="10"/>
      <c r="AH81" s="10"/>
      <c r="AI81" s="10"/>
      <c r="AJ81" s="10"/>
      <c r="AM81" s="26"/>
      <c r="AN81" s="26"/>
      <c r="AO81" s="38"/>
      <c r="AP81" s="22"/>
      <c r="AQ81" s="22"/>
      <c r="AR81" s="22"/>
      <c r="AS81" s="22"/>
      <c r="AT81" s="22"/>
    </row>
    <row r="82" spans="1:46" x14ac:dyDescent="0.25">
      <c r="A82" s="23"/>
      <c r="B82" s="33"/>
      <c r="C82" s="28"/>
      <c r="D82" s="28"/>
      <c r="G82" s="610" t="s">
        <v>570</v>
      </c>
      <c r="H82" s="522"/>
      <c r="I82" s="129">
        <f t="shared" ca="1" si="42"/>
        <v>0</v>
      </c>
      <c r="J82" s="131">
        <f t="shared" ca="1" si="43"/>
        <v>0</v>
      </c>
      <c r="K82" s="23"/>
      <c r="L82" s="23"/>
      <c r="S82" s="10"/>
      <c r="T82" s="10"/>
      <c r="U82" s="10"/>
      <c r="V82" s="10"/>
      <c r="W82" s="10"/>
      <c r="X82" s="10"/>
      <c r="Y82" s="10"/>
      <c r="Z82" s="10"/>
      <c r="AA82" s="10"/>
      <c r="AB82" s="10"/>
      <c r="AC82" s="10"/>
      <c r="AD82" s="10"/>
      <c r="AE82" s="10"/>
      <c r="AF82" s="10"/>
      <c r="AG82" s="10"/>
      <c r="AH82" s="10"/>
      <c r="AI82" s="10"/>
      <c r="AJ82" s="10"/>
      <c r="AM82" s="26"/>
      <c r="AN82" s="26"/>
      <c r="AO82" s="38"/>
      <c r="AP82" s="22"/>
      <c r="AQ82" s="22"/>
      <c r="AR82" s="22"/>
      <c r="AS82" s="22"/>
      <c r="AT82" s="22"/>
    </row>
    <row r="83" spans="1:46" x14ac:dyDescent="0.25">
      <c r="A83" s="23"/>
      <c r="B83" s="33"/>
      <c r="C83" s="28"/>
      <c r="D83" s="28"/>
      <c r="G83" s="965" t="s">
        <v>571</v>
      </c>
      <c r="H83" s="522"/>
      <c r="I83" s="129">
        <f t="shared" ca="1" si="42"/>
        <v>0</v>
      </c>
      <c r="J83" s="131">
        <f t="shared" ca="1" si="43"/>
        <v>0</v>
      </c>
      <c r="K83" s="23"/>
      <c r="L83" s="23"/>
      <c r="S83" s="10"/>
      <c r="T83" s="10"/>
      <c r="U83" s="10"/>
      <c r="V83" s="10"/>
      <c r="W83" s="10"/>
      <c r="X83" s="10"/>
      <c r="Y83" s="10"/>
      <c r="Z83" s="10"/>
      <c r="AA83" s="10"/>
      <c r="AB83" s="10"/>
      <c r="AC83" s="10"/>
      <c r="AD83" s="10"/>
      <c r="AE83" s="10"/>
      <c r="AF83" s="10"/>
      <c r="AG83" s="10"/>
      <c r="AH83" s="10"/>
      <c r="AI83" s="10"/>
      <c r="AJ83" s="10"/>
      <c r="AM83" s="26"/>
      <c r="AN83" s="26"/>
      <c r="AO83" s="38"/>
      <c r="AP83" s="22"/>
      <c r="AQ83" s="22"/>
      <c r="AR83" s="22"/>
      <c r="AS83" s="22"/>
      <c r="AT83" s="22"/>
    </row>
    <row r="84" spans="1:46" x14ac:dyDescent="0.25">
      <c r="A84" s="23"/>
      <c r="B84" s="33"/>
      <c r="C84" s="28"/>
      <c r="D84" s="28"/>
      <c r="G84" s="610" t="s">
        <v>572</v>
      </c>
      <c r="H84" s="522"/>
      <c r="I84" s="129">
        <f t="shared" ca="1" si="42"/>
        <v>0</v>
      </c>
      <c r="J84" s="131">
        <f t="shared" ca="1" si="43"/>
        <v>0</v>
      </c>
      <c r="K84" s="23"/>
      <c r="L84" s="23"/>
      <c r="S84" s="10"/>
      <c r="T84" s="10"/>
      <c r="U84" s="10"/>
      <c r="V84" s="10"/>
      <c r="W84" s="10"/>
      <c r="X84" s="10"/>
      <c r="Y84" s="10"/>
      <c r="Z84" s="10"/>
      <c r="AA84" s="10"/>
      <c r="AB84" s="10"/>
      <c r="AC84" s="10"/>
      <c r="AD84" s="10"/>
      <c r="AE84" s="10"/>
      <c r="AF84" s="10"/>
      <c r="AG84" s="10"/>
      <c r="AH84" s="10"/>
      <c r="AI84" s="10"/>
      <c r="AJ84" s="10"/>
      <c r="AM84" s="26"/>
      <c r="AN84" s="26"/>
      <c r="AO84" s="38"/>
      <c r="AP84" s="22"/>
      <c r="AQ84" s="22"/>
      <c r="AR84" s="22"/>
      <c r="AS84" s="22"/>
      <c r="AT84" s="22"/>
    </row>
    <row r="85" spans="1:46" x14ac:dyDescent="0.25">
      <c r="A85" s="23"/>
      <c r="B85" s="33"/>
      <c r="C85" s="28"/>
      <c r="D85" s="28"/>
      <c r="G85" s="965" t="s">
        <v>573</v>
      </c>
      <c r="H85" s="522"/>
      <c r="I85" s="129">
        <f t="shared" ca="1" si="42"/>
        <v>0</v>
      </c>
      <c r="J85" s="131">
        <f t="shared" ca="1" si="43"/>
        <v>0</v>
      </c>
      <c r="K85" s="23"/>
      <c r="L85" s="23"/>
      <c r="S85" s="10"/>
      <c r="T85" s="10"/>
      <c r="U85" s="10"/>
      <c r="V85" s="10"/>
      <c r="W85" s="10"/>
      <c r="X85" s="10"/>
      <c r="Y85" s="10"/>
      <c r="Z85" s="10"/>
      <c r="AA85" s="10"/>
      <c r="AB85" s="10"/>
      <c r="AC85" s="10"/>
      <c r="AD85" s="10"/>
      <c r="AE85" s="10"/>
      <c r="AF85" s="10"/>
      <c r="AG85" s="10"/>
      <c r="AH85" s="10"/>
      <c r="AI85" s="10"/>
      <c r="AJ85" s="10"/>
      <c r="AM85" s="26"/>
      <c r="AN85" s="26"/>
      <c r="AO85" s="38"/>
      <c r="AP85" s="22"/>
      <c r="AQ85" s="22"/>
      <c r="AR85" s="22"/>
      <c r="AS85" s="22"/>
      <c r="AT85" s="22"/>
    </row>
    <row r="86" spans="1:46" x14ac:dyDescent="0.25">
      <c r="A86" s="23"/>
      <c r="B86" s="33"/>
      <c r="C86" s="28"/>
      <c r="D86" s="28"/>
      <c r="G86" s="610" t="s">
        <v>574</v>
      </c>
      <c r="H86" s="522"/>
      <c r="I86" s="129">
        <f t="shared" ca="1" si="42"/>
        <v>0</v>
      </c>
      <c r="J86" s="131">
        <f t="shared" ca="1" si="43"/>
        <v>0</v>
      </c>
      <c r="K86" s="23"/>
      <c r="L86" s="23"/>
      <c r="S86" s="10"/>
      <c r="T86" s="10"/>
      <c r="U86" s="10"/>
      <c r="V86" s="10"/>
      <c r="W86" s="10"/>
      <c r="X86" s="10"/>
      <c r="Y86" s="10"/>
      <c r="Z86" s="10"/>
      <c r="AA86" s="10"/>
      <c r="AB86" s="10"/>
      <c r="AC86" s="10"/>
      <c r="AD86" s="10"/>
      <c r="AE86" s="10"/>
      <c r="AF86" s="10"/>
      <c r="AG86" s="10"/>
      <c r="AH86" s="10"/>
      <c r="AI86" s="10"/>
      <c r="AJ86" s="10"/>
      <c r="AM86" s="26"/>
      <c r="AN86" s="26"/>
      <c r="AO86" s="38"/>
      <c r="AP86" s="22"/>
      <c r="AQ86" s="22"/>
      <c r="AR86" s="22"/>
      <c r="AS86" s="22"/>
      <c r="AT86" s="22"/>
    </row>
    <row r="87" spans="1:46" ht="13.5" thickBot="1" x14ac:dyDescent="0.3">
      <c r="A87" s="32"/>
      <c r="B87" s="33"/>
      <c r="C87" s="54"/>
      <c r="D87" s="32"/>
      <c r="G87" s="963" t="s">
        <v>575</v>
      </c>
      <c r="H87" s="964"/>
      <c r="I87" s="129">
        <f t="shared" ca="1" si="42"/>
        <v>0</v>
      </c>
      <c r="J87" s="131">
        <f t="shared" ca="1" si="43"/>
        <v>0</v>
      </c>
      <c r="K87" s="32"/>
      <c r="L87" s="32"/>
      <c r="S87" s="10"/>
      <c r="T87" s="10"/>
      <c r="U87" s="10"/>
      <c r="V87" s="10"/>
      <c r="W87" s="10"/>
      <c r="X87" s="10"/>
      <c r="Y87" s="10"/>
      <c r="Z87" s="10"/>
      <c r="AA87" s="10"/>
      <c r="AB87" s="10"/>
      <c r="AC87" s="10"/>
      <c r="AD87" s="10"/>
      <c r="AE87" s="10"/>
      <c r="AF87" s="10"/>
      <c r="AG87" s="10"/>
      <c r="AH87" s="10"/>
      <c r="AI87" s="10"/>
      <c r="AJ87" s="10"/>
      <c r="AM87" s="57"/>
      <c r="AN87" s="57"/>
      <c r="AO87" s="17"/>
      <c r="AP87" s="17"/>
      <c r="AQ87" s="17"/>
      <c r="AR87" s="17"/>
      <c r="AS87" s="17"/>
      <c r="AT87" s="17"/>
    </row>
    <row r="88" spans="1:46" ht="13.5" thickTop="1" thickBot="1" x14ac:dyDescent="0.3">
      <c r="B88" s="33"/>
      <c r="C88" s="21"/>
      <c r="D88" s="1"/>
      <c r="G88" s="1015" t="s">
        <v>101</v>
      </c>
      <c r="H88" s="1016"/>
      <c r="I88" s="132">
        <f ca="1">SUM($I$71:$I$78,$I$80:$I$87)</f>
        <v>0.13576752276819248</v>
      </c>
      <c r="J88" s="132">
        <f ca="1">SUM($J$71:$J$78,$J$80:$J$87)</f>
        <v>0</v>
      </c>
      <c r="K88" s="1"/>
      <c r="S88" s="10"/>
      <c r="T88" s="10"/>
      <c r="U88" s="10"/>
      <c r="V88" s="10"/>
      <c r="W88" s="10"/>
      <c r="X88" s="10"/>
      <c r="Y88" s="10"/>
      <c r="Z88" s="10"/>
      <c r="AA88" s="10"/>
      <c r="AB88" s="10"/>
      <c r="AC88" s="10"/>
      <c r="AD88" s="10"/>
      <c r="AE88" s="10"/>
      <c r="AF88" s="10"/>
      <c r="AG88" s="10"/>
      <c r="AH88" s="10"/>
      <c r="AI88" s="10"/>
      <c r="AJ88" s="10"/>
      <c r="AM88" s="9"/>
      <c r="AN88" s="17"/>
      <c r="AO88" s="17"/>
      <c r="AP88" s="17"/>
      <c r="AQ88" s="17"/>
      <c r="AR88" s="17"/>
      <c r="AS88" s="17"/>
      <c r="AT88" s="17"/>
    </row>
    <row r="89" spans="1:46" x14ac:dyDescent="0.25">
      <c r="B89" s="33"/>
      <c r="C89" s="21"/>
      <c r="D89" s="1"/>
      <c r="G89" s="134"/>
      <c r="H89" s="17"/>
      <c r="I89" s="135"/>
      <c r="J89" s="135"/>
      <c r="K89" s="1"/>
      <c r="S89" s="10"/>
      <c r="T89" s="10"/>
      <c r="U89" s="10"/>
      <c r="V89" s="10"/>
      <c r="W89" s="10"/>
      <c r="X89" s="10"/>
      <c r="Y89" s="10"/>
      <c r="Z89" s="10"/>
      <c r="AA89" s="10"/>
      <c r="AB89" s="10"/>
      <c r="AC89" s="10"/>
      <c r="AD89" s="10"/>
      <c r="AE89" s="10"/>
      <c r="AF89" s="10"/>
      <c r="AG89" s="10"/>
      <c r="AH89" s="10"/>
      <c r="AI89" s="10"/>
      <c r="AJ89" s="10"/>
      <c r="AM89" s="9"/>
      <c r="AN89" s="17"/>
      <c r="AO89" s="17"/>
      <c r="AP89" s="17"/>
      <c r="AQ89" s="17"/>
      <c r="AR89" s="17"/>
      <c r="AS89" s="17"/>
      <c r="AT89" s="17"/>
    </row>
    <row r="90" spans="1:46" x14ac:dyDescent="0.25">
      <c r="B90" s="33"/>
      <c r="C90" s="38"/>
      <c r="D90" s="38"/>
      <c r="E90" s="38"/>
      <c r="F90" s="39"/>
      <c r="G90" s="26"/>
      <c r="H90" s="39"/>
      <c r="J90" s="1"/>
      <c r="K90" s="1"/>
      <c r="L90" s="38"/>
      <c r="M90" s="1"/>
      <c r="P90" s="44"/>
      <c r="S90" s="10"/>
      <c r="T90" s="10"/>
      <c r="U90" s="10"/>
      <c r="V90" s="10"/>
      <c r="W90" s="10"/>
      <c r="X90" s="10"/>
      <c r="Y90" s="10"/>
      <c r="Z90" s="10"/>
      <c r="AA90" s="10"/>
      <c r="AB90" s="10"/>
      <c r="AC90" s="10"/>
      <c r="AD90" s="10"/>
      <c r="AE90" s="10"/>
      <c r="AF90" s="10"/>
      <c r="AG90" s="10"/>
      <c r="AH90" s="10"/>
      <c r="AI90" s="10"/>
      <c r="AJ90" s="10"/>
      <c r="AM90" s="64"/>
      <c r="AN90" s="57"/>
      <c r="AO90" s="17"/>
      <c r="AP90" s="17"/>
      <c r="AQ90" s="17"/>
      <c r="AR90" s="17"/>
      <c r="AS90" s="17"/>
      <c r="AT90" s="17"/>
    </row>
    <row r="91" spans="1:46" ht="13" thickBot="1" x14ac:dyDescent="0.3">
      <c r="B91" s="33"/>
      <c r="C91" s="21"/>
      <c r="D91" s="1"/>
      <c r="E91" s="1"/>
      <c r="K91" s="22"/>
      <c r="L91" s="24"/>
      <c r="M91" s="1"/>
      <c r="P91" s="44"/>
      <c r="S91" s="10"/>
      <c r="T91" s="10"/>
      <c r="U91" s="10"/>
      <c r="V91" s="10"/>
      <c r="W91" s="10"/>
      <c r="X91" s="10"/>
      <c r="Y91" s="10"/>
      <c r="Z91" s="10"/>
      <c r="AA91" s="10"/>
      <c r="AB91" s="10"/>
      <c r="AC91" s="10"/>
      <c r="AD91" s="10"/>
      <c r="AE91" s="10"/>
      <c r="AF91" s="10"/>
      <c r="AG91" s="10"/>
      <c r="AH91" s="10"/>
      <c r="AI91" s="10"/>
      <c r="AJ91" s="10"/>
      <c r="AM91" s="17"/>
      <c r="AN91" s="17"/>
      <c r="AO91" s="17"/>
      <c r="AP91" s="17"/>
      <c r="AQ91" s="17"/>
      <c r="AR91" s="17"/>
      <c r="AS91" s="17"/>
      <c r="AT91" s="17"/>
    </row>
    <row r="92" spans="1:46" ht="13.5" thickTop="1" x14ac:dyDescent="0.3">
      <c r="C92" s="969" t="s">
        <v>474</v>
      </c>
      <c r="D92" s="1017"/>
      <c r="E92" s="1017"/>
      <c r="F92" s="1017"/>
      <c r="G92" s="1017"/>
      <c r="H92" s="1017"/>
      <c r="I92" s="1017"/>
      <c r="J92" s="1017"/>
      <c r="K92" s="1017"/>
      <c r="L92" s="1017"/>
      <c r="M92" s="1017"/>
      <c r="N92" s="1017"/>
      <c r="P92" s="43"/>
      <c r="Q92" s="1"/>
      <c r="R92" s="1"/>
      <c r="S92" s="1"/>
      <c r="T92" s="1"/>
      <c r="U92" s="1"/>
      <c r="V92" s="1"/>
      <c r="W92" s="1"/>
      <c r="X92" s="1"/>
      <c r="Y92" s="1"/>
      <c r="Z92" s="1"/>
      <c r="AA92" s="1"/>
      <c r="AB92" s="5"/>
      <c r="AC92" s="5"/>
      <c r="AD92" s="5"/>
      <c r="AE92" s="5"/>
      <c r="AF92" s="5"/>
      <c r="AG92" s="5"/>
      <c r="AH92" s="5"/>
      <c r="AI92" s="5"/>
      <c r="AJ92" s="5"/>
      <c r="AM92" s="17"/>
      <c r="AN92" s="17"/>
      <c r="AO92" s="17"/>
      <c r="AP92" s="17"/>
      <c r="AQ92" s="17"/>
      <c r="AR92" s="17"/>
      <c r="AS92" s="17"/>
      <c r="AT92" s="17"/>
    </row>
    <row r="93" spans="1:46" ht="13" thickBot="1" x14ac:dyDescent="0.3">
      <c r="C93" s="1018"/>
      <c r="D93" s="1018"/>
      <c r="E93" s="1018"/>
      <c r="F93" s="1018"/>
      <c r="G93" s="1018"/>
      <c r="H93" s="1018"/>
      <c r="I93" s="1018"/>
      <c r="J93" s="1018"/>
      <c r="K93" s="1018"/>
      <c r="L93" s="1018"/>
      <c r="M93" s="1018"/>
      <c r="N93" s="1018"/>
      <c r="P93" s="44"/>
      <c r="S93" s="10"/>
      <c r="T93" s="10"/>
      <c r="U93" s="10"/>
      <c r="V93" s="10"/>
      <c r="W93" s="10"/>
      <c r="X93" s="10"/>
      <c r="Y93" s="10"/>
      <c r="Z93" s="10"/>
      <c r="AA93" s="10"/>
      <c r="AB93" s="10"/>
      <c r="AC93" s="10"/>
      <c r="AD93" s="10"/>
      <c r="AE93" s="10"/>
      <c r="AF93" s="10"/>
      <c r="AG93" s="10"/>
      <c r="AH93" s="10"/>
      <c r="AI93" s="10"/>
      <c r="AJ93" s="10"/>
      <c r="AM93" s="17"/>
      <c r="AN93" s="17"/>
      <c r="AO93" s="17"/>
      <c r="AP93" s="17"/>
      <c r="AQ93" s="17"/>
      <c r="AR93" s="17"/>
      <c r="AS93" s="17"/>
      <c r="AT93" s="17"/>
    </row>
    <row r="94" spans="1:46" ht="13" x14ac:dyDescent="0.25">
      <c r="C94" s="989" t="s">
        <v>16</v>
      </c>
      <c r="D94" s="981"/>
      <c r="E94" s="980" t="s">
        <v>17</v>
      </c>
      <c r="F94" s="981"/>
      <c r="G94" s="980" t="s">
        <v>18</v>
      </c>
      <c r="H94" s="981"/>
      <c r="I94" s="980" t="s">
        <v>19</v>
      </c>
      <c r="J94" s="981"/>
      <c r="K94" s="980" t="s">
        <v>20</v>
      </c>
      <c r="L94" s="981"/>
      <c r="M94" s="810" t="s">
        <v>21</v>
      </c>
      <c r="N94" s="543"/>
      <c r="P94" s="44"/>
      <c r="S94" s="46"/>
      <c r="T94" s="10"/>
      <c r="U94" s="10"/>
      <c r="V94" s="10"/>
      <c r="W94" s="10"/>
      <c r="X94" s="10"/>
      <c r="Y94" s="10"/>
      <c r="Z94" s="10"/>
      <c r="AA94" s="10"/>
      <c r="AB94" s="46"/>
      <c r="AC94" s="10"/>
      <c r="AD94" s="10"/>
      <c r="AE94" s="10"/>
      <c r="AF94" s="10"/>
      <c r="AG94" s="10"/>
      <c r="AH94" s="10"/>
      <c r="AI94" s="10"/>
      <c r="AJ94" s="10"/>
      <c r="AM94" s="32"/>
      <c r="AN94" s="27"/>
      <c r="AO94" s="27"/>
      <c r="AP94" s="27"/>
      <c r="AQ94" s="27"/>
      <c r="AR94" s="27"/>
      <c r="AS94" s="49"/>
    </row>
    <row r="95" spans="1:46" ht="15" x14ac:dyDescent="0.4">
      <c r="C95" s="987" t="s">
        <v>39</v>
      </c>
      <c r="D95" s="988"/>
      <c r="E95" s="990" t="s">
        <v>120</v>
      </c>
      <c r="F95" s="991"/>
      <c r="G95" s="990" t="s">
        <v>458</v>
      </c>
      <c r="H95" s="991"/>
      <c r="I95" s="990" t="s">
        <v>461</v>
      </c>
      <c r="J95" s="991"/>
      <c r="K95" s="995" t="s">
        <v>520</v>
      </c>
      <c r="L95" s="1000"/>
      <c r="M95" s="995" t="s">
        <v>121</v>
      </c>
      <c r="N95" s="996"/>
      <c r="P95" s="44"/>
      <c r="S95" s="46"/>
      <c r="T95" s="10"/>
      <c r="U95" s="10"/>
      <c r="V95" s="10"/>
      <c r="W95" s="10"/>
      <c r="X95" s="10"/>
      <c r="Y95" s="10"/>
      <c r="Z95" s="10"/>
      <c r="AA95" s="10"/>
      <c r="AB95" s="46"/>
      <c r="AC95" s="10"/>
      <c r="AD95" s="10"/>
      <c r="AE95" s="10"/>
      <c r="AF95" s="10"/>
      <c r="AG95" s="10"/>
      <c r="AH95" s="10"/>
      <c r="AI95" s="10"/>
      <c r="AJ95" s="10"/>
      <c r="AM95" s="32"/>
      <c r="AN95" s="27"/>
      <c r="AO95" s="27"/>
      <c r="AP95" s="27"/>
      <c r="AQ95" s="27"/>
      <c r="AR95" s="27"/>
      <c r="AS95" s="49"/>
    </row>
    <row r="96" spans="1:46" ht="15.5" x14ac:dyDescent="0.25">
      <c r="C96" s="973" t="s">
        <v>31</v>
      </c>
      <c r="D96" s="974"/>
      <c r="E96" s="959" t="s">
        <v>125</v>
      </c>
      <c r="F96" s="960"/>
      <c r="G96" s="959" t="s">
        <v>475</v>
      </c>
      <c r="H96" s="960"/>
      <c r="I96" s="959" t="s">
        <v>476</v>
      </c>
      <c r="J96" s="960"/>
      <c r="K96" s="959" t="s">
        <v>477</v>
      </c>
      <c r="L96" s="984"/>
      <c r="M96" s="1001" t="s">
        <v>464</v>
      </c>
      <c r="N96" s="1002"/>
      <c r="P96" s="44"/>
      <c r="S96" s="46"/>
      <c r="T96" s="10"/>
      <c r="U96" s="10"/>
      <c r="V96" s="10"/>
      <c r="W96" s="10"/>
      <c r="X96" s="10"/>
      <c r="Y96" s="10"/>
      <c r="Z96" s="10"/>
      <c r="AA96" s="10"/>
      <c r="AB96" s="46"/>
      <c r="AC96" s="10"/>
      <c r="AD96" s="10"/>
      <c r="AE96" s="10"/>
      <c r="AF96" s="10"/>
      <c r="AG96" s="10"/>
      <c r="AH96" s="10"/>
      <c r="AI96" s="10"/>
      <c r="AJ96" s="10"/>
      <c r="AM96" s="32"/>
      <c r="AN96" s="27"/>
      <c r="AO96" s="27"/>
      <c r="AP96" s="27"/>
      <c r="AQ96" s="27"/>
      <c r="AR96" s="27"/>
      <c r="AS96" s="49"/>
    </row>
    <row r="97" spans="1:54" ht="13" x14ac:dyDescent="0.3">
      <c r="C97" s="975"/>
      <c r="D97" s="976"/>
      <c r="E97" s="503">
        <f ca="1">+D62</f>
        <v>0</v>
      </c>
      <c r="F97" s="613"/>
      <c r="G97" s="961">
        <f ca="1">+I88</f>
        <v>0.13576752276819248</v>
      </c>
      <c r="H97" s="962"/>
      <c r="I97" s="961">
        <f ca="1">+J88</f>
        <v>0</v>
      </c>
      <c r="J97" s="999"/>
      <c r="K97" s="503" t="e">
        <f ca="1">+O62</f>
        <v>#VALUE!</v>
      </c>
      <c r="L97" s="872"/>
      <c r="M97" s="503" t="e">
        <f ca="1">+G97+I97+K97</f>
        <v>#VALUE!</v>
      </c>
      <c r="N97" s="872"/>
      <c r="P97" s="44"/>
      <c r="S97" s="10"/>
      <c r="T97" s="10"/>
      <c r="U97" s="10"/>
      <c r="V97" s="10"/>
      <c r="W97" s="10"/>
      <c r="X97" s="10"/>
      <c r="Y97" s="10"/>
      <c r="Z97" s="10"/>
      <c r="AA97" s="10"/>
      <c r="AB97" s="10"/>
      <c r="AC97" s="10"/>
      <c r="AD97" s="10"/>
      <c r="AE97" s="10"/>
      <c r="AF97" s="10"/>
      <c r="AG97" s="10"/>
      <c r="AH97" s="10"/>
      <c r="AI97" s="10"/>
      <c r="AJ97" s="10"/>
      <c r="AM97" s="27"/>
      <c r="AN97" s="27"/>
      <c r="AO97" s="27"/>
      <c r="AP97" s="27"/>
      <c r="AQ97" s="27"/>
      <c r="AR97" s="27"/>
      <c r="AS97" s="49"/>
      <c r="AT97" s="35"/>
      <c r="AU97" s="35"/>
      <c r="AV97" s="35"/>
      <c r="AW97" s="35"/>
      <c r="AX97" s="35"/>
      <c r="AY97" s="35"/>
      <c r="AZ97" s="35"/>
      <c r="BA97" s="35"/>
      <c r="BB97" s="35"/>
    </row>
    <row r="98" spans="1:54" ht="15.5" x14ac:dyDescent="0.3">
      <c r="C98" s="973" t="s">
        <v>122</v>
      </c>
      <c r="D98" s="974"/>
      <c r="E98" s="959" t="s">
        <v>126</v>
      </c>
      <c r="F98" s="960"/>
      <c r="G98" s="959" t="s">
        <v>475</v>
      </c>
      <c r="H98" s="960"/>
      <c r="I98" s="959" t="s">
        <v>476</v>
      </c>
      <c r="J98" s="960"/>
      <c r="K98" s="959" t="s">
        <v>463</v>
      </c>
      <c r="L98" s="984"/>
      <c r="M98" s="1001" t="s">
        <v>464</v>
      </c>
      <c r="N98" s="1002"/>
      <c r="P98" s="44"/>
      <c r="S98" s="10"/>
      <c r="T98" s="10"/>
      <c r="U98" s="10"/>
      <c r="V98" s="10"/>
      <c r="W98" s="10"/>
      <c r="X98" s="10"/>
      <c r="Y98" s="10"/>
      <c r="Z98" s="10"/>
      <c r="AA98" s="10"/>
      <c r="AB98" s="10"/>
      <c r="AC98" s="10"/>
      <c r="AD98" s="10"/>
      <c r="AE98" s="10"/>
      <c r="AF98" s="10"/>
      <c r="AG98" s="10"/>
      <c r="AH98" s="10"/>
      <c r="AI98" s="10"/>
      <c r="AJ98" s="10"/>
      <c r="AM98" s="25"/>
      <c r="AP98" s="5"/>
      <c r="AT98" s="1"/>
      <c r="AY98" s="1"/>
      <c r="AZ98" s="1"/>
      <c r="BA98" s="1"/>
      <c r="BB98" s="1"/>
    </row>
    <row r="99" spans="1:54" ht="13" x14ac:dyDescent="0.3">
      <c r="C99" s="975"/>
      <c r="D99" s="976"/>
      <c r="E99" s="503">
        <f ca="1">+E62</f>
        <v>0</v>
      </c>
      <c r="F99" s="613"/>
      <c r="G99" s="995">
        <f ca="1">+I88</f>
        <v>0.13576752276819248</v>
      </c>
      <c r="H99" s="996"/>
      <c r="I99" s="995">
        <f ca="1">+J88</f>
        <v>0</v>
      </c>
      <c r="J99" s="1000"/>
      <c r="K99" s="503" t="e">
        <f ca="1">+$K$97*$E$99/$E$97</f>
        <v>#VALUE!</v>
      </c>
      <c r="L99" s="872"/>
      <c r="M99" s="503" t="e">
        <f ca="1">+G99+I99+K99</f>
        <v>#VALUE!</v>
      </c>
      <c r="N99" s="872"/>
      <c r="P99" s="44"/>
      <c r="S99" s="10"/>
      <c r="T99" s="10"/>
      <c r="U99" s="10"/>
      <c r="V99" s="10"/>
      <c r="W99" s="10"/>
      <c r="X99" s="10"/>
      <c r="Y99" s="10"/>
      <c r="Z99" s="10"/>
      <c r="AA99" s="10"/>
      <c r="AB99" s="10"/>
      <c r="AC99" s="10"/>
      <c r="AD99" s="10"/>
      <c r="AE99" s="10"/>
      <c r="AF99" s="10"/>
      <c r="AG99" s="10"/>
      <c r="AH99" s="10"/>
      <c r="AI99" s="10"/>
      <c r="AJ99" s="10"/>
      <c r="AM99" s="34"/>
      <c r="AN99" s="33"/>
      <c r="AO99" s="1"/>
      <c r="AP99" s="8"/>
      <c r="AQ99" s="5"/>
      <c r="AR99" s="35"/>
      <c r="AT99" s="5"/>
      <c r="AY99" s="5"/>
      <c r="AZ99" s="5"/>
      <c r="BA99" s="5"/>
    </row>
    <row r="100" spans="1:54" ht="15.5" x14ac:dyDescent="0.3">
      <c r="C100" s="973" t="s">
        <v>123</v>
      </c>
      <c r="D100" s="977"/>
      <c r="E100" s="959" t="s">
        <v>127</v>
      </c>
      <c r="F100" s="960"/>
      <c r="G100" s="998" t="s">
        <v>14</v>
      </c>
      <c r="H100" s="960"/>
      <c r="I100" s="998" t="s">
        <v>14</v>
      </c>
      <c r="J100" s="960"/>
      <c r="K100" s="959" t="s">
        <v>462</v>
      </c>
      <c r="L100" s="984"/>
      <c r="M100" s="1001" t="s">
        <v>464</v>
      </c>
      <c r="N100" s="1002"/>
      <c r="P100" s="44"/>
      <c r="S100" s="10"/>
      <c r="T100" s="10"/>
      <c r="U100" s="10"/>
      <c r="V100" s="10"/>
      <c r="W100" s="10"/>
      <c r="X100" s="10"/>
      <c r="Y100" s="10"/>
      <c r="Z100" s="10"/>
      <c r="AA100" s="10"/>
      <c r="AB100" s="10"/>
      <c r="AC100" s="10"/>
      <c r="AD100" s="10"/>
      <c r="AE100" s="10"/>
      <c r="AF100" s="10"/>
      <c r="AG100" s="10"/>
      <c r="AH100" s="10"/>
      <c r="AI100" s="10"/>
      <c r="AJ100" s="10"/>
      <c r="AM100" s="21"/>
      <c r="AN100" s="1"/>
      <c r="AP100" s="36"/>
      <c r="AQ100" s="1"/>
      <c r="AR100" s="36"/>
      <c r="AS100" s="36"/>
      <c r="AY100" s="5"/>
      <c r="AZ100" s="5"/>
      <c r="BA100" s="5"/>
    </row>
    <row r="101" spans="1:54" ht="13.5" thickBot="1" x14ac:dyDescent="0.35">
      <c r="C101" s="978"/>
      <c r="D101" s="979"/>
      <c r="E101" s="518">
        <f ca="1">+F62</f>
        <v>0.88525269398864403</v>
      </c>
      <c r="F101" s="520"/>
      <c r="G101" s="997">
        <v>0</v>
      </c>
      <c r="H101" s="517"/>
      <c r="I101" s="997">
        <v>0</v>
      </c>
      <c r="J101" s="517"/>
      <c r="K101" s="518" t="e">
        <f ca="1">+$K$97*$E$101/$E$97</f>
        <v>#VALUE!</v>
      </c>
      <c r="L101" s="520"/>
      <c r="M101" s="518" t="e">
        <f ca="1">+G101+I101+K101</f>
        <v>#VALUE!</v>
      </c>
      <c r="N101" s="519"/>
      <c r="P101" s="44"/>
      <c r="S101" s="10"/>
      <c r="T101" s="10"/>
      <c r="U101" s="10"/>
      <c r="V101" s="10"/>
      <c r="W101" s="10"/>
      <c r="X101" s="10"/>
      <c r="Y101" s="10"/>
      <c r="Z101" s="10"/>
      <c r="AA101" s="10"/>
      <c r="AB101" s="10"/>
      <c r="AC101" s="10"/>
      <c r="AD101" s="10"/>
      <c r="AE101" s="10"/>
      <c r="AF101" s="10"/>
      <c r="AG101" s="10"/>
      <c r="AH101" s="10"/>
      <c r="AI101" s="10"/>
      <c r="AJ101" s="10"/>
      <c r="AM101" s="21"/>
      <c r="AN101" s="1"/>
      <c r="AP101" s="36"/>
      <c r="AQ101" s="1"/>
      <c r="AR101" s="36"/>
      <c r="AS101" s="36"/>
      <c r="AY101" s="5"/>
      <c r="AZ101" s="5"/>
      <c r="BA101" s="8"/>
    </row>
    <row r="102" spans="1:54" ht="13" x14ac:dyDescent="0.25">
      <c r="A102" s="32"/>
      <c r="C102" s="23"/>
      <c r="D102" s="23"/>
      <c r="E102" s="23"/>
      <c r="F102" s="28"/>
      <c r="G102" s="23"/>
      <c r="H102" s="23"/>
      <c r="I102" s="28"/>
      <c r="K102" s="1"/>
      <c r="L102" s="1"/>
      <c r="M102" s="1"/>
      <c r="AM102" s="21"/>
      <c r="AN102" s="1"/>
      <c r="AP102" s="24"/>
      <c r="AQ102" s="1"/>
      <c r="AR102" s="36"/>
      <c r="AS102" s="36"/>
      <c r="AY102" s="1"/>
      <c r="AZ102" s="9"/>
      <c r="BA102" s="6"/>
    </row>
    <row r="103" spans="1:54" x14ac:dyDescent="0.25">
      <c r="A103" s="1"/>
      <c r="B103" s="1"/>
      <c r="C103" s="1"/>
      <c r="F103" s="1"/>
      <c r="G103" s="1"/>
      <c r="H103" s="1"/>
      <c r="I103" s="1"/>
      <c r="J103" s="1"/>
      <c r="K103" s="1"/>
      <c r="L103" s="1"/>
      <c r="M103" s="1"/>
    </row>
    <row r="104" spans="1:54" x14ac:dyDescent="0.25">
      <c r="A104" s="1"/>
      <c r="B104" s="1"/>
      <c r="C104" s="39"/>
      <c r="D104" s="55"/>
      <c r="E104" s="40"/>
      <c r="F104" s="39"/>
      <c r="G104" s="55"/>
      <c r="H104" s="40"/>
      <c r="I104" s="39"/>
      <c r="J104" s="55"/>
      <c r="K104" s="39"/>
      <c r="L104" s="55"/>
      <c r="M104" s="40"/>
    </row>
    <row r="105" spans="1:54" x14ac:dyDescent="0.25">
      <c r="A105" s="1"/>
      <c r="B105" s="1"/>
      <c r="C105" s="1"/>
      <c r="D105" s="1"/>
      <c r="E105" s="1"/>
      <c r="F105" s="1"/>
      <c r="G105" s="1"/>
      <c r="H105" s="1"/>
      <c r="I105" s="1"/>
      <c r="J105" s="1"/>
      <c r="K105" s="1"/>
      <c r="L105" s="1"/>
      <c r="M105" s="1"/>
    </row>
    <row r="106" spans="1:54" x14ac:dyDescent="0.25">
      <c r="C106" s="24"/>
      <c r="D106" s="24"/>
      <c r="E106" s="24"/>
      <c r="F106" s="24"/>
      <c r="G106" s="24"/>
      <c r="H106" s="24"/>
      <c r="I106" s="24"/>
      <c r="J106" s="24"/>
      <c r="K106" s="24"/>
      <c r="L106" s="24"/>
      <c r="M106" s="24"/>
    </row>
    <row r="107" spans="1:54" x14ac:dyDescent="0.25">
      <c r="A107" s="22"/>
      <c r="B107" s="22"/>
      <c r="C107" s="22"/>
      <c r="D107" s="38"/>
      <c r="E107" s="22"/>
      <c r="F107" s="22"/>
      <c r="G107" s="28"/>
      <c r="I107" s="22"/>
      <c r="J107" s="38"/>
      <c r="K107" s="22"/>
      <c r="L107" s="38"/>
      <c r="M107" s="1"/>
    </row>
    <row r="108" spans="1:54" x14ac:dyDescent="0.25">
      <c r="A108" s="42"/>
      <c r="C108" s="24"/>
      <c r="D108" s="24"/>
      <c r="E108" s="24"/>
      <c r="F108" s="24"/>
      <c r="G108" s="24"/>
      <c r="H108" s="24"/>
      <c r="I108" s="24"/>
      <c r="J108" s="24"/>
      <c r="K108" s="24"/>
      <c r="L108" s="24"/>
      <c r="M108" s="24"/>
    </row>
    <row r="109" spans="1:54" x14ac:dyDescent="0.25">
      <c r="A109" s="42"/>
      <c r="C109" s="24"/>
      <c r="D109" s="24"/>
      <c r="E109" s="24"/>
      <c r="F109" s="24"/>
      <c r="G109" s="24"/>
      <c r="H109" s="24"/>
      <c r="I109" s="24"/>
      <c r="J109" s="24"/>
      <c r="K109" s="24"/>
      <c r="L109" s="24"/>
      <c r="M109" s="24"/>
    </row>
    <row r="110" spans="1:54" x14ac:dyDescent="0.25">
      <c r="A110" s="34"/>
      <c r="C110" s="24"/>
      <c r="D110" s="24"/>
      <c r="E110" s="24"/>
      <c r="F110" s="24"/>
      <c r="G110" s="24"/>
      <c r="H110" s="24"/>
      <c r="I110" s="24"/>
      <c r="J110" s="24"/>
      <c r="K110" s="24"/>
      <c r="L110" s="24"/>
      <c r="M110" s="24"/>
    </row>
    <row r="111" spans="1:54" x14ac:dyDescent="0.25">
      <c r="A111" s="42"/>
      <c r="C111" s="24"/>
      <c r="D111" s="24"/>
      <c r="E111" s="24"/>
      <c r="F111" s="24"/>
      <c r="G111" s="24"/>
      <c r="H111" s="24"/>
      <c r="I111" s="24"/>
      <c r="J111" s="24"/>
      <c r="K111" s="24"/>
      <c r="L111" s="24"/>
      <c r="M111" s="24"/>
    </row>
    <row r="112" spans="1:54" x14ac:dyDescent="0.25">
      <c r="A112" s="42"/>
      <c r="C112" s="24"/>
    </row>
    <row r="113" spans="1:14" x14ac:dyDescent="0.25">
      <c r="A113" s="42"/>
      <c r="C113" s="24"/>
    </row>
    <row r="114" spans="1:14" x14ac:dyDescent="0.25">
      <c r="A114" s="53"/>
      <c r="B114" s="33"/>
      <c r="C114" s="33"/>
    </row>
    <row r="115" spans="1:14" x14ac:dyDescent="0.25">
      <c r="C115" s="24"/>
    </row>
    <row r="116" spans="1:14" ht="13" x14ac:dyDescent="0.3">
      <c r="A116" s="5"/>
      <c r="B116" s="1"/>
      <c r="C116" s="1"/>
    </row>
    <row r="118" spans="1:14" ht="13" x14ac:dyDescent="0.25">
      <c r="A118" s="25"/>
      <c r="B118" s="25"/>
      <c r="C118" s="25"/>
    </row>
    <row r="119" spans="1:14" x14ac:dyDescent="0.25">
      <c r="A119" s="23"/>
      <c r="B119" s="23"/>
      <c r="C119" s="23"/>
    </row>
    <row r="120" spans="1:14" ht="13" x14ac:dyDescent="0.25">
      <c r="A120" s="32"/>
      <c r="B120" s="32"/>
      <c r="C120" s="32"/>
    </row>
    <row r="121" spans="1:14" x14ac:dyDescent="0.25">
      <c r="A121" s="49"/>
      <c r="B121" s="49"/>
      <c r="C121" s="49"/>
    </row>
    <row r="122" spans="1:14" x14ac:dyDescent="0.25">
      <c r="A122" s="33"/>
      <c r="B122" s="33"/>
      <c r="C122" s="33"/>
      <c r="E122" s="24"/>
      <c r="F122" s="1"/>
      <c r="G122" s="1"/>
      <c r="H122" s="1"/>
      <c r="I122" s="10"/>
      <c r="J122" s="10"/>
      <c r="K122" s="10"/>
      <c r="L122" s="10"/>
      <c r="M122" s="10"/>
    </row>
    <row r="123" spans="1:14" x14ac:dyDescent="0.25">
      <c r="A123" s="33"/>
      <c r="B123" s="33"/>
      <c r="C123" s="33"/>
      <c r="E123" s="24"/>
      <c r="F123" s="1"/>
      <c r="G123" s="1"/>
      <c r="H123" s="1"/>
      <c r="I123" s="10"/>
      <c r="J123" s="10"/>
      <c r="K123" s="10"/>
      <c r="L123" s="10"/>
      <c r="M123" s="10"/>
    </row>
    <row r="124" spans="1:14" x14ac:dyDescent="0.25">
      <c r="A124" s="34"/>
      <c r="B124" s="33"/>
      <c r="C124" s="33"/>
      <c r="E124" s="24"/>
      <c r="F124" s="1"/>
      <c r="G124" s="1"/>
      <c r="H124" s="1"/>
      <c r="I124" s="10"/>
      <c r="J124" s="10"/>
      <c r="K124" s="10"/>
      <c r="L124" s="10"/>
      <c r="M124" s="10"/>
    </row>
    <row r="125" spans="1:14" x14ac:dyDescent="0.25">
      <c r="A125" s="33"/>
      <c r="B125" s="33"/>
      <c r="C125" s="33"/>
      <c r="E125" s="24"/>
      <c r="F125" s="1"/>
      <c r="G125" s="1"/>
      <c r="H125" s="1"/>
      <c r="I125" s="10"/>
      <c r="J125" s="10"/>
      <c r="K125" s="10"/>
      <c r="L125" s="10"/>
      <c r="M125" s="10"/>
    </row>
    <row r="126" spans="1:14" x14ac:dyDescent="0.25">
      <c r="A126" s="53"/>
      <c r="B126" s="33"/>
      <c r="C126" s="33"/>
      <c r="D126" s="33"/>
      <c r="E126" s="33"/>
      <c r="F126" s="33"/>
      <c r="G126" s="33"/>
      <c r="H126" s="33"/>
      <c r="I126" s="33"/>
      <c r="J126" s="33"/>
      <c r="K126" s="33"/>
      <c r="L126" s="33"/>
      <c r="M126" s="33"/>
      <c r="N126" s="33"/>
    </row>
    <row r="131" spans="1:13" x14ac:dyDescent="0.25">
      <c r="A131" s="23"/>
      <c r="B131" s="23"/>
      <c r="C131" s="23"/>
      <c r="D131" s="23"/>
      <c r="E131" s="23"/>
      <c r="F131" s="23"/>
      <c r="G131" s="23"/>
      <c r="H131" s="23"/>
      <c r="I131" s="23"/>
      <c r="J131" s="23"/>
      <c r="K131" s="23"/>
      <c r="L131" s="23"/>
      <c r="M131" s="23"/>
    </row>
    <row r="132" spans="1:13" ht="13" x14ac:dyDescent="0.25">
      <c r="A132" s="31"/>
      <c r="B132" s="31"/>
      <c r="C132" s="31"/>
      <c r="D132" s="32"/>
      <c r="E132" s="32"/>
      <c r="F132" s="32"/>
      <c r="G132" s="32"/>
      <c r="I132" s="32"/>
      <c r="J132" s="32"/>
      <c r="K132" s="32"/>
      <c r="L132" s="32"/>
      <c r="M132" s="32"/>
    </row>
    <row r="133" spans="1:13" ht="13" x14ac:dyDescent="0.25">
      <c r="A133" s="31"/>
      <c r="B133" s="31"/>
      <c r="C133" s="31"/>
      <c r="D133" s="23"/>
      <c r="G133" s="23"/>
      <c r="H133" s="23"/>
      <c r="I133" s="23"/>
      <c r="J133" s="32"/>
      <c r="K133" s="32"/>
      <c r="L133" s="23"/>
      <c r="M133" s="23"/>
    </row>
    <row r="134" spans="1:13" x14ac:dyDescent="0.25">
      <c r="A134" s="33"/>
      <c r="B134" s="33"/>
      <c r="C134" s="33"/>
      <c r="D134" s="24"/>
      <c r="E134" s="1"/>
      <c r="F134" s="1"/>
      <c r="G134" s="24"/>
      <c r="H134" s="1"/>
      <c r="I134" s="1"/>
      <c r="J134" s="1"/>
      <c r="K134" s="1"/>
      <c r="L134" s="10"/>
      <c r="M134" s="10"/>
    </row>
    <row r="135" spans="1:13" x14ac:dyDescent="0.25">
      <c r="A135" s="33"/>
      <c r="B135" s="33"/>
      <c r="C135" s="33"/>
      <c r="D135" s="24"/>
      <c r="E135" s="1"/>
      <c r="F135" s="1"/>
      <c r="G135" s="24"/>
      <c r="H135" s="1"/>
      <c r="I135" s="1"/>
      <c r="J135" s="1"/>
      <c r="K135" s="1"/>
      <c r="L135" s="10"/>
      <c r="M135" s="10"/>
    </row>
    <row r="136" spans="1:13" x14ac:dyDescent="0.25">
      <c r="A136" s="33"/>
      <c r="B136" s="33"/>
      <c r="C136" s="33"/>
      <c r="D136" s="24"/>
      <c r="E136" s="1"/>
      <c r="F136" s="1"/>
      <c r="G136" s="24"/>
      <c r="H136" s="1"/>
      <c r="I136" s="1"/>
      <c r="J136" s="1"/>
      <c r="K136" s="1"/>
      <c r="L136" s="10"/>
      <c r="M136" s="10"/>
    </row>
  </sheetData>
  <mergeCells count="145">
    <mergeCell ref="G75:H75"/>
    <mergeCell ref="G76:H76"/>
    <mergeCell ref="G82:H82"/>
    <mergeCell ref="G83:H83"/>
    <mergeCell ref="G84:H84"/>
    <mergeCell ref="G85:H85"/>
    <mergeCell ref="B20:C20"/>
    <mergeCell ref="B30:C30"/>
    <mergeCell ref="B40:C40"/>
    <mergeCell ref="B51:C51"/>
    <mergeCell ref="B61:C61"/>
    <mergeCell ref="B45:C45"/>
    <mergeCell ref="B46:C46"/>
    <mergeCell ref="B47:C47"/>
    <mergeCell ref="B48:C48"/>
    <mergeCell ref="B55:C55"/>
    <mergeCell ref="B56:C56"/>
    <mergeCell ref="B57:C57"/>
    <mergeCell ref="B58:C58"/>
    <mergeCell ref="G73:H73"/>
    <mergeCell ref="G69:H69"/>
    <mergeCell ref="G70:J70"/>
    <mergeCell ref="G71:H71"/>
    <mergeCell ref="G72:H72"/>
    <mergeCell ref="C100:D101"/>
    <mergeCell ref="E100:F100"/>
    <mergeCell ref="G100:H100"/>
    <mergeCell ref="I100:J100"/>
    <mergeCell ref="K100:L100"/>
    <mergeCell ref="M101:N101"/>
    <mergeCell ref="M100:N100"/>
    <mergeCell ref="E101:F101"/>
    <mergeCell ref="G101:H101"/>
    <mergeCell ref="I101:J101"/>
    <mergeCell ref="K101:L101"/>
    <mergeCell ref="G77:H77"/>
    <mergeCell ref="C95:D95"/>
    <mergeCell ref="G78:H78"/>
    <mergeCell ref="G79:J79"/>
    <mergeCell ref="G80:H80"/>
    <mergeCell ref="G81:H81"/>
    <mergeCell ref="G86:H86"/>
    <mergeCell ref="G87:H87"/>
    <mergeCell ref="E95:F95"/>
    <mergeCell ref="G95:H95"/>
    <mergeCell ref="I95:J95"/>
    <mergeCell ref="G88:H88"/>
    <mergeCell ref="C92:N93"/>
    <mergeCell ref="C94:D94"/>
    <mergeCell ref="E94:F94"/>
    <mergeCell ref="G94:H94"/>
    <mergeCell ref="I94:J94"/>
    <mergeCell ref="K94:L94"/>
    <mergeCell ref="M94:N94"/>
    <mergeCell ref="K95:L95"/>
    <mergeCell ref="M95:N95"/>
    <mergeCell ref="B44:C44"/>
    <mergeCell ref="G68:H68"/>
    <mergeCell ref="B59:C59"/>
    <mergeCell ref="B60:C60"/>
    <mergeCell ref="B43:C43"/>
    <mergeCell ref="B53:C53"/>
    <mergeCell ref="B14:C14"/>
    <mergeCell ref="B15:C15"/>
    <mergeCell ref="B16:C16"/>
    <mergeCell ref="B17:C17"/>
    <mergeCell ref="B24:C24"/>
    <mergeCell ref="B25:C25"/>
    <mergeCell ref="B26:C26"/>
    <mergeCell ref="B27:C27"/>
    <mergeCell ref="B34:C34"/>
    <mergeCell ref="B35:C35"/>
    <mergeCell ref="B36:C36"/>
    <mergeCell ref="B21:O21"/>
    <mergeCell ref="G66:J67"/>
    <mergeCell ref="B19:C19"/>
    <mergeCell ref="B37:C37"/>
    <mergeCell ref="I96:J96"/>
    <mergeCell ref="K96:L96"/>
    <mergeCell ref="B54:C54"/>
    <mergeCell ref="B41:O41"/>
    <mergeCell ref="B39:C39"/>
    <mergeCell ref="B49:C49"/>
    <mergeCell ref="B50:C50"/>
    <mergeCell ref="B3:O4"/>
    <mergeCell ref="O6:O7"/>
    <mergeCell ref="O8:O9"/>
    <mergeCell ref="B32:C32"/>
    <mergeCell ref="B33:C33"/>
    <mergeCell ref="B38:C38"/>
    <mergeCell ref="D8:D9"/>
    <mergeCell ref="N8:N9"/>
    <mergeCell ref="B10:O10"/>
    <mergeCell ref="B12:C12"/>
    <mergeCell ref="E8:E9"/>
    <mergeCell ref="D6:F7"/>
    <mergeCell ref="B6:C9"/>
    <mergeCell ref="B5:C5"/>
    <mergeCell ref="B13:C13"/>
    <mergeCell ref="B31:O31"/>
    <mergeCell ref="B62:C62"/>
    <mergeCell ref="H6:H9"/>
    <mergeCell ref="J6:J7"/>
    <mergeCell ref="K6:K7"/>
    <mergeCell ref="L6:L7"/>
    <mergeCell ref="K8:K9"/>
    <mergeCell ref="B28:C28"/>
    <mergeCell ref="B29:C29"/>
    <mergeCell ref="R4:T15"/>
    <mergeCell ref="B11:O11"/>
    <mergeCell ref="B22:C22"/>
    <mergeCell ref="G6:G9"/>
    <mergeCell ref="B23:C23"/>
    <mergeCell ref="N6:N7"/>
    <mergeCell ref="M8:M9"/>
    <mergeCell ref="M6:M7"/>
    <mergeCell ref="I8:I9"/>
    <mergeCell ref="J8:J9"/>
    <mergeCell ref="I6:I7"/>
    <mergeCell ref="F8:F9"/>
    <mergeCell ref="L8:L9"/>
    <mergeCell ref="G74:H74"/>
    <mergeCell ref="B18:C18"/>
    <mergeCell ref="B42:O42"/>
    <mergeCell ref="B52:O52"/>
    <mergeCell ref="C98:D99"/>
    <mergeCell ref="E98:F98"/>
    <mergeCell ref="G98:H98"/>
    <mergeCell ref="I98:J98"/>
    <mergeCell ref="K98:L98"/>
    <mergeCell ref="M98:N98"/>
    <mergeCell ref="M99:N99"/>
    <mergeCell ref="M96:N96"/>
    <mergeCell ref="E97:F97"/>
    <mergeCell ref="G97:H97"/>
    <mergeCell ref="I97:J97"/>
    <mergeCell ref="K97:L97"/>
    <mergeCell ref="M97:N97"/>
    <mergeCell ref="E99:F99"/>
    <mergeCell ref="G99:H99"/>
    <mergeCell ref="I99:J99"/>
    <mergeCell ref="K99:L99"/>
    <mergeCell ref="C96:D97"/>
    <mergeCell ref="E96:F96"/>
    <mergeCell ref="G96:H96"/>
  </mergeCells>
  <dataValidations disablePrompts="1" count="1">
    <dataValidation type="list" allowBlank="1" showInputMessage="1" showErrorMessage="1" sqref="AO99 S44:S48" xr:uid="{00000000-0002-0000-0800-000000000000}">
      <formula1>Local</formula1>
    </dataValidation>
  </dataValidations>
  <pageMargins left="0.7" right="0.7" top="0.75" bottom="0.75" header="0.3" footer="0.3"/>
  <pageSetup scale="69" fitToHeight="2" orientation="landscape" r:id="rId1"/>
  <headerFooter>
    <oddHeader>&amp;CUrban and Suburban Arterial Predictive Method</oddHeader>
    <oddFooter>&amp;R&amp;P</oddFooter>
  </headerFooter>
  <rowBreaks count="1" manualBreakCount="1">
    <brk id="64" min="1"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AU187"/>
  <sheetViews>
    <sheetView topLeftCell="A106" workbookViewId="0">
      <selection activeCell="K112" sqref="K112"/>
    </sheetView>
  </sheetViews>
  <sheetFormatPr defaultRowHeight="12.5" x14ac:dyDescent="0.25"/>
  <cols>
    <col min="1" max="1" width="14.7265625" customWidth="1"/>
    <col min="2" max="2" width="31.453125" customWidth="1"/>
    <col min="3" max="3" width="27" customWidth="1"/>
    <col min="4" max="9" width="14.7265625" customWidth="1"/>
    <col min="10" max="10" width="33.1796875" customWidth="1"/>
    <col min="11" max="11" width="24.26953125" customWidth="1"/>
    <col min="12" max="12" width="14.7265625" customWidth="1"/>
    <col min="13" max="13" width="13.7265625" customWidth="1"/>
    <col min="14" max="22" width="10.7265625" customWidth="1"/>
    <col min="23" max="35" width="12.7265625" customWidth="1"/>
    <col min="36" max="36" width="10.7265625" customWidth="1"/>
    <col min="37" max="42" width="12.7265625" customWidth="1"/>
    <col min="43" max="47" width="10.7265625" customWidth="1"/>
  </cols>
  <sheetData>
    <row r="1" spans="1:41" ht="13.5" thickBot="1" x14ac:dyDescent="0.35">
      <c r="A1" s="70" t="s">
        <v>378</v>
      </c>
      <c r="W1" s="70" t="s">
        <v>401</v>
      </c>
    </row>
    <row r="2" spans="1:41" ht="13.5" thickTop="1" x14ac:dyDescent="0.3">
      <c r="A2" s="1050" t="s">
        <v>481</v>
      </c>
      <c r="B2" s="1050"/>
      <c r="C2" s="1050"/>
      <c r="D2" s="1050"/>
      <c r="E2" s="91"/>
      <c r="F2" s="91"/>
      <c r="G2" s="1050" t="s">
        <v>484</v>
      </c>
      <c r="H2" s="1050"/>
      <c r="I2" s="1050"/>
      <c r="J2" s="1050"/>
      <c r="K2" s="91"/>
      <c r="L2" s="91"/>
      <c r="M2" s="91"/>
      <c r="N2" s="1050" t="s">
        <v>486</v>
      </c>
      <c r="O2" s="1050"/>
      <c r="P2" s="1050"/>
      <c r="Q2" s="1050"/>
      <c r="R2" s="1050"/>
      <c r="S2" s="1050"/>
      <c r="T2" s="1050"/>
      <c r="U2" s="91"/>
      <c r="W2" s="1050" t="s">
        <v>496</v>
      </c>
      <c r="X2" s="1017"/>
      <c r="Y2" s="1017"/>
      <c r="Z2" s="1017"/>
      <c r="AA2" s="1017"/>
      <c r="AB2" s="32"/>
      <c r="AC2" s="32"/>
      <c r="AD2" s="32"/>
    </row>
    <row r="3" spans="1:41" ht="13.5" thickBot="1" x14ac:dyDescent="0.35">
      <c r="A3" s="1042"/>
      <c r="B3" s="1042"/>
      <c r="C3" s="1042"/>
      <c r="D3" s="1042"/>
      <c r="E3" s="91"/>
      <c r="F3" s="91"/>
      <c r="G3" s="1042"/>
      <c r="H3" s="1042"/>
      <c r="I3" s="1042"/>
      <c r="J3" s="1042"/>
      <c r="K3" s="91"/>
      <c r="L3" s="91"/>
      <c r="M3" s="91"/>
      <c r="N3" s="1042"/>
      <c r="O3" s="1042"/>
      <c r="P3" s="1042"/>
      <c r="Q3" s="1042"/>
      <c r="R3" s="1042"/>
      <c r="S3" s="1042"/>
      <c r="T3" s="1042"/>
      <c r="U3" s="91"/>
      <c r="W3" s="1018"/>
      <c r="X3" s="1018"/>
      <c r="Y3" s="1018"/>
      <c r="Z3" s="1018"/>
      <c r="AA3" s="1018"/>
      <c r="AB3" s="32"/>
      <c r="AC3" s="32"/>
      <c r="AD3" s="32"/>
    </row>
    <row r="4" spans="1:41" ht="13" x14ac:dyDescent="0.3">
      <c r="A4" s="1083" t="s">
        <v>203</v>
      </c>
      <c r="B4" s="97" t="s">
        <v>201</v>
      </c>
      <c r="C4" s="97"/>
      <c r="D4" s="1047" t="s">
        <v>202</v>
      </c>
      <c r="E4" s="94"/>
      <c r="F4" s="94"/>
      <c r="G4" s="1083" t="s">
        <v>203</v>
      </c>
      <c r="H4" s="97" t="s">
        <v>232</v>
      </c>
      <c r="I4" s="97"/>
      <c r="J4" s="1047" t="s">
        <v>202</v>
      </c>
      <c r="K4" s="94"/>
      <c r="L4" s="94"/>
      <c r="M4" s="94"/>
      <c r="N4" s="1093" t="s">
        <v>300</v>
      </c>
      <c r="O4" s="1094"/>
      <c r="P4" s="592" t="s">
        <v>309</v>
      </c>
      <c r="Q4" s="592"/>
      <c r="R4" s="592"/>
      <c r="S4" s="592"/>
      <c r="T4" s="593"/>
      <c r="U4" s="94"/>
      <c r="W4" s="1091" t="s">
        <v>163</v>
      </c>
      <c r="X4" s="1088" t="s">
        <v>158</v>
      </c>
      <c r="Y4" s="1089"/>
      <c r="Z4" s="1089"/>
      <c r="AA4" s="1090"/>
      <c r="AB4" s="43"/>
      <c r="AC4" s="43"/>
      <c r="AD4" s="43"/>
    </row>
    <row r="5" spans="1:41" ht="13" x14ac:dyDescent="0.3">
      <c r="A5" s="1084"/>
      <c r="B5" s="99" t="s">
        <v>206</v>
      </c>
      <c r="C5" s="98" t="s">
        <v>207</v>
      </c>
      <c r="D5" s="1048"/>
      <c r="E5" s="94"/>
      <c r="F5" s="94"/>
      <c r="G5" s="1084"/>
      <c r="H5" s="99" t="s">
        <v>206</v>
      </c>
      <c r="I5" s="98" t="s">
        <v>207</v>
      </c>
      <c r="J5" s="1048"/>
      <c r="K5" s="94"/>
      <c r="L5" s="94"/>
      <c r="M5" s="94"/>
      <c r="N5" s="1095"/>
      <c r="O5" s="1096"/>
      <c r="P5" s="108" t="s">
        <v>153</v>
      </c>
      <c r="Q5" s="108" t="s">
        <v>152</v>
      </c>
      <c r="R5" s="108" t="s">
        <v>95</v>
      </c>
      <c r="S5" s="108" t="s">
        <v>98</v>
      </c>
      <c r="T5" s="110" t="s">
        <v>164</v>
      </c>
      <c r="U5" s="94"/>
      <c r="W5" s="1092"/>
      <c r="X5" s="552" t="s">
        <v>159</v>
      </c>
      <c r="Y5" s="552"/>
      <c r="Z5" s="552" t="s">
        <v>162</v>
      </c>
      <c r="AA5" s="1100"/>
      <c r="AB5" s="43"/>
      <c r="AD5" s="5"/>
    </row>
    <row r="6" spans="1:41" ht="13" x14ac:dyDescent="0.3">
      <c r="A6" s="885"/>
      <c r="B6" s="100" t="s">
        <v>204</v>
      </c>
      <c r="C6" s="72" t="s">
        <v>205</v>
      </c>
      <c r="D6" s="1049"/>
      <c r="E6" s="94"/>
      <c r="F6" s="94"/>
      <c r="G6" s="885"/>
      <c r="H6" s="100" t="s">
        <v>204</v>
      </c>
      <c r="I6" s="72" t="s">
        <v>205</v>
      </c>
      <c r="J6" s="1049"/>
      <c r="K6" s="94"/>
      <c r="L6" s="94"/>
      <c r="M6" s="94"/>
      <c r="N6" s="1085" t="s">
        <v>301</v>
      </c>
      <c r="O6" s="1086"/>
      <c r="P6" s="1086"/>
      <c r="Q6" s="1086"/>
      <c r="R6" s="1086"/>
      <c r="S6" s="1086"/>
      <c r="T6" s="1087"/>
      <c r="U6" s="94"/>
      <c r="W6" s="1092"/>
      <c r="X6" s="549" t="s">
        <v>160</v>
      </c>
      <c r="Y6" s="551" t="s">
        <v>161</v>
      </c>
      <c r="Z6" s="549" t="s">
        <v>160</v>
      </c>
      <c r="AA6" s="1099" t="s">
        <v>161</v>
      </c>
      <c r="AB6" s="29"/>
      <c r="AC6" s="29"/>
      <c r="AD6" s="29"/>
    </row>
    <row r="7" spans="1:41" x14ac:dyDescent="0.25">
      <c r="A7" s="882" t="s">
        <v>208</v>
      </c>
      <c r="B7" s="648"/>
      <c r="C7" s="648"/>
      <c r="D7" s="648"/>
      <c r="E7" s="1"/>
      <c r="F7" s="1"/>
      <c r="G7" s="882" t="s">
        <v>208</v>
      </c>
      <c r="H7" s="648"/>
      <c r="I7" s="648"/>
      <c r="J7" s="648"/>
      <c r="K7" s="1"/>
      <c r="L7" s="1"/>
      <c r="M7" s="1"/>
      <c r="N7" s="1103" t="s">
        <v>254</v>
      </c>
      <c r="O7" s="1104"/>
      <c r="P7" s="3">
        <v>0.158</v>
      </c>
      <c r="Q7" s="3">
        <v>0.10199999999999999</v>
      </c>
      <c r="R7" s="3">
        <v>0.182</v>
      </c>
      <c r="S7" s="3">
        <v>3.3000000000000002E-2</v>
      </c>
      <c r="T7" s="41">
        <v>0.16500000000000001</v>
      </c>
      <c r="U7" s="1"/>
      <c r="W7" s="1092"/>
      <c r="X7" s="549"/>
      <c r="Y7" s="549"/>
      <c r="Z7" s="549"/>
      <c r="AA7" s="927"/>
      <c r="AB7" s="27"/>
      <c r="AC7" s="27"/>
      <c r="AD7" s="27"/>
    </row>
    <row r="8" spans="1:41" x14ac:dyDescent="0.25">
      <c r="A8" s="82" t="s">
        <v>153</v>
      </c>
      <c r="B8" s="11">
        <v>-15.22</v>
      </c>
      <c r="C8" s="11">
        <v>1.68</v>
      </c>
      <c r="D8" s="12">
        <v>0.84</v>
      </c>
      <c r="E8" s="22"/>
      <c r="F8" s="22"/>
      <c r="G8" s="82" t="s">
        <v>153</v>
      </c>
      <c r="H8" s="11">
        <v>-5.47</v>
      </c>
      <c r="I8" s="11">
        <v>0.56000000000000005</v>
      </c>
      <c r="J8" s="12">
        <v>0.81</v>
      </c>
      <c r="K8" s="22"/>
      <c r="L8" s="22"/>
      <c r="M8" s="22"/>
      <c r="N8" s="1103" t="s">
        <v>255</v>
      </c>
      <c r="O8" s="1104"/>
      <c r="P8" s="3">
        <v>0.05</v>
      </c>
      <c r="Q8" s="3">
        <v>3.2000000000000001E-2</v>
      </c>
      <c r="R8" s="3">
        <v>5.8000000000000003E-2</v>
      </c>
      <c r="S8" s="3">
        <v>1.0999999999999999E-2</v>
      </c>
      <c r="T8" s="41">
        <v>5.2999999999999999E-2</v>
      </c>
      <c r="U8" s="22"/>
      <c r="W8" s="1092"/>
      <c r="X8" s="622"/>
      <c r="Y8" s="549"/>
      <c r="Z8" s="622"/>
      <c r="AA8" s="927"/>
      <c r="AB8" s="52"/>
      <c r="AC8" s="24"/>
      <c r="AD8" s="24"/>
    </row>
    <row r="9" spans="1:41" x14ac:dyDescent="0.25">
      <c r="A9" s="82" t="s">
        <v>152</v>
      </c>
      <c r="B9" s="11">
        <v>-12.4</v>
      </c>
      <c r="C9" s="11">
        <v>1.41</v>
      </c>
      <c r="D9" s="12">
        <v>0.66</v>
      </c>
      <c r="E9" s="22"/>
      <c r="F9" s="22"/>
      <c r="G9" s="82" t="s">
        <v>152</v>
      </c>
      <c r="H9" s="11">
        <v>-5.74</v>
      </c>
      <c r="I9" s="11">
        <v>0.54</v>
      </c>
      <c r="J9" s="12">
        <v>1.37</v>
      </c>
      <c r="K9" s="22"/>
      <c r="L9" s="22"/>
      <c r="M9" s="22"/>
      <c r="N9" s="1103" t="s">
        <v>302</v>
      </c>
      <c r="O9" s="1104"/>
      <c r="P9" s="3">
        <v>0.17199999999999999</v>
      </c>
      <c r="Q9" s="3">
        <v>0.11</v>
      </c>
      <c r="R9" s="3">
        <v>0.19800000000000001</v>
      </c>
      <c r="S9" s="3">
        <v>3.5999999999999997E-2</v>
      </c>
      <c r="T9" s="41">
        <v>0.18099999999999999</v>
      </c>
      <c r="U9" s="22"/>
      <c r="W9" s="82" t="s">
        <v>153</v>
      </c>
      <c r="X9" s="3">
        <v>1.4650000000000001</v>
      </c>
      <c r="Y9" s="3">
        <v>2.0739999999999998</v>
      </c>
      <c r="Z9" s="3">
        <v>3.4279999999999999</v>
      </c>
      <c r="AA9" s="41">
        <v>4.8529999999999998</v>
      </c>
      <c r="AB9" s="24"/>
      <c r="AC9" s="24"/>
      <c r="AD9" s="24"/>
    </row>
    <row r="10" spans="1:41" x14ac:dyDescent="0.25">
      <c r="A10" s="82" t="s">
        <v>95</v>
      </c>
      <c r="B10" s="11">
        <v>-11.63</v>
      </c>
      <c r="C10" s="11">
        <v>1.33</v>
      </c>
      <c r="D10" s="12">
        <v>1.01</v>
      </c>
      <c r="E10" s="22"/>
      <c r="F10" s="22"/>
      <c r="G10" s="82" t="s">
        <v>95</v>
      </c>
      <c r="H10" s="11">
        <v>-7.99</v>
      </c>
      <c r="I10" s="11">
        <v>0.81</v>
      </c>
      <c r="J10" s="12">
        <v>0.91</v>
      </c>
      <c r="K10" s="22"/>
      <c r="L10" s="22"/>
      <c r="M10" s="22"/>
      <c r="N10" s="1103" t="s">
        <v>303</v>
      </c>
      <c r="O10" s="1104"/>
      <c r="P10" s="3">
        <v>2.3E-2</v>
      </c>
      <c r="Q10" s="3">
        <v>1.4999999999999999E-2</v>
      </c>
      <c r="R10" s="3">
        <v>2.5999999999999999E-2</v>
      </c>
      <c r="S10" s="3">
        <v>5.0000000000000001E-3</v>
      </c>
      <c r="T10" s="41">
        <v>2.4E-2</v>
      </c>
      <c r="U10" s="22"/>
      <c r="W10" s="82" t="s">
        <v>152</v>
      </c>
      <c r="X10" s="3">
        <v>1.4650000000000001</v>
      </c>
      <c r="Y10" s="3">
        <v>2.0739999999999998</v>
      </c>
      <c r="Z10" s="3">
        <v>3.4279999999999999</v>
      </c>
      <c r="AA10" s="41">
        <v>4.8529999999999998</v>
      </c>
      <c r="AB10" s="24"/>
      <c r="AC10" s="24"/>
      <c r="AD10" s="24"/>
    </row>
    <row r="11" spans="1:41" x14ac:dyDescent="0.25">
      <c r="A11" s="101" t="s">
        <v>98</v>
      </c>
      <c r="B11" s="11">
        <v>-12.34</v>
      </c>
      <c r="C11" s="11">
        <v>1.36</v>
      </c>
      <c r="D11" s="12">
        <v>1.32</v>
      </c>
      <c r="E11" s="22"/>
      <c r="F11" s="22"/>
      <c r="G11" s="101" t="s">
        <v>98</v>
      </c>
      <c r="H11" s="11">
        <v>-5.05</v>
      </c>
      <c r="I11" s="11">
        <v>0.47</v>
      </c>
      <c r="J11" s="12">
        <v>0.86</v>
      </c>
      <c r="K11" s="22"/>
      <c r="L11" s="22"/>
      <c r="M11" s="22"/>
      <c r="N11" s="1103" t="s">
        <v>258</v>
      </c>
      <c r="O11" s="1104"/>
      <c r="P11" s="3">
        <v>8.3000000000000004E-2</v>
      </c>
      <c r="Q11" s="3">
        <v>5.2999999999999999E-2</v>
      </c>
      <c r="R11" s="3">
        <v>9.6000000000000002E-2</v>
      </c>
      <c r="S11" s="3">
        <v>1.7999999999999999E-2</v>
      </c>
      <c r="T11" s="41">
        <v>8.6999999999999994E-2</v>
      </c>
      <c r="U11" s="22"/>
      <c r="W11" s="82" t="s">
        <v>95</v>
      </c>
      <c r="X11" s="3">
        <v>1.1000000000000001</v>
      </c>
      <c r="Y11" s="3">
        <v>1.7090000000000001</v>
      </c>
      <c r="Z11" s="3">
        <v>2.5739999999999998</v>
      </c>
      <c r="AA11" s="41">
        <v>3.9990000000000001</v>
      </c>
      <c r="AB11" s="24"/>
      <c r="AC11" s="24"/>
      <c r="AD11" s="24"/>
    </row>
    <row r="12" spans="1:41" x14ac:dyDescent="0.25">
      <c r="A12" s="82" t="s">
        <v>164</v>
      </c>
      <c r="B12" s="11">
        <v>-9.6999999999999993</v>
      </c>
      <c r="C12" s="11">
        <v>1.17</v>
      </c>
      <c r="D12" s="12">
        <v>0.81</v>
      </c>
      <c r="E12" s="22"/>
      <c r="F12" s="22"/>
      <c r="G12" s="82" t="s">
        <v>164</v>
      </c>
      <c r="H12" s="11">
        <v>-4.82</v>
      </c>
      <c r="I12" s="11">
        <v>0.54</v>
      </c>
      <c r="J12" s="12">
        <v>0.52</v>
      </c>
      <c r="K12" s="22"/>
      <c r="L12" s="22"/>
      <c r="M12" s="22"/>
      <c r="N12" s="1103" t="s">
        <v>259</v>
      </c>
      <c r="O12" s="1104"/>
      <c r="P12" s="3">
        <v>1.6E-2</v>
      </c>
      <c r="Q12" s="3">
        <v>0.01</v>
      </c>
      <c r="R12" s="3">
        <v>1.7999999999999999E-2</v>
      </c>
      <c r="S12" s="3">
        <v>3.0000000000000001E-3</v>
      </c>
      <c r="T12" s="41">
        <v>1.6E-2</v>
      </c>
      <c r="U12" s="22"/>
      <c r="W12" s="82" t="s">
        <v>98</v>
      </c>
      <c r="X12" s="3">
        <v>1.1000000000000001</v>
      </c>
      <c r="Y12" s="3">
        <v>1.7090000000000001</v>
      </c>
      <c r="Z12" s="3">
        <v>2.5739999999999998</v>
      </c>
      <c r="AA12" s="41">
        <v>3.9990000000000001</v>
      </c>
      <c r="AB12" s="24"/>
      <c r="AC12" s="24"/>
      <c r="AD12" s="24"/>
    </row>
    <row r="13" spans="1:41" ht="13" thickBot="1" x14ac:dyDescent="0.3">
      <c r="A13" s="873" t="s">
        <v>209</v>
      </c>
      <c r="B13" s="455"/>
      <c r="C13" s="455"/>
      <c r="D13" s="509"/>
      <c r="E13" s="1"/>
      <c r="F13" s="1"/>
      <c r="G13" s="873" t="s">
        <v>209</v>
      </c>
      <c r="H13" s="455"/>
      <c r="I13" s="455"/>
      <c r="J13" s="509"/>
      <c r="K13" s="1"/>
      <c r="L13" s="1"/>
      <c r="M13" s="1"/>
      <c r="N13" s="1103" t="s">
        <v>87</v>
      </c>
      <c r="O13" s="1104"/>
      <c r="P13" s="3">
        <v>2.5000000000000001E-2</v>
      </c>
      <c r="Q13" s="3">
        <v>1.6E-2</v>
      </c>
      <c r="R13" s="3">
        <v>2.9000000000000001E-2</v>
      </c>
      <c r="S13" s="3">
        <v>5.0000000000000001E-3</v>
      </c>
      <c r="T13" s="41">
        <v>2.7E-2</v>
      </c>
      <c r="U13" s="1"/>
      <c r="W13" s="84" t="s">
        <v>164</v>
      </c>
      <c r="X13" s="37">
        <v>1.1000000000000001</v>
      </c>
      <c r="Y13" s="37">
        <v>1.7090000000000001</v>
      </c>
      <c r="Z13" s="37">
        <v>2.5739999999999998</v>
      </c>
      <c r="AA13" s="78">
        <v>3.9990000000000001</v>
      </c>
      <c r="AB13" s="24"/>
      <c r="AC13" s="24"/>
      <c r="AD13" s="24"/>
    </row>
    <row r="14" spans="1:41" ht="13" x14ac:dyDescent="0.25">
      <c r="A14" s="82" t="s">
        <v>153</v>
      </c>
      <c r="B14" s="11">
        <v>-16.22</v>
      </c>
      <c r="C14" s="11">
        <v>1.66</v>
      </c>
      <c r="D14" s="12">
        <v>0.65</v>
      </c>
      <c r="E14" s="22"/>
      <c r="F14" s="22"/>
      <c r="G14" s="82" t="s">
        <v>153</v>
      </c>
      <c r="H14" s="11">
        <v>-3.96</v>
      </c>
      <c r="I14" s="11">
        <v>0.23</v>
      </c>
      <c r="J14" s="12">
        <v>0.5</v>
      </c>
      <c r="K14" s="22"/>
      <c r="L14" s="22"/>
      <c r="M14" s="22"/>
      <c r="N14" s="1085" t="s">
        <v>304</v>
      </c>
      <c r="O14" s="1086"/>
      <c r="P14" s="1086"/>
      <c r="Q14" s="1086"/>
      <c r="R14" s="1086"/>
      <c r="S14" s="1086"/>
      <c r="T14" s="1087"/>
      <c r="U14" s="22"/>
      <c r="W14" s="17"/>
      <c r="X14" s="17"/>
      <c r="Y14" s="17"/>
      <c r="Z14" s="17"/>
      <c r="AA14" s="17"/>
      <c r="AB14" s="24"/>
      <c r="AC14" s="24"/>
      <c r="AD14" s="24"/>
    </row>
    <row r="15" spans="1:41" x14ac:dyDescent="0.25">
      <c r="A15" s="82" t="s">
        <v>152</v>
      </c>
      <c r="B15" s="11">
        <v>-16.45</v>
      </c>
      <c r="C15" s="11">
        <v>1.69</v>
      </c>
      <c r="D15" s="12">
        <v>0.59</v>
      </c>
      <c r="E15" s="22"/>
      <c r="F15" s="22"/>
      <c r="G15" s="82" t="s">
        <v>152</v>
      </c>
      <c r="H15" s="11">
        <v>-6.37</v>
      </c>
      <c r="I15" s="11">
        <v>0.47</v>
      </c>
      <c r="J15" s="12">
        <v>1.06</v>
      </c>
      <c r="K15" s="22"/>
      <c r="L15" s="22"/>
      <c r="M15" s="22"/>
      <c r="N15" s="1103" t="s">
        <v>305</v>
      </c>
      <c r="O15" s="1104"/>
      <c r="P15" s="3">
        <v>1</v>
      </c>
      <c r="Q15" s="3">
        <v>1</v>
      </c>
      <c r="R15" s="3">
        <v>1.1719999999999999</v>
      </c>
      <c r="S15" s="3">
        <v>1.1060000000000001</v>
      </c>
      <c r="T15" s="41">
        <v>1.1719999999999999</v>
      </c>
      <c r="U15" s="22"/>
      <c r="W15" s="53"/>
      <c r="X15" s="33"/>
      <c r="Y15" s="33"/>
      <c r="Z15" s="33"/>
      <c r="AA15" s="33"/>
      <c r="AB15" s="33"/>
      <c r="AC15" s="33"/>
      <c r="AD15" s="33"/>
      <c r="AO15" s="16"/>
    </row>
    <row r="16" spans="1:41" ht="13" x14ac:dyDescent="0.25">
      <c r="A16" s="82" t="s">
        <v>95</v>
      </c>
      <c r="B16" s="11">
        <v>-12.08</v>
      </c>
      <c r="C16" s="11">
        <v>1.25</v>
      </c>
      <c r="D16" s="12">
        <v>0.99</v>
      </c>
      <c r="E16" s="22"/>
      <c r="F16" s="22"/>
      <c r="G16" s="82" t="s">
        <v>95</v>
      </c>
      <c r="H16" s="11">
        <v>-7.37</v>
      </c>
      <c r="I16" s="11">
        <v>0.61</v>
      </c>
      <c r="J16" s="12">
        <v>0.54</v>
      </c>
      <c r="K16" s="22"/>
      <c r="L16" s="22"/>
      <c r="M16" s="22"/>
      <c r="N16" s="1085" t="s">
        <v>306</v>
      </c>
      <c r="O16" s="1086"/>
      <c r="P16" s="1086"/>
      <c r="Q16" s="1086"/>
      <c r="R16" s="1086"/>
      <c r="S16" s="1086"/>
      <c r="T16" s="1087"/>
      <c r="U16" s="22"/>
      <c r="AD16" s="1"/>
      <c r="AO16" s="17"/>
    </row>
    <row r="17" spans="1:45" ht="13.5" thickBot="1" x14ac:dyDescent="0.3">
      <c r="A17" s="101" t="s">
        <v>98</v>
      </c>
      <c r="B17" s="11">
        <v>-12.76</v>
      </c>
      <c r="C17" s="11">
        <v>1.28</v>
      </c>
      <c r="D17" s="12">
        <v>1.31</v>
      </c>
      <c r="E17" s="22"/>
      <c r="F17" s="22"/>
      <c r="G17" s="101" t="s">
        <v>98</v>
      </c>
      <c r="H17" s="11">
        <v>-8.7100000000000009</v>
      </c>
      <c r="I17" s="11">
        <v>0.66</v>
      </c>
      <c r="J17" s="12">
        <v>0.28000000000000003</v>
      </c>
      <c r="K17" s="22"/>
      <c r="L17" s="22"/>
      <c r="M17" s="22"/>
      <c r="N17" s="1103" t="s">
        <v>305</v>
      </c>
      <c r="O17" s="1104"/>
      <c r="P17" s="11">
        <v>0.81</v>
      </c>
      <c r="Q17" s="11">
        <v>1.1000000000000001</v>
      </c>
      <c r="R17" s="11">
        <v>0.81</v>
      </c>
      <c r="S17" s="11">
        <v>1.39</v>
      </c>
      <c r="T17" s="12">
        <v>0.1</v>
      </c>
      <c r="U17" s="22"/>
      <c r="W17" s="16"/>
      <c r="X17" s="16"/>
      <c r="Y17" s="16"/>
      <c r="Z17" s="16"/>
      <c r="AD17" s="32"/>
    </row>
    <row r="18" spans="1:45" ht="13.5" thickTop="1" x14ac:dyDescent="0.3">
      <c r="A18" s="82" t="s">
        <v>164</v>
      </c>
      <c r="B18" s="11">
        <v>-10.47</v>
      </c>
      <c r="C18" s="11">
        <v>1.1200000000000001</v>
      </c>
      <c r="D18" s="12">
        <v>0.62</v>
      </c>
      <c r="E18" s="22"/>
      <c r="F18" s="22"/>
      <c r="G18" s="82" t="s">
        <v>164</v>
      </c>
      <c r="H18" s="11">
        <v>-4.43</v>
      </c>
      <c r="I18" s="11">
        <v>0.35</v>
      </c>
      <c r="J18" s="12">
        <v>0.36</v>
      </c>
      <c r="K18" s="22"/>
      <c r="L18" s="22"/>
      <c r="M18" s="22"/>
      <c r="N18" s="1085" t="s">
        <v>307</v>
      </c>
      <c r="O18" s="1086"/>
      <c r="P18" s="1086"/>
      <c r="Q18" s="1086"/>
      <c r="R18" s="1086"/>
      <c r="S18" s="1086"/>
      <c r="T18" s="1087"/>
      <c r="U18" s="22"/>
      <c r="W18" s="1102" t="s">
        <v>497</v>
      </c>
      <c r="X18" s="1102"/>
      <c r="Y18" s="1102"/>
      <c r="Z18" s="1102"/>
      <c r="AD18" s="32"/>
      <c r="AO18" s="5"/>
    </row>
    <row r="19" spans="1:45" ht="13" thickBot="1" x14ac:dyDescent="0.3">
      <c r="A19" s="873" t="s">
        <v>210</v>
      </c>
      <c r="B19" s="455"/>
      <c r="C19" s="455"/>
      <c r="D19" s="509"/>
      <c r="E19" s="1"/>
      <c r="F19" s="1"/>
      <c r="G19" s="873" t="s">
        <v>210</v>
      </c>
      <c r="H19" s="455"/>
      <c r="I19" s="455"/>
      <c r="J19" s="509"/>
      <c r="K19" s="1"/>
      <c r="L19" s="1"/>
      <c r="M19" s="1"/>
      <c r="N19" s="1103" t="s">
        <v>305</v>
      </c>
      <c r="O19" s="1104"/>
      <c r="P19" s="3">
        <v>0.32300000000000001</v>
      </c>
      <c r="Q19" s="3">
        <v>0.24299999999999999</v>
      </c>
      <c r="R19" s="3">
        <v>0.34200000000000003</v>
      </c>
      <c r="S19" s="3">
        <v>0.28399999999999997</v>
      </c>
      <c r="T19" s="41">
        <v>0.26900000000000002</v>
      </c>
      <c r="U19" s="1"/>
      <c r="W19" s="1043"/>
      <c r="X19" s="1043"/>
      <c r="Y19" s="1043"/>
      <c r="Z19" s="1043"/>
      <c r="AR19" s="85"/>
      <c r="AS19" s="59"/>
    </row>
    <row r="20" spans="1:45" ht="13" x14ac:dyDescent="0.3">
      <c r="A20" s="82" t="s">
        <v>153</v>
      </c>
      <c r="B20" s="11">
        <v>-15.62</v>
      </c>
      <c r="C20" s="11">
        <v>1.69</v>
      </c>
      <c r="D20" s="12">
        <v>0.87</v>
      </c>
      <c r="E20" s="22"/>
      <c r="F20" s="22"/>
      <c r="G20" s="82" t="s">
        <v>153</v>
      </c>
      <c r="H20" s="11">
        <v>-6.51</v>
      </c>
      <c r="I20" s="11">
        <v>0.64</v>
      </c>
      <c r="J20" s="12">
        <v>0.87</v>
      </c>
      <c r="K20" s="22"/>
      <c r="L20" s="22"/>
      <c r="M20" s="22"/>
      <c r="N20" s="1085" t="s">
        <v>308</v>
      </c>
      <c r="O20" s="1086"/>
      <c r="P20" s="1086"/>
      <c r="Q20" s="1086"/>
      <c r="R20" s="1086"/>
      <c r="S20" s="1086"/>
      <c r="T20" s="1087"/>
      <c r="U20" s="22"/>
      <c r="W20" s="1116" t="s">
        <v>171</v>
      </c>
      <c r="X20" s="1109"/>
      <c r="Y20" s="1109" t="s">
        <v>173</v>
      </c>
      <c r="Z20" s="1098"/>
      <c r="AD20" s="5"/>
      <c r="AE20" s="1"/>
      <c r="AF20" s="5"/>
      <c r="AS20" s="59"/>
    </row>
    <row r="21" spans="1:45" ht="15.5" thickBot="1" x14ac:dyDescent="0.45">
      <c r="A21" s="82" t="s">
        <v>152</v>
      </c>
      <c r="B21" s="11">
        <v>-11.95</v>
      </c>
      <c r="C21" s="11">
        <v>1.33</v>
      </c>
      <c r="D21" s="12">
        <v>0.59</v>
      </c>
      <c r="E21" s="22"/>
      <c r="F21" s="22"/>
      <c r="G21" s="82" t="s">
        <v>152</v>
      </c>
      <c r="H21" s="11">
        <v>-6.29</v>
      </c>
      <c r="I21" s="11">
        <v>0.56000000000000005</v>
      </c>
      <c r="J21" s="12">
        <v>1.93</v>
      </c>
      <c r="K21" s="22"/>
      <c r="L21" s="22"/>
      <c r="M21" s="22"/>
      <c r="N21" s="1114" t="s">
        <v>305</v>
      </c>
      <c r="O21" s="1115"/>
      <c r="P21" s="37">
        <v>0.67700000000000005</v>
      </c>
      <c r="Q21" s="37">
        <v>0.75700000000000001</v>
      </c>
      <c r="R21" s="37">
        <v>0.65800000000000003</v>
      </c>
      <c r="S21" s="37">
        <v>0.71599999999999997</v>
      </c>
      <c r="T21" s="78">
        <v>0.73099999999999998</v>
      </c>
      <c r="U21" s="22"/>
      <c r="W21" s="1110" t="s">
        <v>172</v>
      </c>
      <c r="X21" s="943"/>
      <c r="Y21" s="943" t="s">
        <v>174</v>
      </c>
      <c r="Z21" s="1101"/>
      <c r="AD21" s="1"/>
      <c r="AE21" s="1"/>
      <c r="AS21" s="59"/>
    </row>
    <row r="22" spans="1:45" x14ac:dyDescent="0.25">
      <c r="A22" s="82" t="s">
        <v>95</v>
      </c>
      <c r="B22" s="11">
        <v>-12.53</v>
      </c>
      <c r="C22" s="11">
        <v>1.38</v>
      </c>
      <c r="D22" s="12">
        <v>1.08</v>
      </c>
      <c r="E22" s="22"/>
      <c r="F22" s="22"/>
      <c r="G22" s="82" t="s">
        <v>95</v>
      </c>
      <c r="H22" s="11">
        <v>-8.5</v>
      </c>
      <c r="I22" s="11">
        <v>0.84</v>
      </c>
      <c r="J22" s="12">
        <v>0.97</v>
      </c>
      <c r="K22" s="22"/>
      <c r="L22" s="22"/>
      <c r="M22" s="22"/>
      <c r="N22" s="1111" t="s">
        <v>310</v>
      </c>
      <c r="O22" s="1111"/>
      <c r="P22" s="1111"/>
      <c r="Q22" s="1111"/>
      <c r="R22" s="1111"/>
      <c r="S22" s="1111"/>
      <c r="T22" s="1111"/>
      <c r="U22" s="22"/>
      <c r="W22" s="1113">
        <v>2</v>
      </c>
      <c r="X22" s="1097"/>
      <c r="Y22" s="1097">
        <v>0.23200000000000001</v>
      </c>
      <c r="Z22" s="1098"/>
      <c r="AS22" s="59"/>
    </row>
    <row r="23" spans="1:45" x14ac:dyDescent="0.25">
      <c r="A23" s="101" t="s">
        <v>98</v>
      </c>
      <c r="B23" s="11">
        <v>-12.81</v>
      </c>
      <c r="C23" s="11">
        <v>1.38</v>
      </c>
      <c r="D23" s="12">
        <v>1.34</v>
      </c>
      <c r="E23" s="22"/>
      <c r="F23" s="22"/>
      <c r="G23" s="101" t="s">
        <v>98</v>
      </c>
      <c r="H23" s="11">
        <v>-5.04</v>
      </c>
      <c r="I23" s="11">
        <v>0.45</v>
      </c>
      <c r="J23" s="12">
        <v>1.06</v>
      </c>
      <c r="K23" s="22"/>
      <c r="L23" s="22"/>
      <c r="M23" s="22"/>
      <c r="N23" s="1112"/>
      <c r="O23" s="1112"/>
      <c r="P23" s="1112"/>
      <c r="Q23" s="1112"/>
      <c r="R23" s="1112"/>
      <c r="S23" s="1112"/>
      <c r="T23" s="1112"/>
      <c r="U23" s="22"/>
      <c r="W23" s="812">
        <v>5</v>
      </c>
      <c r="X23" s="1105"/>
      <c r="Y23" s="1105">
        <v>0.13300000000000001</v>
      </c>
      <c r="Z23" s="1106"/>
      <c r="AD23" s="29"/>
      <c r="AE23" s="29"/>
      <c r="AF23" s="29"/>
      <c r="AG23" s="27"/>
      <c r="AS23" s="59"/>
    </row>
    <row r="24" spans="1:45" ht="13" thickBot="1" x14ac:dyDescent="0.3">
      <c r="A24" s="84" t="s">
        <v>164</v>
      </c>
      <c r="B24" s="13">
        <v>-9.9700000000000006</v>
      </c>
      <c r="C24" s="13">
        <v>1.17</v>
      </c>
      <c r="D24" s="76">
        <v>0.88</v>
      </c>
      <c r="E24" s="22"/>
      <c r="F24" s="22"/>
      <c r="G24" s="84" t="s">
        <v>164</v>
      </c>
      <c r="H24" s="13">
        <v>-5.83</v>
      </c>
      <c r="I24" s="13">
        <v>0.61</v>
      </c>
      <c r="J24" s="76">
        <v>0.55000000000000004</v>
      </c>
      <c r="K24" s="22"/>
      <c r="L24" s="22"/>
      <c r="M24" s="22"/>
      <c r="U24" s="22"/>
      <c r="W24" s="812">
        <v>10</v>
      </c>
      <c r="X24" s="1105"/>
      <c r="Y24" s="1105">
        <v>8.6999999999999994E-2</v>
      </c>
      <c r="Z24" s="1106"/>
      <c r="AD24" s="27"/>
      <c r="AE24" s="27"/>
      <c r="AF24" s="27"/>
      <c r="AG24" s="27"/>
      <c r="AS24" s="59"/>
    </row>
    <row r="25" spans="1:45" x14ac:dyDescent="0.25">
      <c r="A25" s="1"/>
      <c r="B25" s="1"/>
      <c r="C25" s="1"/>
      <c r="D25" s="1"/>
      <c r="E25" s="1"/>
      <c r="F25" s="1"/>
      <c r="G25" s="1"/>
      <c r="H25" s="1"/>
      <c r="I25" s="1"/>
      <c r="J25" s="1"/>
      <c r="K25" s="1"/>
      <c r="L25" s="1"/>
      <c r="M25" s="1"/>
      <c r="U25" s="1"/>
      <c r="W25" s="812">
        <v>15</v>
      </c>
      <c r="X25" s="1105"/>
      <c r="Y25" s="1105">
        <v>6.8000000000000005E-2</v>
      </c>
      <c r="Z25" s="1106"/>
      <c r="AD25" s="24"/>
      <c r="AE25" s="24"/>
      <c r="AF25" s="24"/>
      <c r="AG25" s="24"/>
    </row>
    <row r="26" spans="1:45" ht="13" x14ac:dyDescent="0.3">
      <c r="A26" s="70" t="s">
        <v>397</v>
      </c>
      <c r="B26" s="1"/>
      <c r="C26" s="1"/>
      <c r="D26" s="1"/>
      <c r="E26" s="1"/>
      <c r="F26" s="1"/>
      <c r="G26" s="1"/>
      <c r="H26" s="1"/>
      <c r="I26" s="1"/>
      <c r="J26" s="1"/>
      <c r="K26" s="1"/>
      <c r="L26" s="1"/>
      <c r="M26" s="1"/>
      <c r="U26" s="1"/>
      <c r="W26" s="812">
        <v>20</v>
      </c>
      <c r="X26" s="1105"/>
      <c r="Y26" s="1105">
        <v>5.7000000000000002E-2</v>
      </c>
      <c r="Z26" s="1106"/>
      <c r="AD26" s="24"/>
      <c r="AE26" s="24"/>
      <c r="AF26" s="24"/>
      <c r="AG26" s="24"/>
    </row>
    <row r="27" spans="1:45" ht="13" thickBot="1" x14ac:dyDescent="0.3">
      <c r="W27" s="812">
        <v>25</v>
      </c>
      <c r="X27" s="1105"/>
      <c r="Y27" s="1105">
        <v>4.9000000000000002E-2</v>
      </c>
      <c r="Z27" s="1106"/>
      <c r="AD27" s="24"/>
      <c r="AE27" s="24"/>
      <c r="AF27" s="24"/>
      <c r="AG27" s="24"/>
    </row>
    <row r="28" spans="1:45" ht="14" thickTop="1" thickBot="1" x14ac:dyDescent="0.35">
      <c r="A28" s="1050" t="s">
        <v>483</v>
      </c>
      <c r="B28" s="1050"/>
      <c r="C28" s="1050"/>
      <c r="D28" s="1050"/>
      <c r="E28" s="1050"/>
      <c r="F28" s="1050"/>
      <c r="G28" s="1050"/>
      <c r="H28" s="1050"/>
      <c r="I28" s="1050"/>
      <c r="J28" s="1051"/>
      <c r="K28" s="1051"/>
      <c r="L28" s="1052"/>
      <c r="W28" s="1122" t="s">
        <v>177</v>
      </c>
      <c r="X28" s="1107"/>
      <c r="Y28" s="1107">
        <v>4.3999999999999997E-2</v>
      </c>
      <c r="Z28" s="1108"/>
      <c r="AD28" s="24"/>
      <c r="AE28" s="24"/>
      <c r="AF28" s="24"/>
      <c r="AG28" s="24"/>
    </row>
    <row r="29" spans="1:45" ht="13" thickBot="1" x14ac:dyDescent="0.3">
      <c r="A29" s="1042"/>
      <c r="B29" s="1042"/>
      <c r="C29" s="1042"/>
      <c r="D29" s="1042"/>
      <c r="E29" s="1042"/>
      <c r="F29" s="1042"/>
      <c r="G29" s="1042"/>
      <c r="H29" s="1042"/>
      <c r="I29" s="1042"/>
      <c r="J29" s="1053"/>
      <c r="K29" s="1053"/>
      <c r="L29" s="1054"/>
      <c r="W29" s="1123" t="s">
        <v>318</v>
      </c>
      <c r="X29" s="1124"/>
      <c r="Y29" s="1124"/>
      <c r="Z29" s="1124"/>
      <c r="AA29" s="24"/>
      <c r="AB29" s="24"/>
      <c r="AC29" s="24"/>
      <c r="AD29" s="24"/>
      <c r="AE29" s="24"/>
      <c r="AF29" s="24"/>
      <c r="AG29" s="24"/>
    </row>
    <row r="30" spans="1:45" ht="13" x14ac:dyDescent="0.3">
      <c r="A30" s="1032" t="s">
        <v>66</v>
      </c>
      <c r="B30" s="1033" t="s">
        <v>65</v>
      </c>
      <c r="C30" s="1035" t="s">
        <v>223</v>
      </c>
      <c r="D30" s="1028"/>
      <c r="E30" s="1028"/>
      <c r="F30" s="1028"/>
      <c r="G30" s="1028"/>
      <c r="H30" s="1028"/>
      <c r="I30" s="1028"/>
      <c r="J30" s="1028"/>
      <c r="K30" s="1028"/>
      <c r="L30" s="1036"/>
      <c r="M30" s="1"/>
      <c r="N30" s="1"/>
      <c r="O30" s="1"/>
      <c r="P30" s="1"/>
      <c r="Q30" s="1"/>
      <c r="R30" s="1"/>
      <c r="S30" s="1"/>
      <c r="T30" s="1"/>
      <c r="W30" s="699"/>
      <c r="X30" s="699"/>
      <c r="Y30" s="699"/>
      <c r="Z30" s="699"/>
    </row>
    <row r="31" spans="1:45" ht="13" x14ac:dyDescent="0.3">
      <c r="A31" s="988"/>
      <c r="B31" s="1034"/>
      <c r="C31" s="497" t="s">
        <v>44</v>
      </c>
      <c r="D31" s="455"/>
      <c r="E31" s="455"/>
      <c r="F31" s="455"/>
      <c r="G31" s="455"/>
      <c r="H31" s="455"/>
      <c r="I31" s="455"/>
      <c r="J31" s="455"/>
      <c r="K31" s="455"/>
      <c r="L31" s="509"/>
      <c r="M31" s="1"/>
      <c r="N31" s="1"/>
      <c r="O31" s="1"/>
      <c r="P31" s="1"/>
      <c r="Q31" s="1"/>
      <c r="R31" s="1"/>
      <c r="S31" s="1"/>
      <c r="T31" s="1"/>
      <c r="U31" s="26"/>
      <c r="W31" s="887" t="s">
        <v>319</v>
      </c>
      <c r="X31" s="1140"/>
      <c r="Y31" s="1140"/>
      <c r="Z31" s="1140"/>
      <c r="AJ31" s="94"/>
      <c r="AO31" s="1"/>
    </row>
    <row r="32" spans="1:45" ht="13.5" thickBot="1" x14ac:dyDescent="0.35">
      <c r="A32" s="951" t="s">
        <v>46</v>
      </c>
      <c r="B32" s="1055"/>
      <c r="C32" s="498" t="s">
        <v>153</v>
      </c>
      <c r="D32" s="499"/>
      <c r="E32" s="497" t="s">
        <v>152</v>
      </c>
      <c r="F32" s="497"/>
      <c r="G32" s="497" t="s">
        <v>95</v>
      </c>
      <c r="H32" s="497"/>
      <c r="I32" s="497" t="s">
        <v>98</v>
      </c>
      <c r="J32" s="497"/>
      <c r="K32" s="497" t="s">
        <v>164</v>
      </c>
      <c r="L32" s="498"/>
      <c r="M32" s="5"/>
      <c r="N32" s="5"/>
      <c r="O32" s="5"/>
      <c r="P32" s="5"/>
      <c r="Q32" s="5"/>
      <c r="R32" s="5"/>
      <c r="S32" s="5"/>
      <c r="T32" s="5"/>
      <c r="W32" s="1141"/>
      <c r="X32" s="1141"/>
      <c r="Y32" s="1141"/>
      <c r="Z32" s="1141"/>
      <c r="AJ32" s="94"/>
      <c r="AO32" s="1"/>
    </row>
    <row r="33" spans="1:47" ht="13" x14ac:dyDescent="0.3">
      <c r="A33" s="1056"/>
      <c r="B33" s="1057"/>
      <c r="C33" s="74" t="s">
        <v>224</v>
      </c>
      <c r="D33" s="74" t="s">
        <v>88</v>
      </c>
      <c r="E33" s="74" t="s">
        <v>224</v>
      </c>
      <c r="F33" s="74" t="s">
        <v>88</v>
      </c>
      <c r="G33" s="74" t="s">
        <v>224</v>
      </c>
      <c r="H33" s="74" t="s">
        <v>88</v>
      </c>
      <c r="I33" s="74" t="s">
        <v>224</v>
      </c>
      <c r="J33" s="74" t="s">
        <v>88</v>
      </c>
      <c r="K33" s="74" t="s">
        <v>224</v>
      </c>
      <c r="L33" s="105" t="s">
        <v>88</v>
      </c>
      <c r="M33" s="91"/>
      <c r="N33" s="91"/>
      <c r="O33" s="91"/>
      <c r="P33" s="91"/>
      <c r="Q33" s="91"/>
      <c r="R33" s="91"/>
      <c r="S33" s="91"/>
      <c r="T33" s="91"/>
      <c r="U33" s="15"/>
      <c r="W33" s="39"/>
      <c r="X33" s="39"/>
      <c r="Y33" s="22"/>
      <c r="Z33" s="1"/>
      <c r="AJ33" s="8"/>
      <c r="AO33" s="83"/>
    </row>
    <row r="34" spans="1:47" x14ac:dyDescent="0.25">
      <c r="A34" s="905" t="s">
        <v>38</v>
      </c>
      <c r="B34" s="694"/>
      <c r="C34" s="80">
        <v>0.73</v>
      </c>
      <c r="D34" s="80">
        <v>0.77800000000000002</v>
      </c>
      <c r="E34" s="80">
        <v>0.84499999999999997</v>
      </c>
      <c r="F34" s="80">
        <v>0.84199999999999997</v>
      </c>
      <c r="G34" s="80">
        <v>0.51100000000000001</v>
      </c>
      <c r="H34" s="80">
        <v>0.50600000000000001</v>
      </c>
      <c r="I34" s="80">
        <v>0.83199999999999996</v>
      </c>
      <c r="J34" s="80">
        <v>0.66200000000000003</v>
      </c>
      <c r="K34" s="80">
        <v>0.84599999999999997</v>
      </c>
      <c r="L34" s="81">
        <v>0.65100000000000002</v>
      </c>
      <c r="M34" s="111"/>
      <c r="N34" s="111"/>
      <c r="O34" s="111"/>
      <c r="P34" s="111"/>
      <c r="Q34" s="111"/>
      <c r="R34" s="111"/>
      <c r="S34" s="111"/>
      <c r="T34" s="111"/>
      <c r="U34" s="15"/>
      <c r="AJ34" s="118"/>
      <c r="AN34" s="83"/>
      <c r="AO34" s="83"/>
    </row>
    <row r="35" spans="1:47" ht="13" thickBot="1" x14ac:dyDescent="0.3">
      <c r="A35" s="1037" t="s">
        <v>37</v>
      </c>
      <c r="B35" s="694"/>
      <c r="C35" s="3">
        <v>6.8000000000000005E-2</v>
      </c>
      <c r="D35" s="3">
        <v>4.0000000000000001E-3</v>
      </c>
      <c r="E35" s="3">
        <v>3.4000000000000002E-2</v>
      </c>
      <c r="F35" s="3">
        <v>0.02</v>
      </c>
      <c r="G35" s="3">
        <v>7.6999999999999999E-2</v>
      </c>
      <c r="H35" s="3">
        <v>4.0000000000000001E-3</v>
      </c>
      <c r="I35" s="3">
        <v>0.02</v>
      </c>
      <c r="J35" s="3">
        <v>7.0000000000000001E-3</v>
      </c>
      <c r="K35" s="3">
        <v>2.1000000000000001E-2</v>
      </c>
      <c r="L35" s="41">
        <v>4.0000000000000001E-3</v>
      </c>
      <c r="M35" s="24"/>
      <c r="N35" s="24"/>
      <c r="O35" s="24"/>
      <c r="P35" s="24"/>
      <c r="Q35" s="24"/>
      <c r="R35" s="24"/>
      <c r="S35" s="24"/>
      <c r="T35" s="24"/>
      <c r="AJ35" s="118"/>
    </row>
    <row r="36" spans="1:47" ht="13.5" thickTop="1" x14ac:dyDescent="0.3">
      <c r="A36" s="1037" t="s">
        <v>36</v>
      </c>
      <c r="B36" s="694"/>
      <c r="C36" s="3">
        <v>8.5000000000000006E-2</v>
      </c>
      <c r="D36" s="3">
        <v>7.9000000000000001E-2</v>
      </c>
      <c r="E36" s="3">
        <v>6.9000000000000006E-2</v>
      </c>
      <c r="F36" s="3">
        <v>0.02</v>
      </c>
      <c r="G36" s="3">
        <v>0.18099999999999999</v>
      </c>
      <c r="H36" s="3">
        <v>0.13</v>
      </c>
      <c r="I36" s="3">
        <v>0.04</v>
      </c>
      <c r="J36" s="3">
        <v>3.5999999999999997E-2</v>
      </c>
      <c r="K36" s="3">
        <v>0.05</v>
      </c>
      <c r="L36" s="41">
        <v>5.8999999999999997E-2</v>
      </c>
      <c r="M36" s="24"/>
      <c r="N36" s="24"/>
      <c r="O36" s="24"/>
      <c r="P36" s="24"/>
      <c r="Q36" s="24"/>
      <c r="R36" s="24"/>
      <c r="S36" s="24"/>
      <c r="T36" s="24"/>
      <c r="W36" s="1050" t="s">
        <v>499</v>
      </c>
      <c r="X36" s="1017"/>
      <c r="Y36" s="1017"/>
      <c r="AJ36" s="1"/>
      <c r="AN36" s="5"/>
      <c r="AO36" s="5"/>
      <c r="AP36" s="5"/>
      <c r="AQ36" s="5"/>
      <c r="AR36" s="5"/>
      <c r="AS36" s="5"/>
      <c r="AT36" s="5"/>
      <c r="AU36" s="5"/>
    </row>
    <row r="37" spans="1:47" ht="13" x14ac:dyDescent="0.3">
      <c r="A37" s="1037" t="s">
        <v>221</v>
      </c>
      <c r="B37" s="694"/>
      <c r="C37" s="3">
        <v>1.4999999999999999E-2</v>
      </c>
      <c r="D37" s="3">
        <v>3.1E-2</v>
      </c>
      <c r="E37" s="3">
        <v>1E-3</v>
      </c>
      <c r="F37" s="3">
        <v>7.8E-2</v>
      </c>
      <c r="G37" s="3">
        <v>9.2999999999999999E-2</v>
      </c>
      <c r="H37" s="3">
        <v>0.249</v>
      </c>
      <c r="I37" s="3">
        <v>0.05</v>
      </c>
      <c r="J37" s="3">
        <v>0.223</v>
      </c>
      <c r="K37" s="3">
        <v>6.0999999999999999E-2</v>
      </c>
      <c r="L37" s="41">
        <v>0.248</v>
      </c>
      <c r="M37" s="24"/>
      <c r="N37" s="24"/>
      <c r="O37" s="24"/>
      <c r="P37" s="24"/>
      <c r="Q37" s="24"/>
      <c r="R37" s="24"/>
      <c r="S37" s="24"/>
      <c r="T37" s="24"/>
      <c r="U37" s="1"/>
      <c r="W37" s="1143"/>
      <c r="X37" s="1143"/>
      <c r="Y37" s="1143"/>
      <c r="AJ37" s="24"/>
      <c r="AN37" s="1"/>
      <c r="AO37" s="1"/>
      <c r="AP37" s="1"/>
      <c r="AQ37" s="1"/>
      <c r="AR37" s="5"/>
      <c r="AS37" s="1"/>
      <c r="AT37" s="1"/>
      <c r="AU37" s="1"/>
    </row>
    <row r="38" spans="1:47" ht="13" x14ac:dyDescent="0.3">
      <c r="A38" s="1037" t="s">
        <v>222</v>
      </c>
      <c r="B38" s="694"/>
      <c r="C38" s="3">
        <v>7.2999999999999995E-2</v>
      </c>
      <c r="D38" s="3">
        <v>5.5E-2</v>
      </c>
      <c r="E38" s="3">
        <v>1.7000000000000001E-2</v>
      </c>
      <c r="F38" s="3">
        <v>0.02</v>
      </c>
      <c r="G38" s="3">
        <v>8.2000000000000003E-2</v>
      </c>
      <c r="H38" s="3">
        <v>3.1E-2</v>
      </c>
      <c r="I38" s="3">
        <v>0.01</v>
      </c>
      <c r="J38" s="3">
        <v>1E-3</v>
      </c>
      <c r="K38" s="3">
        <v>4.0000000000000001E-3</v>
      </c>
      <c r="L38" s="41">
        <v>8.9999999999999993E-3</v>
      </c>
      <c r="M38" s="24"/>
      <c r="N38" s="24"/>
      <c r="O38" s="24"/>
      <c r="P38" s="24"/>
      <c r="Q38" s="24"/>
      <c r="R38" s="24"/>
      <c r="S38" s="24"/>
      <c r="T38" s="24"/>
      <c r="W38" s="1143"/>
      <c r="X38" s="1143"/>
      <c r="Y38" s="1143"/>
      <c r="AJ38" s="24"/>
      <c r="AN38" s="5"/>
      <c r="AO38" s="5"/>
      <c r="AP38" s="5"/>
      <c r="AR38" s="5"/>
      <c r="AS38" s="5"/>
      <c r="AT38" s="5"/>
      <c r="AU38" s="5"/>
    </row>
    <row r="39" spans="1:47" ht="13.5" thickBot="1" x14ac:dyDescent="0.35">
      <c r="A39" s="1037" t="s">
        <v>226</v>
      </c>
      <c r="B39" s="657"/>
      <c r="C39" s="3">
        <v>2.9000000000000001E-2</v>
      </c>
      <c r="D39" s="3">
        <v>5.2999999999999999E-2</v>
      </c>
      <c r="E39" s="3">
        <v>3.4000000000000002E-2</v>
      </c>
      <c r="F39" s="3">
        <v>0.02</v>
      </c>
      <c r="G39" s="3">
        <v>5.6000000000000001E-2</v>
      </c>
      <c r="H39" s="3">
        <v>0.08</v>
      </c>
      <c r="I39" s="3">
        <v>4.8000000000000001E-2</v>
      </c>
      <c r="J39" s="3">
        <v>7.0999999999999994E-2</v>
      </c>
      <c r="K39" s="3">
        <v>1.7999999999999999E-2</v>
      </c>
      <c r="L39" s="41">
        <v>2.9000000000000001E-2</v>
      </c>
      <c r="M39" s="24"/>
      <c r="N39" s="24"/>
      <c r="O39" s="24"/>
      <c r="P39" s="24"/>
      <c r="Q39" s="24"/>
      <c r="R39" s="24"/>
      <c r="S39" s="24"/>
      <c r="T39" s="24"/>
      <c r="W39" s="1018"/>
      <c r="X39" s="1018"/>
      <c r="Y39" s="1018"/>
      <c r="AJ39" s="24"/>
      <c r="AL39" s="5"/>
      <c r="AM39" s="5"/>
      <c r="AN39" s="5"/>
      <c r="AO39" s="5"/>
      <c r="AP39" s="5"/>
      <c r="AR39" s="5"/>
      <c r="AS39" s="5"/>
      <c r="AT39" s="5"/>
      <c r="AU39" s="5"/>
    </row>
    <row r="40" spans="1:47" ht="13.5" thickBot="1" x14ac:dyDescent="0.35">
      <c r="A40" s="106" t="s">
        <v>225</v>
      </c>
      <c r="B40" s="107"/>
      <c r="C40" s="102"/>
      <c r="D40" s="102"/>
      <c r="E40" s="102"/>
      <c r="F40" s="102"/>
      <c r="G40" s="102"/>
      <c r="H40" s="102"/>
      <c r="I40" s="102"/>
      <c r="J40" s="102"/>
      <c r="K40" s="102"/>
      <c r="L40" s="103"/>
      <c r="W40" s="1144" t="s">
        <v>179</v>
      </c>
      <c r="X40" s="1144"/>
      <c r="Y40" s="5" t="s">
        <v>97</v>
      </c>
      <c r="AJ40" s="24"/>
      <c r="AL40" s="5"/>
      <c r="AM40" s="5"/>
      <c r="AN40" s="5"/>
      <c r="AO40" s="5"/>
      <c r="AP40" s="8"/>
      <c r="AR40" s="5"/>
      <c r="AS40" s="5"/>
      <c r="AT40" s="5"/>
      <c r="AU40" s="5"/>
    </row>
    <row r="41" spans="1:47" ht="13" x14ac:dyDescent="0.3">
      <c r="A41" s="870" t="s">
        <v>46</v>
      </c>
      <c r="B41" s="773"/>
      <c r="C41" s="497" t="s">
        <v>45</v>
      </c>
      <c r="D41" s="455"/>
      <c r="E41" s="455"/>
      <c r="F41" s="455"/>
      <c r="G41" s="455"/>
      <c r="H41" s="455"/>
      <c r="I41" s="455"/>
      <c r="J41" s="455"/>
      <c r="K41" s="455"/>
      <c r="L41" s="509"/>
      <c r="M41" s="1"/>
      <c r="N41" s="1"/>
      <c r="O41" s="1"/>
      <c r="P41" s="1"/>
      <c r="Q41" s="1"/>
      <c r="R41" s="1"/>
      <c r="S41" s="1"/>
      <c r="T41" s="1"/>
      <c r="V41" s="22"/>
      <c r="W41" s="1145">
        <v>10</v>
      </c>
      <c r="X41" s="460"/>
      <c r="Y41" s="86">
        <v>1.01</v>
      </c>
      <c r="AJ41" s="24"/>
      <c r="AK41" s="9"/>
      <c r="AL41" s="1"/>
      <c r="AM41" s="1"/>
      <c r="AN41" s="1"/>
      <c r="AO41" s="9"/>
      <c r="AP41" s="6"/>
      <c r="AR41" s="1"/>
      <c r="AS41" s="1"/>
      <c r="AT41" s="1"/>
      <c r="AU41" s="9"/>
    </row>
    <row r="42" spans="1:47" ht="13" x14ac:dyDescent="0.3">
      <c r="A42" s="775"/>
      <c r="B42" s="774"/>
      <c r="C42" s="497" t="s">
        <v>153</v>
      </c>
      <c r="D42" s="497"/>
      <c r="E42" s="497" t="s">
        <v>152</v>
      </c>
      <c r="F42" s="497"/>
      <c r="G42" s="497" t="s">
        <v>95</v>
      </c>
      <c r="H42" s="497"/>
      <c r="I42" s="497" t="s">
        <v>98</v>
      </c>
      <c r="J42" s="497"/>
      <c r="K42" s="497" t="s">
        <v>164</v>
      </c>
      <c r="L42" s="498"/>
      <c r="M42" s="5"/>
      <c r="N42" s="5"/>
      <c r="O42" s="5"/>
      <c r="P42" s="5"/>
      <c r="Q42" s="5"/>
      <c r="R42" s="5"/>
      <c r="S42" s="5"/>
      <c r="T42" s="5"/>
      <c r="U42" s="28"/>
      <c r="W42" s="1125">
        <v>15</v>
      </c>
      <c r="X42" s="522"/>
      <c r="Y42" s="12">
        <v>1</v>
      </c>
    </row>
    <row r="43" spans="1:47" ht="13" x14ac:dyDescent="0.3">
      <c r="A43" s="707"/>
      <c r="B43" s="1126"/>
      <c r="C43" s="74" t="s">
        <v>224</v>
      </c>
      <c r="D43" s="74" t="s">
        <v>88</v>
      </c>
      <c r="E43" s="74" t="s">
        <v>224</v>
      </c>
      <c r="F43" s="74" t="s">
        <v>88</v>
      </c>
      <c r="G43" s="74" t="s">
        <v>224</v>
      </c>
      <c r="H43" s="74" t="s">
        <v>88</v>
      </c>
      <c r="I43" s="74" t="s">
        <v>224</v>
      </c>
      <c r="J43" s="74" t="s">
        <v>88</v>
      </c>
      <c r="K43" s="74" t="s">
        <v>224</v>
      </c>
      <c r="L43" s="105" t="s">
        <v>88</v>
      </c>
      <c r="M43" s="91"/>
      <c r="N43" s="91"/>
      <c r="O43" s="91"/>
      <c r="P43" s="91"/>
      <c r="Q43" s="91"/>
      <c r="R43" s="91"/>
      <c r="S43" s="91"/>
      <c r="T43" s="91"/>
      <c r="U43" s="91"/>
      <c r="W43" s="1125">
        <v>20</v>
      </c>
      <c r="X43" s="522"/>
      <c r="Y43" s="12">
        <v>0.99</v>
      </c>
    </row>
    <row r="44" spans="1:47" ht="13" x14ac:dyDescent="0.3">
      <c r="A44" s="905" t="s">
        <v>38</v>
      </c>
      <c r="B44" s="694"/>
      <c r="C44" s="142">
        <v>0.5</v>
      </c>
      <c r="D44" s="142">
        <v>0.1</v>
      </c>
      <c r="E44" s="142"/>
      <c r="F44" s="142"/>
      <c r="G44" s="142">
        <v>0.75</v>
      </c>
      <c r="H44" s="142"/>
      <c r="I44" s="142"/>
      <c r="J44" s="142"/>
      <c r="K44" s="142"/>
      <c r="L44" s="143"/>
      <c r="M44" s="112"/>
      <c r="N44" s="112"/>
      <c r="O44" s="112"/>
      <c r="P44" s="112"/>
      <c r="Q44" s="112"/>
      <c r="R44" s="112"/>
      <c r="S44" s="112"/>
      <c r="T44" s="112"/>
      <c r="U44" s="91"/>
      <c r="W44" s="1125">
        <v>30</v>
      </c>
      <c r="X44" s="522"/>
      <c r="Y44" s="12">
        <v>0.98</v>
      </c>
    </row>
    <row r="45" spans="1:47" x14ac:dyDescent="0.25">
      <c r="A45" s="1037" t="s">
        <v>37</v>
      </c>
      <c r="B45" s="694"/>
      <c r="C45" s="142">
        <v>0.51</v>
      </c>
      <c r="D45" s="142">
        <v>0.11</v>
      </c>
      <c r="E45" s="142"/>
      <c r="F45" s="142"/>
      <c r="G45" s="142">
        <v>0.65</v>
      </c>
      <c r="H45" s="142"/>
      <c r="I45" s="142"/>
      <c r="J45" s="142"/>
      <c r="K45" s="142"/>
      <c r="L45" s="143"/>
      <c r="M45" s="112"/>
      <c r="N45" s="112"/>
      <c r="O45" s="112"/>
      <c r="P45" s="112"/>
      <c r="Q45" s="112"/>
      <c r="R45" s="112"/>
      <c r="S45" s="112"/>
      <c r="T45" s="112"/>
      <c r="U45" s="92"/>
      <c r="W45" s="1125">
        <v>40</v>
      </c>
      <c r="X45" s="522"/>
      <c r="Y45" s="12">
        <v>0.97</v>
      </c>
    </row>
    <row r="46" spans="1:47" x14ac:dyDescent="0.25">
      <c r="A46" s="1037" t="s">
        <v>36</v>
      </c>
      <c r="B46" s="694"/>
      <c r="C46" s="142">
        <v>0.52</v>
      </c>
      <c r="D46" s="142">
        <v>0.12</v>
      </c>
      <c r="E46" s="142"/>
      <c r="F46" s="142"/>
      <c r="G46" s="142">
        <v>0.55000000000000004</v>
      </c>
      <c r="H46" s="142"/>
      <c r="I46" s="142"/>
      <c r="J46" s="142"/>
      <c r="K46" s="142"/>
      <c r="L46" s="143"/>
      <c r="M46" s="112"/>
      <c r="N46" s="112"/>
      <c r="O46" s="112"/>
      <c r="P46" s="112"/>
      <c r="Q46" s="112"/>
      <c r="R46" s="112"/>
      <c r="S46" s="112"/>
      <c r="T46" s="112"/>
      <c r="U46" s="93"/>
      <c r="W46" s="1125">
        <v>50</v>
      </c>
      <c r="X46" s="522"/>
      <c r="Y46" s="12">
        <v>0.96</v>
      </c>
    </row>
    <row r="47" spans="1:47" x14ac:dyDescent="0.25">
      <c r="A47" s="1037" t="s">
        <v>221</v>
      </c>
      <c r="B47" s="694"/>
      <c r="C47" s="144">
        <v>0.53</v>
      </c>
      <c r="D47" s="144">
        <v>0.13</v>
      </c>
      <c r="E47" s="144"/>
      <c r="F47" s="144"/>
      <c r="G47" s="144">
        <v>0.45</v>
      </c>
      <c r="H47" s="144"/>
      <c r="I47" s="144"/>
      <c r="J47" s="144"/>
      <c r="K47" s="144"/>
      <c r="L47" s="145"/>
      <c r="M47" s="36"/>
      <c r="N47" s="36"/>
      <c r="O47" s="36"/>
      <c r="P47" s="36"/>
      <c r="Q47" s="36"/>
      <c r="R47" s="36"/>
      <c r="S47" s="36"/>
      <c r="T47" s="36"/>
      <c r="W47" s="1125">
        <v>60</v>
      </c>
      <c r="X47" s="522"/>
      <c r="Y47" s="12">
        <v>0.95</v>
      </c>
    </row>
    <row r="48" spans="1:47" x14ac:dyDescent="0.25">
      <c r="A48" s="1037" t="s">
        <v>222</v>
      </c>
      <c r="B48" s="694"/>
      <c r="C48" s="144">
        <v>0.54</v>
      </c>
      <c r="D48" s="144">
        <v>0.14000000000000001</v>
      </c>
      <c r="E48" s="144"/>
      <c r="F48" s="144"/>
      <c r="G48" s="144">
        <v>0.35</v>
      </c>
      <c r="H48" s="144"/>
      <c r="I48" s="144"/>
      <c r="J48" s="144"/>
      <c r="K48" s="144"/>
      <c r="L48" s="145"/>
      <c r="M48" s="36"/>
      <c r="N48" s="36"/>
      <c r="O48" s="36"/>
      <c r="P48" s="36"/>
      <c r="Q48" s="36"/>
      <c r="R48" s="36"/>
      <c r="S48" s="36"/>
      <c r="T48" s="36"/>
      <c r="W48" s="1125">
        <v>70</v>
      </c>
      <c r="X48" s="522"/>
      <c r="Y48" s="12">
        <v>0.94</v>
      </c>
    </row>
    <row r="49" spans="1:25" ht="13" thickBot="1" x14ac:dyDescent="0.3">
      <c r="A49" s="1075" t="s">
        <v>226</v>
      </c>
      <c r="B49" s="723"/>
      <c r="C49" s="146">
        <v>0.55000000000000004</v>
      </c>
      <c r="D49" s="146">
        <v>0.15</v>
      </c>
      <c r="E49" s="146"/>
      <c r="F49" s="146"/>
      <c r="G49" s="146">
        <v>0.25</v>
      </c>
      <c r="H49" s="146"/>
      <c r="I49" s="146"/>
      <c r="J49" s="146"/>
      <c r="K49" s="146"/>
      <c r="L49" s="147"/>
      <c r="M49" s="36"/>
      <c r="N49" s="36"/>
      <c r="O49" s="36"/>
      <c r="P49" s="36"/>
      <c r="Q49" s="36"/>
      <c r="R49" s="36"/>
      <c r="S49" s="36"/>
      <c r="T49" s="36"/>
      <c r="W49" s="1125">
        <v>80</v>
      </c>
      <c r="X49" s="522"/>
      <c r="Y49" s="12">
        <v>0.93</v>
      </c>
    </row>
    <row r="50" spans="1:25" x14ac:dyDescent="0.25">
      <c r="A50" s="58" t="s">
        <v>482</v>
      </c>
      <c r="W50" s="1125">
        <v>90</v>
      </c>
      <c r="X50" s="522"/>
      <c r="Y50" s="12">
        <v>0.93</v>
      </c>
    </row>
    <row r="51" spans="1:25" ht="13" thickBot="1" x14ac:dyDescent="0.3">
      <c r="W51" s="1142">
        <v>100</v>
      </c>
      <c r="X51" s="526"/>
      <c r="Y51" s="76">
        <v>0.92</v>
      </c>
    </row>
    <row r="52" spans="1:25" ht="13" thickBot="1" x14ac:dyDescent="0.3">
      <c r="Y52" s="22"/>
    </row>
    <row r="53" spans="1:25" ht="13" thickTop="1" x14ac:dyDescent="0.25">
      <c r="A53" s="1050" t="s">
        <v>485</v>
      </c>
      <c r="B53" s="1050"/>
      <c r="C53" s="1050"/>
      <c r="D53" s="1050"/>
      <c r="E53" s="1050"/>
      <c r="F53" s="1050"/>
      <c r="G53" s="1050"/>
      <c r="H53" s="1050"/>
      <c r="I53" s="1050"/>
      <c r="J53" s="1051"/>
      <c r="K53" s="1051"/>
      <c r="L53" s="1052"/>
    </row>
    <row r="54" spans="1:25" ht="13" thickBot="1" x14ac:dyDescent="0.3">
      <c r="A54" s="1042"/>
      <c r="B54" s="1042"/>
      <c r="C54" s="1042"/>
      <c r="D54" s="1042"/>
      <c r="E54" s="1042"/>
      <c r="F54" s="1042"/>
      <c r="G54" s="1042"/>
      <c r="H54" s="1042"/>
      <c r="I54" s="1042"/>
      <c r="J54" s="1053"/>
      <c r="K54" s="1053"/>
      <c r="L54" s="1054"/>
      <c r="U54" s="1"/>
    </row>
    <row r="55" spans="1:25" ht="13" x14ac:dyDescent="0.3">
      <c r="A55" s="1032" t="s">
        <v>66</v>
      </c>
      <c r="B55" s="1033" t="s">
        <v>65</v>
      </c>
      <c r="C55" s="1035" t="s">
        <v>223</v>
      </c>
      <c r="D55" s="1028"/>
      <c r="E55" s="1028"/>
      <c r="F55" s="1028"/>
      <c r="G55" s="1028"/>
      <c r="H55" s="1028"/>
      <c r="I55" s="1028"/>
      <c r="J55" s="1028"/>
      <c r="K55" s="1028"/>
      <c r="L55" s="1036"/>
      <c r="M55" s="1"/>
      <c r="N55" s="1"/>
      <c r="O55" s="1"/>
      <c r="P55" s="1"/>
      <c r="Q55" s="1"/>
      <c r="R55" s="1"/>
      <c r="S55" s="1"/>
      <c r="T55" s="1"/>
      <c r="U55" s="24"/>
    </row>
    <row r="56" spans="1:25" ht="13" x14ac:dyDescent="0.3">
      <c r="A56" s="988"/>
      <c r="B56" s="1034"/>
      <c r="C56" s="497" t="s">
        <v>44</v>
      </c>
      <c r="D56" s="455"/>
      <c r="E56" s="455"/>
      <c r="F56" s="455"/>
      <c r="G56" s="455"/>
      <c r="H56" s="455"/>
      <c r="I56" s="455"/>
      <c r="J56" s="455"/>
      <c r="K56" s="455"/>
      <c r="L56" s="509"/>
      <c r="M56" s="1"/>
      <c r="N56" s="1"/>
      <c r="O56" s="1"/>
      <c r="P56" s="1"/>
      <c r="Q56" s="1"/>
      <c r="R56" s="1"/>
      <c r="S56" s="1"/>
      <c r="T56" s="1"/>
      <c r="U56" s="24"/>
    </row>
    <row r="57" spans="1:25" ht="13" x14ac:dyDescent="0.3">
      <c r="A57" s="951" t="s">
        <v>46</v>
      </c>
      <c r="B57" s="1055"/>
      <c r="C57" s="498" t="s">
        <v>153</v>
      </c>
      <c r="D57" s="499"/>
      <c r="E57" s="497" t="s">
        <v>152</v>
      </c>
      <c r="F57" s="497"/>
      <c r="G57" s="497" t="s">
        <v>95</v>
      </c>
      <c r="H57" s="497"/>
      <c r="I57" s="497" t="s">
        <v>98</v>
      </c>
      <c r="J57" s="497"/>
      <c r="K57" s="497" t="s">
        <v>164</v>
      </c>
      <c r="L57" s="498"/>
      <c r="M57" s="5"/>
      <c r="N57" s="5"/>
      <c r="O57" s="5"/>
      <c r="P57" s="5"/>
      <c r="Q57" s="5"/>
      <c r="R57" s="5"/>
      <c r="S57" s="5"/>
      <c r="T57" s="5"/>
      <c r="U57" s="24"/>
    </row>
    <row r="58" spans="1:25" ht="13" x14ac:dyDescent="0.3">
      <c r="A58" s="1056"/>
      <c r="B58" s="1057"/>
      <c r="C58" s="74" t="s">
        <v>224</v>
      </c>
      <c r="D58" s="74" t="s">
        <v>88</v>
      </c>
      <c r="E58" s="74" t="s">
        <v>224</v>
      </c>
      <c r="F58" s="74" t="s">
        <v>88</v>
      </c>
      <c r="G58" s="74" t="s">
        <v>224</v>
      </c>
      <c r="H58" s="74" t="s">
        <v>88</v>
      </c>
      <c r="I58" s="74" t="s">
        <v>224</v>
      </c>
      <c r="J58" s="74" t="s">
        <v>88</v>
      </c>
      <c r="K58" s="74" t="s">
        <v>224</v>
      </c>
      <c r="L58" s="105" t="s">
        <v>88</v>
      </c>
      <c r="M58" s="91"/>
      <c r="N58" s="91"/>
      <c r="O58" s="91"/>
      <c r="P58" s="91"/>
      <c r="Q58" s="91"/>
      <c r="R58" s="91"/>
      <c r="S58" s="91"/>
      <c r="T58" s="91"/>
      <c r="U58" s="1"/>
    </row>
    <row r="59" spans="1:25" x14ac:dyDescent="0.25">
      <c r="A59" s="905" t="s">
        <v>235</v>
      </c>
      <c r="B59" s="610"/>
      <c r="C59" s="80">
        <v>2.5999999999999999E-2</v>
      </c>
      <c r="D59" s="80">
        <v>6.6000000000000003E-2</v>
      </c>
      <c r="E59" s="80">
        <v>1E-3</v>
      </c>
      <c r="F59" s="80">
        <v>1E-3</v>
      </c>
      <c r="G59" s="80">
        <v>1E-3</v>
      </c>
      <c r="H59" s="80">
        <v>1E-3</v>
      </c>
      <c r="I59" s="80">
        <v>1E-3</v>
      </c>
      <c r="J59" s="80">
        <v>6.3E-2</v>
      </c>
      <c r="K59" s="80">
        <v>1.6E-2</v>
      </c>
      <c r="L59" s="81">
        <v>4.9000000000000002E-2</v>
      </c>
      <c r="M59" s="111"/>
      <c r="N59" s="111"/>
      <c r="O59" s="111"/>
      <c r="P59" s="111"/>
      <c r="Q59" s="111"/>
      <c r="R59" s="111"/>
      <c r="S59" s="111"/>
      <c r="T59" s="111"/>
      <c r="U59" s="24"/>
    </row>
    <row r="60" spans="1:25" x14ac:dyDescent="0.25">
      <c r="A60" s="1037" t="s">
        <v>236</v>
      </c>
      <c r="B60" s="624"/>
      <c r="C60" s="3">
        <v>0.72299999999999998</v>
      </c>
      <c r="D60" s="3">
        <v>0.75900000000000001</v>
      </c>
      <c r="E60" s="3">
        <v>0.68799999999999994</v>
      </c>
      <c r="F60" s="3">
        <v>0.96299999999999997</v>
      </c>
      <c r="G60" s="3">
        <v>0.61199999999999999</v>
      </c>
      <c r="H60" s="3">
        <v>0.80900000000000005</v>
      </c>
      <c r="I60" s="3">
        <v>0.5</v>
      </c>
      <c r="J60" s="3">
        <v>0.81299999999999994</v>
      </c>
      <c r="K60" s="3">
        <v>0.39800000000000002</v>
      </c>
      <c r="L60" s="41">
        <v>0.76800000000000002</v>
      </c>
      <c r="M60" s="24"/>
      <c r="N60" s="24"/>
      <c r="O60" s="24"/>
      <c r="P60" s="24"/>
      <c r="Q60" s="24"/>
      <c r="R60" s="24"/>
      <c r="S60" s="24"/>
      <c r="T60" s="24"/>
      <c r="U60" s="33"/>
    </row>
    <row r="61" spans="1:25" x14ac:dyDescent="0.25">
      <c r="A61" s="1037" t="s">
        <v>237</v>
      </c>
      <c r="B61" s="624"/>
      <c r="C61" s="3">
        <v>0.01</v>
      </c>
      <c r="D61" s="3">
        <v>1.2999999999999999E-2</v>
      </c>
      <c r="E61" s="3">
        <v>1E-3</v>
      </c>
      <c r="F61" s="3">
        <v>1E-3</v>
      </c>
      <c r="G61" s="3">
        <v>0.02</v>
      </c>
      <c r="H61" s="3">
        <v>2.9000000000000001E-2</v>
      </c>
      <c r="I61" s="3">
        <v>2.8000000000000001E-2</v>
      </c>
      <c r="J61" s="3">
        <v>1.6E-2</v>
      </c>
      <c r="K61" s="3">
        <v>5.0000000000000001E-3</v>
      </c>
      <c r="L61" s="41">
        <v>6.0999999999999999E-2</v>
      </c>
      <c r="M61" s="24"/>
      <c r="N61" s="24"/>
      <c r="O61" s="24"/>
      <c r="P61" s="24"/>
      <c r="Q61" s="24"/>
      <c r="R61" s="24"/>
      <c r="S61" s="24"/>
      <c r="T61" s="24"/>
    </row>
    <row r="62" spans="1:25" ht="13" thickBot="1" x14ac:dyDescent="0.3">
      <c r="A62" s="79" t="s">
        <v>238</v>
      </c>
      <c r="B62" s="79"/>
      <c r="C62" s="37">
        <v>0.24099999999999999</v>
      </c>
      <c r="D62" s="37">
        <v>0.16200000000000001</v>
      </c>
      <c r="E62" s="37">
        <v>0.31</v>
      </c>
      <c r="F62" s="37">
        <v>3.5000000000000003E-2</v>
      </c>
      <c r="G62" s="37">
        <v>0.36699999999999999</v>
      </c>
      <c r="H62" s="37">
        <v>0.161</v>
      </c>
      <c r="I62" s="37">
        <v>0.47099999999999997</v>
      </c>
      <c r="J62" s="37">
        <v>0.108</v>
      </c>
      <c r="K62" s="37">
        <v>0.58099999999999996</v>
      </c>
      <c r="L62" s="78">
        <v>0.122</v>
      </c>
      <c r="M62" s="24"/>
      <c r="N62" s="24"/>
      <c r="O62" s="24"/>
      <c r="P62" s="24"/>
      <c r="Q62" s="24"/>
      <c r="R62" s="24"/>
      <c r="S62" s="24"/>
      <c r="T62" s="24"/>
    </row>
    <row r="63" spans="1:25" x14ac:dyDescent="0.25">
      <c r="A63" s="106" t="s">
        <v>225</v>
      </c>
      <c r="B63" s="73"/>
      <c r="C63" s="89"/>
      <c r="D63" s="89"/>
      <c r="E63" s="89"/>
      <c r="F63" s="89"/>
      <c r="G63" s="89"/>
      <c r="H63" s="89"/>
      <c r="I63" s="89"/>
      <c r="J63" s="89"/>
      <c r="K63" s="89"/>
      <c r="L63" s="90"/>
      <c r="M63" s="24"/>
      <c r="N63" s="24"/>
      <c r="O63" s="24"/>
      <c r="P63" s="24"/>
      <c r="Q63" s="24"/>
      <c r="R63" s="24"/>
      <c r="S63" s="24"/>
      <c r="T63" s="24"/>
      <c r="U63" s="1"/>
    </row>
    <row r="64" spans="1:25" ht="13" x14ac:dyDescent="0.3">
      <c r="A64" s="870" t="s">
        <v>46</v>
      </c>
      <c r="B64" s="773"/>
      <c r="C64" s="497" t="s">
        <v>45</v>
      </c>
      <c r="D64" s="455"/>
      <c r="E64" s="455"/>
      <c r="F64" s="455"/>
      <c r="G64" s="455"/>
      <c r="H64" s="455"/>
      <c r="I64" s="455"/>
      <c r="J64" s="455"/>
      <c r="K64" s="455"/>
      <c r="L64" s="509"/>
      <c r="M64" s="1"/>
      <c r="N64" s="1"/>
      <c r="O64" s="1"/>
      <c r="P64" s="1"/>
      <c r="Q64" s="1"/>
      <c r="R64" s="1"/>
      <c r="S64" s="1"/>
      <c r="T64" s="1"/>
      <c r="U64" s="1"/>
    </row>
    <row r="65" spans="1:21" ht="13" x14ac:dyDescent="0.3">
      <c r="A65" s="775"/>
      <c r="B65" s="774"/>
      <c r="C65" s="497" t="s">
        <v>153</v>
      </c>
      <c r="D65" s="497"/>
      <c r="E65" s="497" t="s">
        <v>152</v>
      </c>
      <c r="F65" s="497"/>
      <c r="G65" s="497" t="s">
        <v>95</v>
      </c>
      <c r="H65" s="497"/>
      <c r="I65" s="497" t="s">
        <v>98</v>
      </c>
      <c r="J65" s="497"/>
      <c r="K65" s="497" t="s">
        <v>164</v>
      </c>
      <c r="L65" s="498"/>
      <c r="M65" s="5"/>
      <c r="N65" s="5"/>
      <c r="O65" s="5"/>
      <c r="P65" s="5"/>
      <c r="Q65" s="5"/>
      <c r="R65" s="5"/>
      <c r="S65" s="5"/>
      <c r="T65" s="5"/>
      <c r="U65" s="94"/>
    </row>
    <row r="66" spans="1:21" ht="13" x14ac:dyDescent="0.3">
      <c r="A66" s="707"/>
      <c r="B66" s="1126"/>
      <c r="C66" s="74" t="s">
        <v>224</v>
      </c>
      <c r="D66" s="74" t="s">
        <v>88</v>
      </c>
      <c r="E66" s="74" t="s">
        <v>224</v>
      </c>
      <c r="F66" s="74" t="s">
        <v>88</v>
      </c>
      <c r="G66" s="74" t="s">
        <v>224</v>
      </c>
      <c r="H66" s="74" t="s">
        <v>88</v>
      </c>
      <c r="I66" s="74" t="s">
        <v>224</v>
      </c>
      <c r="J66" s="74" t="s">
        <v>88</v>
      </c>
      <c r="K66" s="74" t="s">
        <v>224</v>
      </c>
      <c r="L66" s="105" t="s">
        <v>88</v>
      </c>
      <c r="M66" s="91"/>
      <c r="N66" s="91"/>
      <c r="O66" s="91"/>
      <c r="P66" s="91"/>
      <c r="Q66" s="91"/>
      <c r="R66" s="91"/>
      <c r="S66" s="91"/>
      <c r="T66" s="91"/>
      <c r="U66" s="1"/>
    </row>
    <row r="67" spans="1:21" x14ac:dyDescent="0.25">
      <c r="A67" s="905" t="s">
        <v>235</v>
      </c>
      <c r="B67" s="657"/>
      <c r="C67" s="142">
        <v>0.52</v>
      </c>
      <c r="D67" s="142">
        <v>0.12</v>
      </c>
      <c r="E67" s="142"/>
      <c r="F67" s="142"/>
      <c r="G67" s="142">
        <v>0.55000000000000004</v>
      </c>
      <c r="H67" s="142"/>
      <c r="I67" s="142"/>
      <c r="J67" s="142"/>
      <c r="K67" s="142"/>
      <c r="L67" s="143"/>
      <c r="M67" s="112"/>
      <c r="N67" s="112"/>
      <c r="O67" s="112"/>
      <c r="P67" s="112"/>
      <c r="Q67" s="112"/>
      <c r="R67" s="112"/>
      <c r="S67" s="112"/>
      <c r="T67" s="112"/>
      <c r="U67" s="1"/>
    </row>
    <row r="68" spans="1:21" x14ac:dyDescent="0.25">
      <c r="A68" s="1037" t="s">
        <v>236</v>
      </c>
      <c r="B68" s="657"/>
      <c r="C68" s="144">
        <v>0.53</v>
      </c>
      <c r="D68" s="144">
        <v>0.13</v>
      </c>
      <c r="E68" s="144"/>
      <c r="F68" s="144"/>
      <c r="G68" s="144">
        <v>0.45</v>
      </c>
      <c r="H68" s="144"/>
      <c r="I68" s="144"/>
      <c r="J68" s="144"/>
      <c r="K68" s="144"/>
      <c r="L68" s="145"/>
      <c r="M68" s="36"/>
      <c r="N68" s="36"/>
      <c r="O68" s="36"/>
      <c r="P68" s="36"/>
      <c r="Q68" s="36"/>
      <c r="R68" s="36"/>
      <c r="S68" s="36"/>
      <c r="T68" s="36"/>
      <c r="U68" s="95"/>
    </row>
    <row r="69" spans="1:21" x14ac:dyDescent="0.25">
      <c r="A69" s="1037" t="s">
        <v>237</v>
      </c>
      <c r="B69" s="657"/>
      <c r="C69" s="144">
        <v>0.54</v>
      </c>
      <c r="D69" s="144">
        <v>0.14000000000000001</v>
      </c>
      <c r="E69" s="144"/>
      <c r="F69" s="144"/>
      <c r="G69" s="144">
        <v>0.35</v>
      </c>
      <c r="H69" s="144"/>
      <c r="I69" s="144"/>
      <c r="J69" s="144"/>
      <c r="K69" s="144"/>
      <c r="L69" s="145"/>
      <c r="M69" s="36"/>
      <c r="N69" s="36"/>
      <c r="O69" s="36"/>
      <c r="P69" s="36"/>
      <c r="Q69" s="36"/>
      <c r="R69" s="36"/>
      <c r="S69" s="36"/>
      <c r="T69" s="36"/>
      <c r="U69" s="1"/>
    </row>
    <row r="70" spans="1:21" ht="13" thickBot="1" x14ac:dyDescent="0.3">
      <c r="A70" s="1075" t="s">
        <v>238</v>
      </c>
      <c r="B70" s="724"/>
      <c r="C70" s="146">
        <v>0.55000000000000004</v>
      </c>
      <c r="D70" s="146">
        <v>0.15</v>
      </c>
      <c r="E70" s="146"/>
      <c r="F70" s="146"/>
      <c r="G70" s="146">
        <v>0.25</v>
      </c>
      <c r="H70" s="146"/>
      <c r="I70" s="146"/>
      <c r="J70" s="146"/>
      <c r="K70" s="146"/>
      <c r="L70" s="147"/>
      <c r="M70" s="36"/>
      <c r="N70" s="36"/>
      <c r="O70" s="36"/>
      <c r="P70" s="36"/>
      <c r="Q70" s="36"/>
      <c r="R70" s="36"/>
      <c r="S70" s="36"/>
      <c r="T70" s="36"/>
      <c r="U70" s="24"/>
    </row>
    <row r="71" spans="1:21" x14ac:dyDescent="0.25">
      <c r="A71" s="42"/>
      <c r="U71" s="1"/>
    </row>
    <row r="72" spans="1:21" x14ac:dyDescent="0.25">
      <c r="A72" s="42"/>
      <c r="U72" s="1"/>
    </row>
    <row r="73" spans="1:21" ht="13" thickBot="1" x14ac:dyDescent="0.3">
      <c r="A73" s="42"/>
      <c r="U73" s="1"/>
    </row>
    <row r="74" spans="1:21" ht="13" thickTop="1" x14ac:dyDescent="0.25">
      <c r="A74" s="1050" t="s">
        <v>487</v>
      </c>
      <c r="B74" s="1017"/>
      <c r="C74" s="1017"/>
      <c r="D74" s="1017"/>
      <c r="E74" s="1017"/>
      <c r="F74" s="1017"/>
      <c r="G74" s="1017"/>
      <c r="H74" s="1017"/>
      <c r="I74" s="1017"/>
      <c r="J74" s="1017"/>
      <c r="K74" s="109"/>
      <c r="U74" s="1"/>
    </row>
    <row r="75" spans="1:21" ht="13" thickBot="1" x14ac:dyDescent="0.3">
      <c r="A75" s="1018"/>
      <c r="B75" s="1018"/>
      <c r="C75" s="1018"/>
      <c r="D75" s="1018"/>
      <c r="E75" s="1018"/>
      <c r="F75" s="1018"/>
      <c r="G75" s="1018"/>
      <c r="H75" s="1018"/>
      <c r="I75" s="1018"/>
      <c r="J75" s="1018"/>
      <c r="K75" s="109"/>
      <c r="U75" s="1"/>
    </row>
    <row r="76" spans="1:21" ht="15" x14ac:dyDescent="0.4">
      <c r="A76" s="1032" t="s">
        <v>66</v>
      </c>
      <c r="B76" s="1033" t="s">
        <v>65</v>
      </c>
      <c r="C76" s="592" t="s">
        <v>314</v>
      </c>
      <c r="D76" s="659"/>
      <c r="E76" s="659"/>
      <c r="F76" s="659"/>
      <c r="G76" s="659"/>
      <c r="H76" s="659"/>
      <c r="I76" s="659"/>
      <c r="J76" s="1064"/>
      <c r="K76" s="1"/>
      <c r="L76" s="1"/>
      <c r="M76" s="1"/>
      <c r="N76" s="1"/>
      <c r="O76" s="1"/>
      <c r="P76" s="1"/>
      <c r="Q76" s="1"/>
      <c r="R76" s="1"/>
      <c r="S76" s="1"/>
      <c r="T76" s="1"/>
      <c r="U76" s="1"/>
    </row>
    <row r="77" spans="1:21" ht="13" x14ac:dyDescent="0.3">
      <c r="A77" s="836"/>
      <c r="B77" s="1065"/>
      <c r="C77" s="552" t="s">
        <v>44</v>
      </c>
      <c r="D77" s="554"/>
      <c r="E77" s="554"/>
      <c r="F77" s="554"/>
      <c r="G77" s="497" t="s">
        <v>45</v>
      </c>
      <c r="H77" s="455"/>
      <c r="I77" s="455"/>
      <c r="J77" s="509"/>
      <c r="K77" s="1"/>
      <c r="L77" s="1"/>
      <c r="M77" s="1"/>
      <c r="N77" s="1"/>
      <c r="O77" s="1"/>
      <c r="P77" s="1"/>
      <c r="Q77" s="1"/>
      <c r="R77" s="1"/>
      <c r="S77" s="1"/>
      <c r="T77" s="1"/>
      <c r="U77" s="1"/>
    </row>
    <row r="78" spans="1:21" ht="13" x14ac:dyDescent="0.3">
      <c r="A78" s="1127" t="s">
        <v>203</v>
      </c>
      <c r="B78" s="522"/>
      <c r="C78" s="497" t="s">
        <v>311</v>
      </c>
      <c r="D78" s="497"/>
      <c r="E78" s="497" t="s">
        <v>312</v>
      </c>
      <c r="F78" s="497"/>
      <c r="G78" s="497" t="s">
        <v>311</v>
      </c>
      <c r="H78" s="497"/>
      <c r="I78" s="497" t="s">
        <v>312</v>
      </c>
      <c r="J78" s="498"/>
      <c r="K78" s="1"/>
      <c r="L78" s="1"/>
      <c r="M78" s="1"/>
      <c r="N78" s="1"/>
      <c r="O78" s="1"/>
      <c r="P78" s="1"/>
      <c r="Q78" s="1"/>
      <c r="R78" s="1"/>
      <c r="S78" s="1"/>
      <c r="T78" s="1"/>
      <c r="U78" s="1"/>
    </row>
    <row r="79" spans="1:21" x14ac:dyDescent="0.25">
      <c r="A79" s="873" t="s">
        <v>153</v>
      </c>
      <c r="B79" s="553"/>
      <c r="C79" s="509">
        <v>3.5999999999999997E-2</v>
      </c>
      <c r="D79" s="475"/>
      <c r="E79" s="509">
        <v>5.0000000000000001E-3</v>
      </c>
      <c r="F79" s="475"/>
      <c r="G79" s="1044">
        <v>4.1000000000000002E-2</v>
      </c>
      <c r="H79" s="1045"/>
      <c r="I79" s="1044">
        <v>6.0999999999999999E-2</v>
      </c>
      <c r="J79" s="1060"/>
      <c r="K79" s="24"/>
      <c r="L79" s="24"/>
      <c r="M79" s="24"/>
      <c r="N79" s="24"/>
      <c r="O79" s="24"/>
      <c r="P79" s="24"/>
      <c r="Q79" s="24"/>
      <c r="R79" s="24"/>
      <c r="S79" s="24"/>
      <c r="T79" s="24"/>
      <c r="U79" s="24"/>
    </row>
    <row r="80" spans="1:21" x14ac:dyDescent="0.25">
      <c r="A80" s="873" t="s">
        <v>152</v>
      </c>
      <c r="B80" s="553"/>
      <c r="C80" s="509">
        <v>4.1000000000000002E-2</v>
      </c>
      <c r="D80" s="475"/>
      <c r="E80" s="503">
        <v>1.2999999999999999E-2</v>
      </c>
      <c r="F80" s="613"/>
      <c r="G80" s="1044">
        <v>4.2000000000000003E-2</v>
      </c>
      <c r="H80" s="1045"/>
      <c r="I80" s="1044">
        <v>6.2E-2</v>
      </c>
      <c r="J80" s="1060"/>
      <c r="K80" s="24"/>
      <c r="L80" s="24"/>
      <c r="M80" s="24"/>
      <c r="N80" s="24"/>
      <c r="O80" s="24"/>
      <c r="P80" s="24"/>
      <c r="Q80" s="24"/>
      <c r="R80" s="24"/>
      <c r="S80" s="24"/>
      <c r="T80" s="24"/>
      <c r="U80" s="24"/>
    </row>
    <row r="81" spans="1:21" x14ac:dyDescent="0.25">
      <c r="A81" s="873" t="s">
        <v>95</v>
      </c>
      <c r="B81" s="553"/>
      <c r="C81" s="509">
        <v>2.1999999999999999E-2</v>
      </c>
      <c r="D81" s="475"/>
      <c r="E81" s="503">
        <v>8.9999999999999993E-3</v>
      </c>
      <c r="F81" s="613"/>
      <c r="G81" s="1044">
        <v>4.2999999999999997E-2</v>
      </c>
      <c r="H81" s="1045"/>
      <c r="I81" s="1044">
        <v>6.3E-2</v>
      </c>
      <c r="J81" s="1060"/>
      <c r="K81" s="24"/>
      <c r="L81" s="24"/>
      <c r="M81" s="24"/>
      <c r="N81" s="24"/>
      <c r="O81" s="24"/>
      <c r="P81" s="24"/>
      <c r="Q81" s="24"/>
      <c r="R81" s="24"/>
      <c r="S81" s="24"/>
      <c r="T81" s="24"/>
      <c r="U81" s="24"/>
    </row>
    <row r="82" spans="1:21" x14ac:dyDescent="0.25">
      <c r="A82" s="1000" t="s">
        <v>98</v>
      </c>
      <c r="B82" s="1046"/>
      <c r="C82" s="503">
        <v>6.7000000000000004E-2</v>
      </c>
      <c r="D82" s="613"/>
      <c r="E82" s="503">
        <v>1.9E-2</v>
      </c>
      <c r="F82" s="613"/>
      <c r="G82" s="1044">
        <v>4.3999999999999997E-2</v>
      </c>
      <c r="H82" s="1045"/>
      <c r="I82" s="1044">
        <v>6.4000000000000001E-2</v>
      </c>
      <c r="J82" s="1060"/>
      <c r="K82" s="24"/>
      <c r="L82" s="24"/>
      <c r="M82" s="24"/>
      <c r="N82" s="24"/>
      <c r="O82" s="24"/>
      <c r="P82" s="24"/>
      <c r="Q82" s="24"/>
      <c r="R82" s="24"/>
      <c r="S82" s="24"/>
      <c r="T82" s="24"/>
      <c r="U82" s="24"/>
    </row>
    <row r="83" spans="1:21" ht="13" thickBot="1" x14ac:dyDescent="0.3">
      <c r="A83" s="1062" t="s">
        <v>164</v>
      </c>
      <c r="B83" s="1063"/>
      <c r="C83" s="518">
        <v>0.03</v>
      </c>
      <c r="D83" s="520"/>
      <c r="E83" s="518">
        <v>2.3E-2</v>
      </c>
      <c r="F83" s="520"/>
      <c r="G83" s="1058">
        <v>4.4999999999999998E-2</v>
      </c>
      <c r="H83" s="1059"/>
      <c r="I83" s="1058">
        <v>6.5000000000000002E-2</v>
      </c>
      <c r="J83" s="1061"/>
      <c r="K83" s="24"/>
      <c r="L83" s="24"/>
      <c r="M83" s="24"/>
      <c r="N83" s="24"/>
      <c r="O83" s="24"/>
      <c r="P83" s="24"/>
      <c r="Q83" s="24"/>
      <c r="R83" s="24"/>
      <c r="S83" s="24"/>
      <c r="T83" s="24"/>
      <c r="U83" s="24"/>
    </row>
    <row r="84" spans="1:21" x14ac:dyDescent="0.25">
      <c r="A84" s="1134" t="s">
        <v>316</v>
      </c>
      <c r="B84" s="1135"/>
      <c r="C84" s="1135"/>
      <c r="D84" s="1135"/>
      <c r="E84" s="1135"/>
      <c r="F84" s="1135"/>
      <c r="G84" s="1135"/>
      <c r="H84" s="1135"/>
      <c r="I84" s="1135"/>
      <c r="J84" s="1135"/>
      <c r="K84" s="24"/>
      <c r="L84" s="24"/>
      <c r="M84" s="24"/>
      <c r="N84" s="24"/>
      <c r="O84" s="24"/>
      <c r="P84" s="24"/>
      <c r="Q84" s="24"/>
      <c r="R84" s="24"/>
      <c r="S84" s="24"/>
      <c r="T84" s="24"/>
      <c r="U84" s="24"/>
    </row>
    <row r="85" spans="1:21" x14ac:dyDescent="0.25">
      <c r="A85" s="1136"/>
      <c r="B85" s="1136"/>
      <c r="C85" s="1136"/>
      <c r="D85" s="1136"/>
      <c r="E85" s="1136"/>
      <c r="F85" s="1136"/>
      <c r="G85" s="1136"/>
      <c r="H85" s="1136"/>
      <c r="I85" s="1136"/>
      <c r="J85" s="1136"/>
      <c r="K85" s="24"/>
      <c r="L85" s="24"/>
      <c r="M85" s="24"/>
      <c r="N85" s="24"/>
      <c r="O85" s="24"/>
      <c r="P85" s="24"/>
      <c r="Q85" s="24"/>
      <c r="R85" s="24"/>
      <c r="S85" s="24"/>
      <c r="T85" s="24"/>
      <c r="U85" s="24"/>
    </row>
    <row r="86" spans="1:21" x14ac:dyDescent="0.25">
      <c r="A86" s="24"/>
      <c r="B86" s="24"/>
      <c r="C86" s="24"/>
      <c r="D86" s="24"/>
      <c r="E86" s="24"/>
      <c r="F86" s="24"/>
      <c r="G86" s="24"/>
      <c r="H86" s="24"/>
      <c r="I86" s="24"/>
      <c r="J86" s="24"/>
      <c r="K86" s="24"/>
      <c r="L86" s="24"/>
      <c r="M86" s="24"/>
      <c r="N86" s="24"/>
      <c r="O86" s="24"/>
      <c r="P86" s="24"/>
      <c r="Q86" s="24"/>
      <c r="R86" s="24"/>
      <c r="S86" s="24"/>
      <c r="T86" s="24"/>
      <c r="U86" s="24"/>
    </row>
    <row r="87" spans="1:21" x14ac:dyDescent="0.25">
      <c r="K87" s="24"/>
      <c r="L87" s="24"/>
      <c r="M87" s="24"/>
      <c r="N87" s="24"/>
      <c r="O87" s="24"/>
      <c r="P87" s="24"/>
      <c r="Q87" s="24"/>
      <c r="R87" s="24"/>
      <c r="S87" s="24"/>
      <c r="T87" s="24"/>
      <c r="U87" s="24"/>
    </row>
    <row r="88" spans="1:21" ht="13" thickBot="1" x14ac:dyDescent="0.3">
      <c r="K88" s="24"/>
      <c r="L88" s="24"/>
      <c r="M88" s="24"/>
      <c r="N88" s="24"/>
      <c r="O88" s="24"/>
      <c r="P88" s="24"/>
      <c r="Q88" s="24"/>
      <c r="R88" s="24"/>
      <c r="S88" s="24"/>
      <c r="T88" s="24"/>
      <c r="U88" s="24"/>
    </row>
    <row r="89" spans="1:21" ht="13" thickTop="1" x14ac:dyDescent="0.25">
      <c r="A89" s="1050" t="s">
        <v>488</v>
      </c>
      <c r="B89" s="1017"/>
      <c r="C89" s="1017"/>
      <c r="D89" s="1017"/>
      <c r="E89" s="1017"/>
      <c r="F89" s="1017"/>
      <c r="G89" s="1017"/>
      <c r="H89" s="1017"/>
      <c r="I89" s="1017"/>
      <c r="J89" s="1017"/>
      <c r="K89" s="24"/>
      <c r="L89" s="24"/>
      <c r="M89" s="24"/>
      <c r="N89" s="24"/>
      <c r="O89" s="24"/>
      <c r="P89" s="24"/>
      <c r="Q89" s="24"/>
      <c r="R89" s="24"/>
      <c r="S89" s="24"/>
      <c r="T89" s="24"/>
      <c r="U89" s="24"/>
    </row>
    <row r="90" spans="1:21" ht="13" thickBot="1" x14ac:dyDescent="0.3">
      <c r="A90" s="1018"/>
      <c r="B90" s="1018"/>
      <c r="C90" s="1018"/>
      <c r="D90" s="1018"/>
      <c r="E90" s="1018"/>
      <c r="F90" s="1018"/>
      <c r="G90" s="1018"/>
      <c r="H90" s="1018"/>
      <c r="I90" s="1018"/>
      <c r="J90" s="1018"/>
      <c r="K90" s="24"/>
      <c r="L90" s="24"/>
      <c r="M90" s="24"/>
      <c r="N90" s="24"/>
      <c r="O90" s="24"/>
      <c r="P90" s="24"/>
      <c r="Q90" s="24"/>
      <c r="R90" s="24"/>
      <c r="S90" s="24"/>
      <c r="T90" s="24"/>
      <c r="U90" s="24"/>
    </row>
    <row r="91" spans="1:21" ht="15" x14ac:dyDescent="0.4">
      <c r="A91" s="1032" t="s">
        <v>66</v>
      </c>
      <c r="B91" s="1033" t="s">
        <v>65</v>
      </c>
      <c r="C91" s="592" t="s">
        <v>315</v>
      </c>
      <c r="D91" s="659"/>
      <c r="E91" s="659"/>
      <c r="F91" s="659"/>
      <c r="G91" s="659"/>
      <c r="H91" s="659"/>
      <c r="I91" s="659"/>
      <c r="J91" s="1064"/>
      <c r="K91" s="24"/>
      <c r="L91" s="24"/>
      <c r="M91" s="24"/>
      <c r="N91" s="24"/>
      <c r="O91" s="24"/>
      <c r="P91" s="24"/>
      <c r="Q91" s="24"/>
      <c r="R91" s="24"/>
      <c r="S91" s="24"/>
      <c r="T91" s="24"/>
      <c r="U91" s="24"/>
    </row>
    <row r="92" spans="1:21" ht="13" x14ac:dyDescent="0.3">
      <c r="A92" s="836"/>
      <c r="B92" s="1065"/>
      <c r="C92" s="552" t="s">
        <v>44</v>
      </c>
      <c r="D92" s="554"/>
      <c r="E92" s="554"/>
      <c r="F92" s="554"/>
      <c r="G92" s="497" t="s">
        <v>45</v>
      </c>
      <c r="H92" s="455"/>
      <c r="I92" s="455"/>
      <c r="J92" s="509"/>
      <c r="K92" s="24"/>
      <c r="L92" s="24"/>
      <c r="M92" s="24"/>
      <c r="N92" s="24"/>
      <c r="O92" s="24"/>
      <c r="P92" s="24"/>
      <c r="Q92" s="24"/>
      <c r="R92" s="24"/>
      <c r="S92" s="24"/>
      <c r="T92" s="24"/>
      <c r="U92" s="24"/>
    </row>
    <row r="93" spans="1:21" ht="13" x14ac:dyDescent="0.3">
      <c r="A93" s="1127" t="s">
        <v>203</v>
      </c>
      <c r="B93" s="522"/>
      <c r="C93" s="497" t="s">
        <v>311</v>
      </c>
      <c r="D93" s="497"/>
      <c r="E93" s="497" t="s">
        <v>312</v>
      </c>
      <c r="F93" s="497"/>
      <c r="G93" s="497" t="s">
        <v>311</v>
      </c>
      <c r="H93" s="497"/>
      <c r="I93" s="497" t="s">
        <v>312</v>
      </c>
      <c r="J93" s="498"/>
      <c r="K93" s="24"/>
      <c r="L93" s="24"/>
      <c r="M93" s="24"/>
      <c r="N93" s="24"/>
      <c r="O93" s="24"/>
      <c r="P93" s="24"/>
      <c r="Q93" s="24"/>
      <c r="R93" s="24"/>
      <c r="S93" s="24"/>
      <c r="T93" s="24"/>
      <c r="U93" s="24"/>
    </row>
    <row r="94" spans="1:21" x14ac:dyDescent="0.25">
      <c r="A94" s="873" t="s">
        <v>153</v>
      </c>
      <c r="B94" s="553"/>
      <c r="C94" s="509">
        <v>1.7999999999999999E-2</v>
      </c>
      <c r="D94" s="475"/>
      <c r="E94" s="509">
        <v>4.0000000000000001E-3</v>
      </c>
      <c r="F94" s="475"/>
      <c r="G94" s="1139">
        <v>2.1000000000000001E-2</v>
      </c>
      <c r="H94" s="1045"/>
      <c r="I94" s="1044">
        <v>3.1E-2</v>
      </c>
      <c r="J94" s="1060"/>
      <c r="K94" s="24"/>
      <c r="L94" s="24"/>
      <c r="M94" s="24"/>
      <c r="N94" s="24"/>
      <c r="O94" s="24"/>
      <c r="P94" s="24"/>
      <c r="Q94" s="24"/>
      <c r="R94" s="24"/>
      <c r="S94" s="24"/>
      <c r="T94" s="24"/>
      <c r="U94" s="24"/>
    </row>
    <row r="95" spans="1:21" x14ac:dyDescent="0.25">
      <c r="A95" s="873" t="s">
        <v>152</v>
      </c>
      <c r="B95" s="553"/>
      <c r="C95" s="509">
        <v>2.7E-2</v>
      </c>
      <c r="D95" s="475"/>
      <c r="E95" s="503">
        <v>7.0000000000000001E-3</v>
      </c>
      <c r="F95" s="613"/>
      <c r="G95" s="1044">
        <v>2.1999999999999999E-2</v>
      </c>
      <c r="H95" s="1045"/>
      <c r="I95" s="1044">
        <v>3.2000000000000001E-2</v>
      </c>
      <c r="J95" s="1060"/>
      <c r="K95" s="24"/>
      <c r="L95" s="24"/>
      <c r="M95" s="24"/>
      <c r="N95" s="24"/>
      <c r="O95" s="24"/>
      <c r="P95" s="24"/>
      <c r="Q95" s="24"/>
      <c r="R95" s="24"/>
      <c r="S95" s="24"/>
      <c r="T95" s="24"/>
      <c r="U95" s="24"/>
    </row>
    <row r="96" spans="1:21" x14ac:dyDescent="0.25">
      <c r="A96" s="873" t="s">
        <v>95</v>
      </c>
      <c r="B96" s="553"/>
      <c r="C96" s="509">
        <v>1.0999999999999999E-2</v>
      </c>
      <c r="D96" s="475"/>
      <c r="E96" s="503">
        <v>2E-3</v>
      </c>
      <c r="F96" s="613"/>
      <c r="G96" s="1044">
        <v>2.3E-2</v>
      </c>
      <c r="H96" s="1045"/>
      <c r="I96" s="1044">
        <v>3.3000000000000002E-2</v>
      </c>
      <c r="J96" s="1060"/>
      <c r="K96" s="24"/>
      <c r="L96" s="24"/>
      <c r="M96" s="24"/>
      <c r="N96" s="24"/>
      <c r="O96" s="24"/>
      <c r="P96" s="24"/>
      <c r="Q96" s="24"/>
      <c r="R96" s="24"/>
      <c r="S96" s="24"/>
      <c r="T96" s="24"/>
      <c r="U96" s="24"/>
    </row>
    <row r="97" spans="1:21" x14ac:dyDescent="0.25">
      <c r="A97" s="1000" t="s">
        <v>98</v>
      </c>
      <c r="B97" s="1046"/>
      <c r="C97" s="503">
        <v>1.2999999999999999E-2</v>
      </c>
      <c r="D97" s="613"/>
      <c r="E97" s="503">
        <v>5.0000000000000001E-3</v>
      </c>
      <c r="F97" s="613"/>
      <c r="G97" s="1044">
        <v>2.4E-2</v>
      </c>
      <c r="H97" s="1045"/>
      <c r="I97" s="1044">
        <v>3.4000000000000002E-2</v>
      </c>
      <c r="J97" s="1060"/>
      <c r="K97" s="24"/>
      <c r="L97" s="24"/>
      <c r="M97" s="24"/>
      <c r="N97" s="24"/>
      <c r="O97" s="24"/>
      <c r="P97" s="24"/>
      <c r="Q97" s="24"/>
      <c r="R97" s="24"/>
      <c r="S97" s="24"/>
      <c r="T97" s="24"/>
      <c r="U97" s="24"/>
    </row>
    <row r="98" spans="1:21" ht="13" thickBot="1" x14ac:dyDescent="0.3">
      <c r="A98" s="1062" t="s">
        <v>164</v>
      </c>
      <c r="B98" s="1063"/>
      <c r="C98" s="518">
        <v>0.05</v>
      </c>
      <c r="D98" s="520"/>
      <c r="E98" s="518">
        <v>1.2E-2</v>
      </c>
      <c r="F98" s="520"/>
      <c r="G98" s="1058">
        <v>2.5000000000000001E-2</v>
      </c>
      <c r="H98" s="1059"/>
      <c r="I98" s="1058">
        <v>3.5000000000000003E-2</v>
      </c>
      <c r="J98" s="1061"/>
      <c r="K98" s="24"/>
      <c r="L98" s="24"/>
      <c r="M98" s="24"/>
      <c r="N98" s="24"/>
      <c r="O98" s="24"/>
      <c r="P98" s="24"/>
      <c r="Q98" s="24"/>
      <c r="R98" s="24"/>
      <c r="S98" s="24"/>
      <c r="T98" s="24"/>
      <c r="U98" s="24"/>
    </row>
    <row r="99" spans="1:21" x14ac:dyDescent="0.25">
      <c r="A99" s="1134" t="s">
        <v>317</v>
      </c>
      <c r="B99" s="1135"/>
      <c r="C99" s="1135"/>
      <c r="D99" s="1135"/>
      <c r="E99" s="1135"/>
      <c r="F99" s="1135"/>
      <c r="G99" s="1135"/>
      <c r="H99" s="1135"/>
      <c r="I99" s="1135"/>
      <c r="J99" s="1135"/>
      <c r="K99" s="24"/>
      <c r="L99" s="24"/>
      <c r="M99" s="24"/>
      <c r="N99" s="24"/>
      <c r="O99" s="24"/>
      <c r="P99" s="24"/>
      <c r="Q99" s="24"/>
      <c r="R99" s="24"/>
      <c r="S99" s="24"/>
      <c r="T99" s="24"/>
      <c r="U99" s="24"/>
    </row>
    <row r="100" spans="1:21" x14ac:dyDescent="0.25">
      <c r="A100" s="1136"/>
      <c r="B100" s="1136"/>
      <c r="C100" s="1136"/>
      <c r="D100" s="1136"/>
      <c r="E100" s="1136"/>
      <c r="F100" s="1136"/>
      <c r="G100" s="1136"/>
      <c r="H100" s="1136"/>
      <c r="I100" s="1136"/>
      <c r="J100" s="1136"/>
      <c r="K100" s="24"/>
      <c r="L100" s="24"/>
      <c r="M100" s="24"/>
      <c r="N100" s="24"/>
      <c r="O100" s="24"/>
      <c r="P100" s="24"/>
      <c r="Q100" s="24"/>
      <c r="R100" s="24"/>
      <c r="S100" s="24"/>
      <c r="T100" s="24"/>
      <c r="U100" s="24"/>
    </row>
    <row r="101" spans="1:21" x14ac:dyDescent="0.25">
      <c r="K101" s="24"/>
      <c r="L101" s="24"/>
      <c r="M101" s="24"/>
      <c r="N101" s="24"/>
      <c r="O101" s="24"/>
      <c r="P101" s="24"/>
      <c r="Q101" s="24"/>
      <c r="R101" s="24"/>
      <c r="S101" s="24"/>
      <c r="T101" s="24"/>
      <c r="U101" s="24"/>
    </row>
    <row r="102" spans="1:21" x14ac:dyDescent="0.25">
      <c r="K102" s="24"/>
      <c r="L102" s="24"/>
      <c r="M102" s="24"/>
      <c r="N102" s="24"/>
      <c r="O102" s="24"/>
      <c r="P102" s="24"/>
      <c r="Q102" s="24"/>
      <c r="R102" s="24"/>
      <c r="S102" s="24"/>
      <c r="T102" s="24"/>
      <c r="U102" s="24"/>
    </row>
    <row r="103" spans="1:21" ht="13" thickBot="1" x14ac:dyDescent="0.3">
      <c r="A103" s="1"/>
      <c r="B103" s="1"/>
      <c r="C103" s="1"/>
      <c r="D103" s="1"/>
      <c r="E103" s="1"/>
      <c r="F103" s="1"/>
      <c r="G103" s="1"/>
      <c r="K103" s="24"/>
      <c r="L103" s="24"/>
      <c r="M103" s="24"/>
      <c r="N103" s="24"/>
      <c r="O103" s="24"/>
      <c r="P103" s="24"/>
      <c r="Q103" s="24"/>
      <c r="R103" s="24"/>
      <c r="S103" s="24"/>
      <c r="T103" s="24"/>
      <c r="U103" s="24"/>
    </row>
    <row r="104" spans="1:21" ht="13" thickTop="1" x14ac:dyDescent="0.25">
      <c r="A104" s="1102" t="s">
        <v>498</v>
      </c>
      <c r="B104" s="1132"/>
      <c r="C104" s="1132"/>
      <c r="D104" s="1132"/>
      <c r="E104" s="1132"/>
      <c r="F104" s="1132"/>
      <c r="G104" s="1132"/>
      <c r="K104" s="24"/>
      <c r="L104" s="24"/>
      <c r="M104" s="24"/>
      <c r="N104" s="24"/>
      <c r="O104" s="24"/>
      <c r="P104" s="24"/>
      <c r="Q104" s="24"/>
      <c r="R104" s="24"/>
      <c r="S104" s="24"/>
      <c r="T104" s="24"/>
      <c r="U104" s="24"/>
    </row>
    <row r="105" spans="1:21" ht="13" thickBot="1" x14ac:dyDescent="0.3">
      <c r="A105" s="539"/>
      <c r="B105" s="539"/>
      <c r="C105" s="539"/>
      <c r="D105" s="539"/>
      <c r="E105" s="539"/>
      <c r="F105" s="539"/>
      <c r="G105" s="539"/>
      <c r="K105" s="33"/>
      <c r="L105" s="33"/>
      <c r="M105" s="33"/>
      <c r="N105" s="33"/>
      <c r="O105" s="33"/>
      <c r="P105" s="33"/>
      <c r="Q105" s="33"/>
      <c r="R105" s="33"/>
      <c r="S105" s="33"/>
      <c r="T105" s="33"/>
      <c r="U105" s="33"/>
    </row>
    <row r="106" spans="1:21" ht="13" x14ac:dyDescent="0.3">
      <c r="A106" s="1120" t="s">
        <v>163</v>
      </c>
      <c r="B106" s="1121"/>
      <c r="C106" s="1121"/>
      <c r="D106" s="593" t="s">
        <v>44</v>
      </c>
      <c r="E106" s="1133"/>
      <c r="F106" s="593" t="s">
        <v>45</v>
      </c>
      <c r="G106" s="1128"/>
    </row>
    <row r="107" spans="1:21" x14ac:dyDescent="0.25">
      <c r="A107" s="1078"/>
      <c r="B107" s="1079"/>
      <c r="C107" s="1079"/>
      <c r="D107" s="552" t="s">
        <v>178</v>
      </c>
      <c r="E107" s="554"/>
      <c r="F107" s="552" t="s">
        <v>178</v>
      </c>
      <c r="G107" s="1100"/>
    </row>
    <row r="108" spans="1:21" ht="13" x14ac:dyDescent="0.25">
      <c r="A108" s="873" t="s">
        <v>66</v>
      </c>
      <c r="B108" s="455"/>
      <c r="C108" s="148" t="s">
        <v>65</v>
      </c>
      <c r="D108" s="554"/>
      <c r="E108" s="554"/>
      <c r="F108" s="554"/>
      <c r="G108" s="1100"/>
      <c r="K108" s="25"/>
      <c r="L108" s="25"/>
      <c r="M108" s="25"/>
      <c r="N108" s="25"/>
      <c r="O108" s="25"/>
      <c r="P108" s="25"/>
      <c r="Q108" s="25"/>
      <c r="R108" s="25"/>
      <c r="S108" s="25"/>
      <c r="T108" s="25"/>
      <c r="U108" s="25"/>
    </row>
    <row r="109" spans="1:21" x14ac:dyDescent="0.25">
      <c r="A109" s="1131"/>
      <c r="B109" s="694"/>
      <c r="C109" s="657"/>
      <c r="D109" s="550"/>
      <c r="E109" s="550"/>
      <c r="F109" s="550"/>
      <c r="G109" s="1138"/>
      <c r="K109" s="1"/>
      <c r="L109" s="1"/>
      <c r="M109" s="1"/>
      <c r="N109" s="1"/>
      <c r="O109" s="1"/>
      <c r="P109" s="1"/>
      <c r="Q109" s="1"/>
      <c r="R109" s="1"/>
      <c r="S109" s="1"/>
      <c r="T109" s="1"/>
      <c r="U109" s="1"/>
    </row>
    <row r="110" spans="1:21" ht="13" x14ac:dyDescent="0.3">
      <c r="A110" s="873" t="s">
        <v>153</v>
      </c>
      <c r="B110" s="455"/>
      <c r="C110" s="455"/>
      <c r="D110" s="1080">
        <v>5.8999999999999997E-2</v>
      </c>
      <c r="E110" s="1081"/>
      <c r="F110" s="1129">
        <v>0.05</v>
      </c>
      <c r="G110" s="1130"/>
      <c r="K110" s="5"/>
      <c r="L110" s="5"/>
      <c r="M110" s="5"/>
      <c r="N110" s="5"/>
      <c r="O110" s="5"/>
      <c r="P110" s="5"/>
      <c r="Q110" s="5"/>
      <c r="R110" s="5"/>
      <c r="S110" s="5"/>
      <c r="T110" s="5"/>
      <c r="U110" s="5"/>
    </row>
    <row r="111" spans="1:21" x14ac:dyDescent="0.25">
      <c r="A111" s="873" t="s">
        <v>152</v>
      </c>
      <c r="B111" s="455"/>
      <c r="C111" s="455"/>
      <c r="D111" s="1081">
        <v>3.4000000000000002E-2</v>
      </c>
      <c r="E111" s="1081"/>
      <c r="F111" s="1129">
        <v>0.06</v>
      </c>
      <c r="G111" s="1130"/>
      <c r="H111" s="1"/>
      <c r="I111" s="1"/>
      <c r="J111" s="1"/>
      <c r="K111" s="1"/>
      <c r="L111" s="1"/>
      <c r="M111" s="1"/>
      <c r="N111" s="1"/>
      <c r="O111" s="1"/>
      <c r="P111" s="1"/>
      <c r="Q111" s="1"/>
      <c r="R111" s="1"/>
      <c r="S111" s="1"/>
      <c r="T111" s="1"/>
      <c r="U111" s="1"/>
    </row>
    <row r="112" spans="1:21" x14ac:dyDescent="0.25">
      <c r="A112" s="873" t="s">
        <v>95</v>
      </c>
      <c r="B112" s="455"/>
      <c r="C112" s="455"/>
      <c r="D112" s="509">
        <v>3.6999999999999998E-2</v>
      </c>
      <c r="E112" s="475"/>
      <c r="F112" s="1066">
        <v>7.0000000000000007E-2</v>
      </c>
      <c r="G112" s="1044"/>
      <c r="H112" s="10"/>
      <c r="I112" s="10"/>
      <c r="J112" s="10"/>
      <c r="K112" s="10"/>
      <c r="L112" s="10"/>
      <c r="M112" s="10"/>
      <c r="N112" s="10"/>
      <c r="O112" s="10"/>
      <c r="P112" s="10"/>
      <c r="Q112" s="10"/>
      <c r="R112" s="10"/>
      <c r="S112" s="10"/>
      <c r="T112" s="10"/>
      <c r="U112" s="10"/>
    </row>
    <row r="113" spans="1:21" x14ac:dyDescent="0.25">
      <c r="A113" s="873" t="s">
        <v>98</v>
      </c>
      <c r="B113" s="455"/>
      <c r="C113" s="455"/>
      <c r="D113" s="1137">
        <v>3.5999999999999997E-2</v>
      </c>
      <c r="E113" s="455"/>
      <c r="F113" s="1066">
        <v>0.08</v>
      </c>
      <c r="G113" s="1044"/>
      <c r="H113" s="10"/>
      <c r="I113" s="10"/>
      <c r="J113" s="10"/>
      <c r="K113" s="10"/>
      <c r="L113" s="10"/>
      <c r="M113" s="10"/>
      <c r="N113" s="10"/>
      <c r="O113" s="10"/>
      <c r="P113" s="10"/>
      <c r="Q113" s="10"/>
      <c r="R113" s="10"/>
      <c r="S113" s="10"/>
      <c r="T113" s="10"/>
      <c r="U113" s="10"/>
    </row>
    <row r="114" spans="1:21" ht="13" thickBot="1" x14ac:dyDescent="0.3">
      <c r="A114" s="1074" t="s">
        <v>164</v>
      </c>
      <c r="B114" s="477"/>
      <c r="C114" s="477"/>
      <c r="D114" s="1118">
        <v>1.6E-2</v>
      </c>
      <c r="E114" s="1118"/>
      <c r="F114" s="1119">
        <v>0.08</v>
      </c>
      <c r="G114" s="1058"/>
      <c r="H114" s="10"/>
      <c r="I114" s="10"/>
      <c r="J114" s="10"/>
      <c r="K114" s="10"/>
      <c r="L114" s="10"/>
      <c r="M114" s="10"/>
      <c r="N114" s="10"/>
      <c r="O114" s="10"/>
      <c r="P114" s="10"/>
      <c r="Q114" s="10"/>
      <c r="R114" s="10"/>
      <c r="S114" s="10"/>
      <c r="T114" s="10"/>
      <c r="U114" s="10"/>
    </row>
    <row r="115" spans="1:21" x14ac:dyDescent="0.25">
      <c r="A115" s="50"/>
      <c r="B115" s="51"/>
      <c r="C115" s="51"/>
      <c r="F115" s="24"/>
      <c r="G115" s="24"/>
      <c r="H115" s="10"/>
      <c r="I115" s="10"/>
      <c r="J115" s="10"/>
      <c r="K115" s="10"/>
      <c r="L115" s="10"/>
      <c r="M115" s="10"/>
      <c r="N115" s="10"/>
      <c r="O115" s="10"/>
      <c r="P115" s="10"/>
      <c r="Q115" s="10"/>
      <c r="R115" s="10"/>
      <c r="S115" s="10"/>
      <c r="T115" s="10"/>
      <c r="U115" s="10"/>
    </row>
    <row r="116" spans="1:21" x14ac:dyDescent="0.25">
      <c r="A116" s="33"/>
      <c r="B116" s="33"/>
      <c r="C116" s="33"/>
      <c r="D116" s="33"/>
      <c r="E116" s="33"/>
      <c r="F116" s="33"/>
      <c r="G116" s="33"/>
      <c r="H116" s="33"/>
      <c r="I116" s="33"/>
      <c r="J116" s="33"/>
      <c r="K116" s="33"/>
      <c r="L116" s="33"/>
      <c r="M116" s="33"/>
      <c r="N116" s="33"/>
      <c r="O116" s="33"/>
      <c r="P116" s="33"/>
      <c r="Q116" s="33"/>
      <c r="R116" s="33"/>
      <c r="S116" s="33"/>
      <c r="T116" s="33"/>
      <c r="U116" s="33"/>
    </row>
    <row r="117" spans="1:21" ht="13" thickBot="1" x14ac:dyDescent="0.3">
      <c r="A117" s="50"/>
      <c r="B117" s="51"/>
      <c r="C117" s="51"/>
      <c r="D117" s="24"/>
      <c r="E117" s="24"/>
      <c r="F117" s="24"/>
      <c r="G117" s="24"/>
      <c r="H117" s="24"/>
      <c r="I117" s="24"/>
      <c r="J117" s="24"/>
      <c r="K117" s="24"/>
    </row>
    <row r="118" spans="1:21" ht="13" thickTop="1" x14ac:dyDescent="0.25">
      <c r="A118" s="1082" t="s">
        <v>500</v>
      </c>
      <c r="B118" s="1050"/>
      <c r="C118" s="1050"/>
      <c r="D118" s="1050"/>
      <c r="E118" s="1050"/>
      <c r="F118" s="1050"/>
      <c r="G118" s="1050"/>
      <c r="H118" s="1050"/>
      <c r="I118" s="1050"/>
      <c r="J118" s="1050"/>
      <c r="K118" s="1050"/>
      <c r="L118" s="1050"/>
      <c r="M118" s="1050"/>
    </row>
    <row r="119" spans="1:21" ht="13" thickBot="1" x14ac:dyDescent="0.3">
      <c r="A119" s="1042"/>
      <c r="B119" s="1042"/>
      <c r="C119" s="1042"/>
      <c r="D119" s="1042"/>
      <c r="E119" s="1042"/>
      <c r="F119" s="1042"/>
      <c r="G119" s="1042"/>
      <c r="H119" s="1042"/>
      <c r="I119" s="1042"/>
      <c r="J119" s="1042"/>
      <c r="K119" s="1042"/>
      <c r="L119" s="1042"/>
      <c r="M119" s="1042"/>
    </row>
    <row r="120" spans="1:21" ht="13" x14ac:dyDescent="0.3">
      <c r="A120" s="1076" t="s">
        <v>163</v>
      </c>
      <c r="B120" s="1077"/>
      <c r="C120" s="1077"/>
      <c r="D120" s="592" t="s">
        <v>44</v>
      </c>
      <c r="E120" s="659"/>
      <c r="F120" s="659"/>
      <c r="G120" s="659"/>
      <c r="H120" s="659"/>
      <c r="I120" s="1068" t="s">
        <v>45</v>
      </c>
      <c r="J120" s="1069"/>
      <c r="K120" s="1069"/>
      <c r="L120" s="1069"/>
      <c r="M120" s="1070"/>
    </row>
    <row r="121" spans="1:21" x14ac:dyDescent="0.25">
      <c r="A121" s="1078"/>
      <c r="B121" s="1079"/>
      <c r="C121" s="1079"/>
      <c r="D121" s="549" t="s">
        <v>181</v>
      </c>
      <c r="E121" s="622"/>
      <c r="F121" s="622"/>
      <c r="G121" s="549" t="s">
        <v>184</v>
      </c>
      <c r="H121" s="622"/>
      <c r="I121" s="549" t="s">
        <v>181</v>
      </c>
      <c r="J121" s="622"/>
      <c r="K121" s="622"/>
      <c r="L121" s="549" t="s">
        <v>184</v>
      </c>
      <c r="M121" s="1073"/>
    </row>
    <row r="122" spans="1:21" x14ac:dyDescent="0.25">
      <c r="A122" s="873" t="s">
        <v>66</v>
      </c>
      <c r="B122" s="455"/>
      <c r="C122" s="148" t="s">
        <v>65</v>
      </c>
      <c r="D122" s="622"/>
      <c r="E122" s="622"/>
      <c r="F122" s="622"/>
      <c r="G122" s="622"/>
      <c r="H122" s="622"/>
      <c r="I122" s="622"/>
      <c r="J122" s="622"/>
      <c r="K122" s="622"/>
      <c r="L122" s="622"/>
      <c r="M122" s="1073"/>
    </row>
    <row r="123" spans="1:21" ht="15" x14ac:dyDescent="0.4">
      <c r="A123" s="1117"/>
      <c r="B123" s="522"/>
      <c r="C123" s="522"/>
      <c r="D123" s="1067" t="s">
        <v>182</v>
      </c>
      <c r="E123" s="552"/>
      <c r="F123" s="87" t="s">
        <v>183</v>
      </c>
      <c r="G123" s="1071" t="s">
        <v>185</v>
      </c>
      <c r="H123" s="455"/>
      <c r="I123" s="1067" t="s">
        <v>182</v>
      </c>
      <c r="J123" s="552"/>
      <c r="K123" s="87" t="s">
        <v>183</v>
      </c>
      <c r="L123" s="1071" t="s">
        <v>185</v>
      </c>
      <c r="M123" s="509"/>
    </row>
    <row r="124" spans="1:21" x14ac:dyDescent="0.25">
      <c r="A124" s="873" t="s">
        <v>153</v>
      </c>
      <c r="B124" s="455"/>
      <c r="C124" s="455"/>
      <c r="D124" s="455">
        <v>0.42399999999999999</v>
      </c>
      <c r="E124" s="455"/>
      <c r="F124" s="4">
        <v>0.57599999999999996</v>
      </c>
      <c r="G124" s="502">
        <v>0.316</v>
      </c>
      <c r="H124" s="502"/>
      <c r="I124" s="1066">
        <v>0.1</v>
      </c>
      <c r="J124" s="1066"/>
      <c r="K124" s="149">
        <v>0.15</v>
      </c>
      <c r="L124" s="1066">
        <v>0.9</v>
      </c>
      <c r="M124" s="1044"/>
    </row>
    <row r="125" spans="1:21" x14ac:dyDescent="0.25">
      <c r="A125" s="873" t="s">
        <v>152</v>
      </c>
      <c r="B125" s="455"/>
      <c r="C125" s="455"/>
      <c r="D125" s="455">
        <v>0.42899999999999999</v>
      </c>
      <c r="E125" s="455"/>
      <c r="F125" s="4">
        <v>0.57099999999999995</v>
      </c>
      <c r="G125" s="502">
        <v>0.30399999999999999</v>
      </c>
      <c r="H125" s="502"/>
      <c r="I125" s="1066">
        <v>0.2</v>
      </c>
      <c r="J125" s="1066"/>
      <c r="K125" s="149">
        <v>0.25</v>
      </c>
      <c r="L125" s="1066">
        <v>0.8</v>
      </c>
      <c r="M125" s="1044"/>
    </row>
    <row r="126" spans="1:21" x14ac:dyDescent="0.25">
      <c r="A126" s="873" t="s">
        <v>95</v>
      </c>
      <c r="B126" s="455"/>
      <c r="C126" s="455"/>
      <c r="D126" s="455">
        <v>0.51700000000000002</v>
      </c>
      <c r="E126" s="455"/>
      <c r="F126" s="4">
        <v>0.48299999999999998</v>
      </c>
      <c r="G126" s="502">
        <v>0.36499999999999999</v>
      </c>
      <c r="H126" s="502"/>
      <c r="I126" s="1066">
        <v>0.3</v>
      </c>
      <c r="J126" s="1066"/>
      <c r="K126" s="149">
        <v>0.35</v>
      </c>
      <c r="L126" s="1066">
        <v>0.7</v>
      </c>
      <c r="M126" s="1044"/>
    </row>
    <row r="127" spans="1:21" x14ac:dyDescent="0.25">
      <c r="A127" s="873" t="s">
        <v>98</v>
      </c>
      <c r="B127" s="455"/>
      <c r="C127" s="455"/>
      <c r="D127" s="455">
        <v>0.36399999999999999</v>
      </c>
      <c r="E127" s="455"/>
      <c r="F127" s="4">
        <v>0.63600000000000001</v>
      </c>
      <c r="G127" s="502">
        <v>0.41</v>
      </c>
      <c r="H127" s="502"/>
      <c r="I127" s="1066">
        <v>0.4</v>
      </c>
      <c r="J127" s="1066"/>
      <c r="K127" s="149">
        <v>0.45</v>
      </c>
      <c r="L127" s="1066">
        <v>0.6</v>
      </c>
      <c r="M127" s="1044"/>
    </row>
    <row r="128" spans="1:21" ht="13" thickBot="1" x14ac:dyDescent="0.3">
      <c r="A128" s="1074" t="s">
        <v>164</v>
      </c>
      <c r="B128" s="477"/>
      <c r="C128" s="477"/>
      <c r="D128" s="477">
        <v>0.432</v>
      </c>
      <c r="E128" s="477"/>
      <c r="F128" s="75">
        <v>0.56799999999999995</v>
      </c>
      <c r="G128" s="491">
        <v>0.27400000000000002</v>
      </c>
      <c r="H128" s="491"/>
      <c r="I128" s="1072">
        <v>0.5</v>
      </c>
      <c r="J128" s="1072"/>
      <c r="K128" s="150">
        <v>0.55000000000000004</v>
      </c>
      <c r="L128" s="1072">
        <v>0.5</v>
      </c>
      <c r="M128" s="1058"/>
    </row>
    <row r="131" spans="1:13" ht="13.5" customHeight="1" x14ac:dyDescent="0.3">
      <c r="B131" s="256"/>
      <c r="C131" s="256"/>
      <c r="D131" s="256"/>
      <c r="E131" s="256"/>
    </row>
    <row r="132" spans="1:13" ht="21" customHeight="1" thickBot="1" x14ac:dyDescent="0.35">
      <c r="A132" s="1042" t="s">
        <v>920</v>
      </c>
      <c r="B132" s="1042"/>
      <c r="C132" s="1042"/>
      <c r="D132" s="1042"/>
      <c r="E132" s="1042"/>
      <c r="F132" s="305" t="s">
        <v>1084</v>
      </c>
      <c r="H132" s="1043" t="s">
        <v>951</v>
      </c>
      <c r="I132" s="1043"/>
      <c r="J132" s="1043"/>
      <c r="K132" s="1043"/>
      <c r="L132" s="1043"/>
      <c r="M132" s="305" t="s">
        <v>1084</v>
      </c>
    </row>
    <row r="133" spans="1:13" ht="13" x14ac:dyDescent="0.3">
      <c r="A133" s="1041" t="s">
        <v>203</v>
      </c>
      <c r="B133" s="1035" t="s">
        <v>921</v>
      </c>
      <c r="C133" s="1035"/>
      <c r="D133" s="1035"/>
      <c r="E133" s="942" t="s">
        <v>202</v>
      </c>
      <c r="H133" s="1026" t="s">
        <v>163</v>
      </c>
      <c r="I133" s="1027" t="s">
        <v>950</v>
      </c>
      <c r="J133" s="1028"/>
      <c r="K133" s="1028"/>
      <c r="L133" s="942" t="s">
        <v>949</v>
      </c>
    </row>
    <row r="134" spans="1:13" ht="13" x14ac:dyDescent="0.3">
      <c r="A134" s="494"/>
      <c r="B134" s="194" t="s">
        <v>206</v>
      </c>
      <c r="C134" s="194" t="s">
        <v>207</v>
      </c>
      <c r="D134" s="194" t="s">
        <v>919</v>
      </c>
      <c r="E134" s="549"/>
      <c r="H134" s="892"/>
      <c r="I134" s="194" t="s">
        <v>206</v>
      </c>
      <c r="J134" s="194" t="s">
        <v>207</v>
      </c>
      <c r="K134" s="194" t="s">
        <v>919</v>
      </c>
      <c r="L134" s="549"/>
    </row>
    <row r="135" spans="1:13" ht="13" x14ac:dyDescent="0.3">
      <c r="A135" s="494"/>
      <c r="B135" s="194" t="s">
        <v>204</v>
      </c>
      <c r="C135" s="194" t="s">
        <v>205</v>
      </c>
      <c r="D135" s="194" t="s">
        <v>379</v>
      </c>
      <c r="E135" s="549"/>
      <c r="H135" s="892"/>
      <c r="I135" s="194" t="s">
        <v>204</v>
      </c>
      <c r="J135" s="194" t="s">
        <v>205</v>
      </c>
      <c r="K135" s="194" t="s">
        <v>379</v>
      </c>
      <c r="L135" s="549"/>
    </row>
    <row r="136" spans="1:13" x14ac:dyDescent="0.25">
      <c r="A136" s="553" t="s">
        <v>208</v>
      </c>
      <c r="B136" s="578"/>
      <c r="C136" s="578"/>
      <c r="D136" s="578"/>
      <c r="E136" s="272"/>
      <c r="H136" s="578" t="s">
        <v>208</v>
      </c>
      <c r="I136" s="578"/>
      <c r="J136" s="578"/>
      <c r="K136" s="578"/>
      <c r="L136" s="578"/>
    </row>
    <row r="137" spans="1:13" x14ac:dyDescent="0.25">
      <c r="A137" s="303" t="s">
        <v>153</v>
      </c>
      <c r="B137" s="271">
        <v>-4.0289999999999999</v>
      </c>
      <c r="C137" s="271">
        <v>0.34699999999999998</v>
      </c>
      <c r="D137" s="271">
        <v>0.114</v>
      </c>
      <c r="E137" s="271">
        <v>0.94799999999999995</v>
      </c>
      <c r="H137" s="303" t="s">
        <v>153</v>
      </c>
      <c r="I137" s="271">
        <v>-8.4220000000000006</v>
      </c>
      <c r="J137" s="271">
        <v>0.52800000000000002</v>
      </c>
      <c r="K137" s="271">
        <v>0.35899999999999999</v>
      </c>
      <c r="L137" s="271">
        <v>2.347</v>
      </c>
    </row>
    <row r="138" spans="1:13" x14ac:dyDescent="0.25">
      <c r="A138" s="303" t="s">
        <v>95</v>
      </c>
      <c r="B138" s="271">
        <v>-9.8260000000000005</v>
      </c>
      <c r="C138" s="271">
        <v>0.78700000000000003</v>
      </c>
      <c r="D138" s="271">
        <v>0.16</v>
      </c>
      <c r="E138" s="271">
        <v>1.7210000000000001</v>
      </c>
      <c r="H138" s="303" t="s">
        <v>95</v>
      </c>
      <c r="I138" s="271">
        <v>-13.864000000000001</v>
      </c>
      <c r="J138" s="271">
        <v>0.96</v>
      </c>
      <c r="K138" s="271">
        <v>0.60699999999999998</v>
      </c>
      <c r="L138" s="271">
        <v>1.052</v>
      </c>
    </row>
    <row r="139" spans="1:13" x14ac:dyDescent="0.25">
      <c r="A139" s="304" t="s">
        <v>98</v>
      </c>
      <c r="B139" s="271">
        <v>-11.109</v>
      </c>
      <c r="C139" s="271">
        <v>0.78700000000000003</v>
      </c>
      <c r="D139" s="271">
        <v>0.16</v>
      </c>
      <c r="E139" s="271">
        <v>1.7210000000000001</v>
      </c>
      <c r="H139" s="304" t="s">
        <v>98</v>
      </c>
      <c r="I139" s="271">
        <v>-14.624000000000001</v>
      </c>
      <c r="J139" s="271">
        <v>0.96</v>
      </c>
      <c r="K139" s="271">
        <v>0.60699999999999998</v>
      </c>
      <c r="L139" s="271">
        <v>1.052</v>
      </c>
    </row>
    <row r="140" spans="1:13" x14ac:dyDescent="0.25">
      <c r="A140" s="303" t="s">
        <v>898</v>
      </c>
      <c r="B140" s="271">
        <v>-9.3390000000000004</v>
      </c>
      <c r="C140" s="271">
        <v>0.89700000000000002</v>
      </c>
      <c r="D140" s="271">
        <v>0.20699999999999999</v>
      </c>
      <c r="E140" s="271">
        <v>1.41</v>
      </c>
      <c r="H140" s="303" t="s">
        <v>898</v>
      </c>
      <c r="I140" s="271">
        <v>-9.3629999999999995</v>
      </c>
      <c r="J140" s="271">
        <v>0.44400000000000001</v>
      </c>
      <c r="K140" s="271">
        <v>0.57899999999999996</v>
      </c>
      <c r="L140" s="271">
        <v>1E-3</v>
      </c>
    </row>
    <row r="141" spans="1:13" x14ac:dyDescent="0.25">
      <c r="H141" s="107"/>
      <c r="I141" s="107"/>
      <c r="J141" s="107"/>
      <c r="K141" s="107"/>
      <c r="L141" s="107"/>
    </row>
    <row r="143" spans="1:13" ht="13.5" thickBot="1" x14ac:dyDescent="0.35">
      <c r="A143" s="243"/>
      <c r="B143" s="243"/>
      <c r="C143" s="243"/>
      <c r="D143" s="305" t="s">
        <v>1084</v>
      </c>
      <c r="I143" s="243"/>
      <c r="J143" s="243"/>
      <c r="K143" s="243"/>
      <c r="L143" s="305" t="s">
        <v>1084</v>
      </c>
    </row>
    <row r="144" spans="1:13" ht="13.5" thickBot="1" x14ac:dyDescent="0.35">
      <c r="A144" s="1038" t="s">
        <v>899</v>
      </c>
      <c r="B144" s="1039"/>
      <c r="C144" s="1040"/>
      <c r="I144" s="513" t="s">
        <v>1097</v>
      </c>
      <c r="J144" s="513"/>
      <c r="K144" s="513"/>
    </row>
    <row r="145" spans="1:12" ht="24.75" customHeight="1" x14ac:dyDescent="0.25">
      <c r="A145" s="193" t="s">
        <v>163</v>
      </c>
      <c r="B145" s="241" t="s">
        <v>895</v>
      </c>
      <c r="C145" s="242" t="s">
        <v>896</v>
      </c>
      <c r="I145" s="193" t="s">
        <v>203</v>
      </c>
      <c r="J145" s="241" t="s">
        <v>941</v>
      </c>
      <c r="K145" s="242" t="s">
        <v>942</v>
      </c>
    </row>
    <row r="146" spans="1:12" x14ac:dyDescent="0.25">
      <c r="A146" s="553" t="s">
        <v>153</v>
      </c>
      <c r="B146" s="240" t="s">
        <v>156</v>
      </c>
      <c r="C146" s="244">
        <v>1</v>
      </c>
      <c r="I146" s="553" t="s">
        <v>153</v>
      </c>
      <c r="J146" s="240" t="s">
        <v>156</v>
      </c>
      <c r="K146" s="240">
        <v>1</v>
      </c>
    </row>
    <row r="147" spans="1:12" ht="18.75" customHeight="1" x14ac:dyDescent="0.25">
      <c r="A147" s="455"/>
      <c r="B147" s="240" t="s">
        <v>897</v>
      </c>
      <c r="C147" s="244">
        <v>0.51400000000000001</v>
      </c>
      <c r="I147" s="553"/>
      <c r="J147" s="240" t="s">
        <v>943</v>
      </c>
      <c r="K147" s="240">
        <v>0.2</v>
      </c>
    </row>
    <row r="148" spans="1:12" x14ac:dyDescent="0.25">
      <c r="A148" s="553" t="s">
        <v>898</v>
      </c>
      <c r="B148" s="240" t="s">
        <v>156</v>
      </c>
      <c r="C148" s="244">
        <v>1</v>
      </c>
    </row>
    <row r="149" spans="1:12" ht="18" customHeight="1" thickBot="1" x14ac:dyDescent="0.3">
      <c r="A149" s="455"/>
      <c r="B149" s="240" t="s">
        <v>897</v>
      </c>
      <c r="C149" s="244">
        <v>0.56599999999999995</v>
      </c>
    </row>
    <row r="150" spans="1:12" ht="13.5" thickBot="1" x14ac:dyDescent="0.35">
      <c r="I150" s="1021" t="s">
        <v>1098</v>
      </c>
      <c r="J150" s="1022"/>
      <c r="K150" s="1023"/>
      <c r="L150" s="305" t="s">
        <v>1084</v>
      </c>
    </row>
    <row r="151" spans="1:12" ht="18" thickBot="1" x14ac:dyDescent="0.3">
      <c r="I151" s="241" t="s">
        <v>203</v>
      </c>
      <c r="J151" s="241" t="s">
        <v>900</v>
      </c>
      <c r="K151" s="242" t="s">
        <v>944</v>
      </c>
    </row>
    <row r="152" spans="1:12" ht="13.5" thickBot="1" x14ac:dyDescent="0.35">
      <c r="A152" s="1021" t="s">
        <v>1085</v>
      </c>
      <c r="B152" s="1022"/>
      <c r="C152" s="1023"/>
      <c r="D152" s="305" t="s">
        <v>1084</v>
      </c>
      <c r="I152" s="1024" t="s">
        <v>903</v>
      </c>
      <c r="J152" s="240" t="s">
        <v>901</v>
      </c>
      <c r="K152" s="240">
        <v>1</v>
      </c>
    </row>
    <row r="153" spans="1:12" ht="17.5" x14ac:dyDescent="0.25">
      <c r="A153" s="241" t="s">
        <v>203</v>
      </c>
      <c r="B153" s="245" t="s">
        <v>904</v>
      </c>
      <c r="C153" s="242" t="s">
        <v>1099</v>
      </c>
      <c r="I153" s="1024"/>
      <c r="J153" s="240" t="s">
        <v>902</v>
      </c>
      <c r="K153" s="240">
        <v>1.468</v>
      </c>
    </row>
    <row r="154" spans="1:12" x14ac:dyDescent="0.25">
      <c r="A154" s="1025" t="s">
        <v>898</v>
      </c>
      <c r="B154" s="240" t="s">
        <v>905</v>
      </c>
      <c r="C154" s="240">
        <v>1</v>
      </c>
    </row>
    <row r="155" spans="1:12" ht="13" thickBot="1" x14ac:dyDescent="0.3">
      <c r="A155" s="1025"/>
      <c r="B155" s="240" t="s">
        <v>915</v>
      </c>
      <c r="C155" s="240">
        <v>0.61599999999999999</v>
      </c>
    </row>
    <row r="156" spans="1:12" ht="13.5" thickBot="1" x14ac:dyDescent="0.35">
      <c r="A156" s="1025"/>
      <c r="B156" s="240" t="s">
        <v>916</v>
      </c>
      <c r="C156" s="240">
        <v>0.44800000000000001</v>
      </c>
      <c r="I156" s="1021" t="s">
        <v>1100</v>
      </c>
      <c r="J156" s="1022"/>
      <c r="K156" s="1023"/>
      <c r="L156" s="305" t="s">
        <v>1084</v>
      </c>
    </row>
    <row r="157" spans="1:12" ht="17.5" x14ac:dyDescent="0.25">
      <c r="I157" s="241" t="s">
        <v>203</v>
      </c>
      <c r="J157" s="245" t="s">
        <v>904</v>
      </c>
      <c r="K157" s="242" t="s">
        <v>1101</v>
      </c>
    </row>
    <row r="158" spans="1:12" x14ac:dyDescent="0.25">
      <c r="A158" s="1029"/>
      <c r="B158" s="1029"/>
      <c r="C158" s="1029"/>
      <c r="I158" s="1025" t="s">
        <v>898</v>
      </c>
      <c r="J158" s="240" t="s">
        <v>905</v>
      </c>
      <c r="K158" s="240">
        <v>1</v>
      </c>
    </row>
    <row r="159" spans="1:12" ht="15" x14ac:dyDescent="0.25">
      <c r="A159" s="306"/>
      <c r="B159" s="306"/>
      <c r="C159" s="308"/>
      <c r="I159" s="1025"/>
      <c r="J159" s="240" t="s">
        <v>915</v>
      </c>
      <c r="K159" s="240">
        <v>0.40100000000000002</v>
      </c>
    </row>
    <row r="160" spans="1:12" x14ac:dyDescent="0.25">
      <c r="A160" s="1030"/>
      <c r="B160" s="309"/>
      <c r="C160" s="309"/>
      <c r="I160" s="1025"/>
      <c r="J160" s="240" t="s">
        <v>916</v>
      </c>
      <c r="K160" s="240">
        <v>0.64600000000000002</v>
      </c>
    </row>
    <row r="161" spans="1:3" x14ac:dyDescent="0.25">
      <c r="A161" s="1030"/>
      <c r="B161" s="309"/>
      <c r="C161" s="309"/>
    </row>
    <row r="164" spans="1:3" x14ac:dyDescent="0.25">
      <c r="A164" s="1029"/>
      <c r="B164" s="1029"/>
      <c r="C164" s="1029"/>
    </row>
    <row r="165" spans="1:3" ht="15" x14ac:dyDescent="0.25">
      <c r="A165" s="306"/>
      <c r="B165" s="307"/>
      <c r="C165" s="308"/>
    </row>
    <row r="166" spans="1:3" x14ac:dyDescent="0.25">
      <c r="A166" s="1031"/>
      <c r="B166" s="309"/>
      <c r="C166" s="309"/>
    </row>
    <row r="167" spans="1:3" x14ac:dyDescent="0.25">
      <c r="A167" s="1031"/>
      <c r="B167" s="309"/>
      <c r="C167" s="309"/>
    </row>
    <row r="168" spans="1:3" x14ac:dyDescent="0.25">
      <c r="A168" s="1031"/>
      <c r="B168" s="309"/>
      <c r="C168" s="309"/>
    </row>
    <row r="171" spans="1:3" x14ac:dyDescent="0.25">
      <c r="A171" s="1029"/>
      <c r="B171" s="1029"/>
      <c r="C171" s="1029"/>
    </row>
    <row r="172" spans="1:3" ht="15" x14ac:dyDescent="0.25">
      <c r="A172" s="306"/>
      <c r="B172" s="307"/>
      <c r="C172" s="308"/>
    </row>
    <row r="173" spans="1:3" x14ac:dyDescent="0.25">
      <c r="A173" s="1031"/>
      <c r="B173" s="309"/>
      <c r="C173" s="309"/>
    </row>
    <row r="174" spans="1:3" x14ac:dyDescent="0.25">
      <c r="A174" s="1031"/>
      <c r="B174" s="309"/>
      <c r="C174" s="309"/>
    </row>
    <row r="175" spans="1:3" x14ac:dyDescent="0.25">
      <c r="A175" s="1031"/>
      <c r="B175" s="309"/>
      <c r="C175" s="309"/>
    </row>
    <row r="176" spans="1:3" x14ac:dyDescent="0.25">
      <c r="A176" s="1031"/>
      <c r="B176" s="309"/>
      <c r="C176" s="309"/>
    </row>
    <row r="181" spans="1:2" x14ac:dyDescent="0.25">
      <c r="A181" s="20" t="s">
        <v>163</v>
      </c>
    </row>
    <row r="182" spans="1:2" ht="13" x14ac:dyDescent="0.3">
      <c r="A182" s="20" t="s">
        <v>153</v>
      </c>
      <c r="B182" s="299"/>
    </row>
    <row r="183" spans="1:2" ht="13" x14ac:dyDescent="0.3">
      <c r="A183" s="20" t="s">
        <v>152</v>
      </c>
      <c r="B183" s="299"/>
    </row>
    <row r="184" spans="1:2" ht="13" x14ac:dyDescent="0.3">
      <c r="A184" s="20" t="s">
        <v>95</v>
      </c>
      <c r="B184" s="299"/>
    </row>
    <row r="185" spans="1:2" ht="13" x14ac:dyDescent="0.3">
      <c r="A185" s="20" t="s">
        <v>98</v>
      </c>
      <c r="B185" s="299"/>
    </row>
    <row r="186" spans="1:2" ht="13" x14ac:dyDescent="0.3">
      <c r="A186" s="20" t="s">
        <v>164</v>
      </c>
      <c r="B186" s="299"/>
    </row>
    <row r="187" spans="1:2" ht="13" x14ac:dyDescent="0.3">
      <c r="A187" s="20" t="s">
        <v>898</v>
      </c>
      <c r="B187" s="299"/>
    </row>
  </sheetData>
  <mergeCells count="294">
    <mergeCell ref="A39:B39"/>
    <mergeCell ref="A37:B37"/>
    <mergeCell ref="A97:B97"/>
    <mergeCell ref="C97:D97"/>
    <mergeCell ref="E97:F97"/>
    <mergeCell ref="A67:B67"/>
    <mergeCell ref="A89:J90"/>
    <mergeCell ref="C94:D94"/>
    <mergeCell ref="G96:H96"/>
    <mergeCell ref="I96:J96"/>
    <mergeCell ref="A84:J85"/>
    <mergeCell ref="I93:J93"/>
    <mergeCell ref="A94:B94"/>
    <mergeCell ref="A95:B95"/>
    <mergeCell ref="C95:D95"/>
    <mergeCell ref="E95:F95"/>
    <mergeCell ref="G95:H95"/>
    <mergeCell ref="I95:J95"/>
    <mergeCell ref="C96:D96"/>
    <mergeCell ref="E96:F96"/>
    <mergeCell ref="A96:B96"/>
    <mergeCell ref="C82:D82"/>
    <mergeCell ref="E82:F82"/>
    <mergeCell ref="C93:D93"/>
    <mergeCell ref="W31:Z32"/>
    <mergeCell ref="G78:H78"/>
    <mergeCell ref="G77:J77"/>
    <mergeCell ref="I78:J78"/>
    <mergeCell ref="E80:F80"/>
    <mergeCell ref="W47:X47"/>
    <mergeCell ref="W48:X48"/>
    <mergeCell ref="W49:X49"/>
    <mergeCell ref="W50:X50"/>
    <mergeCell ref="W51:X51"/>
    <mergeCell ref="I79:J79"/>
    <mergeCell ref="G80:H80"/>
    <mergeCell ref="I80:J80"/>
    <mergeCell ref="G65:H65"/>
    <mergeCell ref="I65:J65"/>
    <mergeCell ref="E65:F65"/>
    <mergeCell ref="E79:F79"/>
    <mergeCell ref="G42:H42"/>
    <mergeCell ref="I42:J42"/>
    <mergeCell ref="W36:Y39"/>
    <mergeCell ref="W40:X40"/>
    <mergeCell ref="W41:X41"/>
    <mergeCell ref="W42:X42"/>
    <mergeCell ref="A126:C126"/>
    <mergeCell ref="A34:B34"/>
    <mergeCell ref="A76:A77"/>
    <mergeCell ref="B76:B77"/>
    <mergeCell ref="C77:F77"/>
    <mergeCell ref="E78:F78"/>
    <mergeCell ref="C76:J76"/>
    <mergeCell ref="F112:G112"/>
    <mergeCell ref="D113:E113"/>
    <mergeCell ref="I81:J81"/>
    <mergeCell ref="C79:D79"/>
    <mergeCell ref="C80:D80"/>
    <mergeCell ref="C81:D81"/>
    <mergeCell ref="G79:H79"/>
    <mergeCell ref="A111:C111"/>
    <mergeCell ref="A124:C124"/>
    <mergeCell ref="A80:B80"/>
    <mergeCell ref="F107:G109"/>
    <mergeCell ref="G94:H94"/>
    <mergeCell ref="I94:J94"/>
    <mergeCell ref="E83:F83"/>
    <mergeCell ref="I82:J82"/>
    <mergeCell ref="A125:C125"/>
    <mergeCell ref="A93:B93"/>
    <mergeCell ref="Y27:Z27"/>
    <mergeCell ref="E81:F81"/>
    <mergeCell ref="A74:J75"/>
    <mergeCell ref="A78:B78"/>
    <mergeCell ref="F106:G106"/>
    <mergeCell ref="F110:G110"/>
    <mergeCell ref="D111:E111"/>
    <mergeCell ref="A109:C109"/>
    <mergeCell ref="A47:B47"/>
    <mergeCell ref="A36:B36"/>
    <mergeCell ref="G32:H32"/>
    <mergeCell ref="I32:J32"/>
    <mergeCell ref="E42:F42"/>
    <mergeCell ref="C41:L41"/>
    <mergeCell ref="K32:L32"/>
    <mergeCell ref="A69:B69"/>
    <mergeCell ref="A70:B70"/>
    <mergeCell ref="F111:G111"/>
    <mergeCell ref="A104:G105"/>
    <mergeCell ref="A110:C110"/>
    <mergeCell ref="D106:E106"/>
    <mergeCell ref="C98:D98"/>
    <mergeCell ref="A99:J100"/>
    <mergeCell ref="A98:B98"/>
    <mergeCell ref="A114:C114"/>
    <mergeCell ref="A123:C123"/>
    <mergeCell ref="D114:E114"/>
    <mergeCell ref="F114:G114"/>
    <mergeCell ref="A106:C107"/>
    <mergeCell ref="D107:E109"/>
    <mergeCell ref="F113:G113"/>
    <mergeCell ref="A68:B68"/>
    <mergeCell ref="W25:X25"/>
    <mergeCell ref="W26:X26"/>
    <mergeCell ref="W28:X28"/>
    <mergeCell ref="W29:Z30"/>
    <mergeCell ref="W45:X45"/>
    <mergeCell ref="W46:X46"/>
    <mergeCell ref="K65:L65"/>
    <mergeCell ref="E57:F57"/>
    <mergeCell ref="A41:B43"/>
    <mergeCell ref="K42:L42"/>
    <mergeCell ref="A64:B66"/>
    <mergeCell ref="C64:L64"/>
    <mergeCell ref="C65:D65"/>
    <mergeCell ref="W43:X43"/>
    <mergeCell ref="W44:X44"/>
    <mergeCell ref="A46:B46"/>
    <mergeCell ref="W24:X24"/>
    <mergeCell ref="W22:X22"/>
    <mergeCell ref="W23:X23"/>
    <mergeCell ref="N9:O9"/>
    <mergeCell ref="N7:O7"/>
    <mergeCell ref="N8:O8"/>
    <mergeCell ref="N19:O19"/>
    <mergeCell ref="N21:O21"/>
    <mergeCell ref="N14:T14"/>
    <mergeCell ref="N16:T16"/>
    <mergeCell ref="N18:T18"/>
    <mergeCell ref="N20:T20"/>
    <mergeCell ref="N12:O12"/>
    <mergeCell ref="N13:O13"/>
    <mergeCell ref="W20:X20"/>
    <mergeCell ref="A32:B33"/>
    <mergeCell ref="C32:D32"/>
    <mergeCell ref="A35:B35"/>
    <mergeCell ref="Y22:Z22"/>
    <mergeCell ref="AA6:AA8"/>
    <mergeCell ref="Z5:AA5"/>
    <mergeCell ref="Y21:Z21"/>
    <mergeCell ref="Z6:Z8"/>
    <mergeCell ref="W18:Z19"/>
    <mergeCell ref="N10:O10"/>
    <mergeCell ref="N11:O11"/>
    <mergeCell ref="W27:X27"/>
    <mergeCell ref="Y25:Z25"/>
    <mergeCell ref="A28:L29"/>
    <mergeCell ref="Y28:Z28"/>
    <mergeCell ref="Y26:Z26"/>
    <mergeCell ref="Y20:Z20"/>
    <mergeCell ref="W21:X21"/>
    <mergeCell ref="N15:O15"/>
    <mergeCell ref="N17:O17"/>
    <mergeCell ref="N22:T23"/>
    <mergeCell ref="A19:D19"/>
    <mergeCell ref="Y23:Z23"/>
    <mergeCell ref="Y24:Z24"/>
    <mergeCell ref="A2:D3"/>
    <mergeCell ref="D4:D6"/>
    <mergeCell ref="A4:A6"/>
    <mergeCell ref="W2:AA3"/>
    <mergeCell ref="G7:J7"/>
    <mergeCell ref="N2:T3"/>
    <mergeCell ref="N6:T6"/>
    <mergeCell ref="A7:D7"/>
    <mergeCell ref="X4:AA4"/>
    <mergeCell ref="W4:W8"/>
    <mergeCell ref="Y6:Y8"/>
    <mergeCell ref="X6:X8"/>
    <mergeCell ref="X5:Y5"/>
    <mergeCell ref="N4:O5"/>
    <mergeCell ref="P4:T4"/>
    <mergeCell ref="G2:J3"/>
    <mergeCell ref="G4:G6"/>
    <mergeCell ref="A127:C127"/>
    <mergeCell ref="A128:C128"/>
    <mergeCell ref="D124:E124"/>
    <mergeCell ref="D125:E125"/>
    <mergeCell ref="A48:B48"/>
    <mergeCell ref="A49:B49"/>
    <mergeCell ref="D126:E126"/>
    <mergeCell ref="D127:E127"/>
    <mergeCell ref="A120:C121"/>
    <mergeCell ref="A122:B122"/>
    <mergeCell ref="D123:E123"/>
    <mergeCell ref="D121:F122"/>
    <mergeCell ref="D120:H120"/>
    <mergeCell ref="A112:C112"/>
    <mergeCell ref="D112:E112"/>
    <mergeCell ref="G124:H124"/>
    <mergeCell ref="G125:H125"/>
    <mergeCell ref="G127:H127"/>
    <mergeCell ref="G128:H128"/>
    <mergeCell ref="G126:H126"/>
    <mergeCell ref="A113:C113"/>
    <mergeCell ref="D110:E110"/>
    <mergeCell ref="A118:M119"/>
    <mergeCell ref="I98:J98"/>
    <mergeCell ref="D128:E128"/>
    <mergeCell ref="I127:J127"/>
    <mergeCell ref="I126:J126"/>
    <mergeCell ref="I121:K122"/>
    <mergeCell ref="I123:J123"/>
    <mergeCell ref="I120:M120"/>
    <mergeCell ref="G121:H122"/>
    <mergeCell ref="G123:H123"/>
    <mergeCell ref="L128:M128"/>
    <mergeCell ref="I124:J124"/>
    <mergeCell ref="I125:J125"/>
    <mergeCell ref="I128:J128"/>
    <mergeCell ref="L127:M127"/>
    <mergeCell ref="L124:M124"/>
    <mergeCell ref="L125:M125"/>
    <mergeCell ref="L126:M126"/>
    <mergeCell ref="L121:M122"/>
    <mergeCell ref="L123:M123"/>
    <mergeCell ref="E98:F98"/>
    <mergeCell ref="G98:H98"/>
    <mergeCell ref="G81:H81"/>
    <mergeCell ref="G92:J92"/>
    <mergeCell ref="E94:F94"/>
    <mergeCell ref="G97:H97"/>
    <mergeCell ref="I97:J97"/>
    <mergeCell ref="I83:J83"/>
    <mergeCell ref="A83:B83"/>
    <mergeCell ref="G83:H83"/>
    <mergeCell ref="A91:A92"/>
    <mergeCell ref="C91:J91"/>
    <mergeCell ref="C92:F92"/>
    <mergeCell ref="A81:B81"/>
    <mergeCell ref="E93:F93"/>
    <mergeCell ref="G93:H93"/>
    <mergeCell ref="B91:B92"/>
    <mergeCell ref="C78:D78"/>
    <mergeCell ref="C83:D83"/>
    <mergeCell ref="G82:H82"/>
    <mergeCell ref="A82:B82"/>
    <mergeCell ref="J4:J6"/>
    <mergeCell ref="G19:J19"/>
    <mergeCell ref="A45:B45"/>
    <mergeCell ref="C31:L31"/>
    <mergeCell ref="E32:F32"/>
    <mergeCell ref="A61:B61"/>
    <mergeCell ref="G57:H57"/>
    <mergeCell ref="I57:J57"/>
    <mergeCell ref="K57:L57"/>
    <mergeCell ref="A53:L54"/>
    <mergeCell ref="A55:A56"/>
    <mergeCell ref="B55:B56"/>
    <mergeCell ref="C55:L55"/>
    <mergeCell ref="C56:L56"/>
    <mergeCell ref="A57:B58"/>
    <mergeCell ref="C57:D57"/>
    <mergeCell ref="C42:D42"/>
    <mergeCell ref="G13:J13"/>
    <mergeCell ref="A13:D13"/>
    <mergeCell ref="A38:B38"/>
    <mergeCell ref="A166:A168"/>
    <mergeCell ref="A164:C164"/>
    <mergeCell ref="A173:A174"/>
    <mergeCell ref="A175:A176"/>
    <mergeCell ref="A171:C171"/>
    <mergeCell ref="A44:B44"/>
    <mergeCell ref="A30:A31"/>
    <mergeCell ref="B30:B31"/>
    <mergeCell ref="C30:L30"/>
    <mergeCell ref="A59:B59"/>
    <mergeCell ref="A60:B60"/>
    <mergeCell ref="A146:A147"/>
    <mergeCell ref="A148:A149"/>
    <mergeCell ref="A144:C144"/>
    <mergeCell ref="A133:A135"/>
    <mergeCell ref="E133:E135"/>
    <mergeCell ref="A136:D136"/>
    <mergeCell ref="B133:D133"/>
    <mergeCell ref="I146:I147"/>
    <mergeCell ref="I144:K144"/>
    <mergeCell ref="A132:E132"/>
    <mergeCell ref="H132:L132"/>
    <mergeCell ref="A108:B108"/>
    <mergeCell ref="A79:B79"/>
    <mergeCell ref="I150:K150"/>
    <mergeCell ref="I152:I153"/>
    <mergeCell ref="I156:K156"/>
    <mergeCell ref="I158:I160"/>
    <mergeCell ref="H136:L136"/>
    <mergeCell ref="L133:L135"/>
    <mergeCell ref="H133:H135"/>
    <mergeCell ref="I133:K133"/>
    <mergeCell ref="A152:C152"/>
    <mergeCell ref="A158:C158"/>
    <mergeCell ref="A160:A161"/>
    <mergeCell ref="A154:A156"/>
  </mergeCells>
  <dataValidations disablePrompts="1" count="1">
    <dataValidation type="list" allowBlank="1" showInputMessage="1" showErrorMessage="1" sqref="C122 B91 B55 B30 B76 C108" xr:uid="{00000000-0002-0000-0900-000000000000}">
      <formula1>Local</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B1:H172"/>
  <sheetViews>
    <sheetView topLeftCell="A146" zoomScale="120" zoomScaleNormal="120" workbookViewId="0">
      <selection activeCell="G173" sqref="G173"/>
    </sheetView>
  </sheetViews>
  <sheetFormatPr defaultColWidth="8.7265625" defaultRowHeight="14.5" x14ac:dyDescent="0.35"/>
  <cols>
    <col min="1" max="1" width="8.7265625" style="198"/>
    <col min="2" max="2" width="83.7265625" style="198" customWidth="1"/>
    <col min="3" max="3" width="20.26953125" style="198" customWidth="1"/>
    <col min="4" max="4" width="28.81640625" style="198" customWidth="1"/>
    <col min="5" max="5" width="14.26953125" style="198" customWidth="1"/>
    <col min="6" max="6" width="15.81640625" style="198" customWidth="1"/>
    <col min="7" max="16384" width="8.7265625" style="198"/>
  </cols>
  <sheetData>
    <row r="1" spans="2:5" ht="18.5" x14ac:dyDescent="0.45">
      <c r="B1" s="224" t="s">
        <v>1254</v>
      </c>
    </row>
    <row r="2" spans="2:5" ht="18.5" x14ac:dyDescent="0.45">
      <c r="B2" s="234" t="s">
        <v>621</v>
      </c>
      <c r="C2" s="233" t="s">
        <v>798</v>
      </c>
      <c r="D2" s="215" t="s">
        <v>797</v>
      </c>
      <c r="E2" s="207"/>
    </row>
    <row r="3" spans="2:5" x14ac:dyDescent="0.35">
      <c r="B3" s="198" t="s">
        <v>796</v>
      </c>
      <c r="C3" s="198">
        <v>0</v>
      </c>
      <c r="D3" s="198">
        <v>90</v>
      </c>
    </row>
    <row r="4" spans="2:5" x14ac:dyDescent="0.35">
      <c r="B4" s="198" t="s">
        <v>795</v>
      </c>
      <c r="C4" s="198">
        <v>1</v>
      </c>
      <c r="D4" s="198">
        <v>90</v>
      </c>
    </row>
    <row r="5" spans="2:5" x14ac:dyDescent="0.35">
      <c r="B5" s="198" t="s">
        <v>794</v>
      </c>
      <c r="C5" s="198">
        <v>1.2</v>
      </c>
      <c r="D5" s="198">
        <v>90</v>
      </c>
    </row>
    <row r="6" spans="2:5" x14ac:dyDescent="0.35">
      <c r="B6" s="198" t="s">
        <v>793</v>
      </c>
      <c r="C6" s="198">
        <v>1.33</v>
      </c>
      <c r="D6" s="198">
        <v>90</v>
      </c>
    </row>
    <row r="7" spans="2:5" x14ac:dyDescent="0.35">
      <c r="B7" s="198" t="s">
        <v>792</v>
      </c>
      <c r="C7" s="198">
        <v>186.67</v>
      </c>
      <c r="D7" s="198">
        <v>90</v>
      </c>
    </row>
    <row r="8" spans="2:5" x14ac:dyDescent="0.35">
      <c r="B8" s="198" t="s">
        <v>791</v>
      </c>
      <c r="C8" s="198">
        <v>200</v>
      </c>
      <c r="D8" s="198">
        <v>90</v>
      </c>
    </row>
    <row r="9" spans="2:5" x14ac:dyDescent="0.35">
      <c r="B9" s="198" t="s">
        <v>790</v>
      </c>
      <c r="C9" s="198">
        <v>240</v>
      </c>
      <c r="D9" s="198">
        <v>90</v>
      </c>
    </row>
    <row r="10" spans="2:5" x14ac:dyDescent="0.35">
      <c r="B10" s="198" t="s">
        <v>156</v>
      </c>
      <c r="C10" s="198">
        <v>266.67</v>
      </c>
      <c r="D10" s="198">
        <v>90</v>
      </c>
    </row>
    <row r="11" spans="2:5" x14ac:dyDescent="0.35">
      <c r="B11" s="198" t="s">
        <v>789</v>
      </c>
      <c r="C11" s="198">
        <v>66.67</v>
      </c>
      <c r="D11" s="198">
        <v>90</v>
      </c>
    </row>
    <row r="12" spans="2:5" x14ac:dyDescent="0.35">
      <c r="B12" s="198" t="s">
        <v>788</v>
      </c>
      <c r="C12" s="198">
        <v>80</v>
      </c>
      <c r="D12" s="198">
        <v>90</v>
      </c>
    </row>
    <row r="14" spans="2:5" ht="18.5" x14ac:dyDescent="0.45">
      <c r="B14" s="224" t="s">
        <v>1255</v>
      </c>
    </row>
    <row r="15" spans="2:5" ht="18.5" x14ac:dyDescent="0.45">
      <c r="B15" s="223" t="s">
        <v>603</v>
      </c>
      <c r="C15" s="212" t="s">
        <v>787</v>
      </c>
      <c r="D15" s="212" t="s">
        <v>786</v>
      </c>
    </row>
    <row r="16" spans="2:5" x14ac:dyDescent="0.35">
      <c r="B16" s="198" t="s">
        <v>602</v>
      </c>
      <c r="C16" s="198">
        <v>0.9</v>
      </c>
      <c r="D16" s="198">
        <v>0.9</v>
      </c>
    </row>
    <row r="17" spans="2:6" x14ac:dyDescent="0.35">
      <c r="B17" s="198" t="s">
        <v>785</v>
      </c>
      <c r="C17" s="198">
        <v>0.95</v>
      </c>
      <c r="D17" s="198">
        <v>0.95</v>
      </c>
    </row>
    <row r="18" spans="2:6" x14ac:dyDescent="0.35">
      <c r="B18" s="198" t="s">
        <v>784</v>
      </c>
      <c r="C18" s="198">
        <v>1</v>
      </c>
      <c r="D18" s="198">
        <v>1</v>
      </c>
    </row>
    <row r="19" spans="2:6" x14ac:dyDescent="0.35">
      <c r="B19" s="198" t="s">
        <v>620</v>
      </c>
      <c r="C19" s="198">
        <v>1</v>
      </c>
      <c r="D19" s="198">
        <v>1</v>
      </c>
    </row>
    <row r="20" spans="2:6" ht="18.5" x14ac:dyDescent="0.45">
      <c r="B20" s="224" t="s">
        <v>1256</v>
      </c>
    </row>
    <row r="21" spans="2:6" x14ac:dyDescent="0.35">
      <c r="C21" s="1146" t="s">
        <v>783</v>
      </c>
      <c r="D21" s="1146"/>
      <c r="E21" s="1146"/>
      <c r="F21" s="212" t="s">
        <v>782</v>
      </c>
    </row>
    <row r="22" spans="2:6" ht="85.5" customHeight="1" x14ac:dyDescent="0.45">
      <c r="B22" s="223" t="s">
        <v>781</v>
      </c>
      <c r="C22" s="232" t="s">
        <v>606</v>
      </c>
      <c r="D22" s="232" t="s">
        <v>780</v>
      </c>
      <c r="E22" s="232" t="s">
        <v>779</v>
      </c>
      <c r="F22" s="231"/>
    </row>
    <row r="23" spans="2:6" x14ac:dyDescent="0.35">
      <c r="B23" s="198" t="s">
        <v>778</v>
      </c>
      <c r="C23" s="198">
        <v>0</v>
      </c>
      <c r="D23" s="198">
        <v>0</v>
      </c>
      <c r="E23" s="198">
        <v>0</v>
      </c>
      <c r="F23" s="198">
        <v>90</v>
      </c>
    </row>
    <row r="24" spans="2:6" x14ac:dyDescent="0.35">
      <c r="B24" s="198" t="s">
        <v>777</v>
      </c>
      <c r="C24" s="198">
        <v>0.4</v>
      </c>
      <c r="D24" s="198">
        <v>0.3</v>
      </c>
      <c r="E24" s="198">
        <v>0.4</v>
      </c>
      <c r="F24" s="198">
        <v>90</v>
      </c>
    </row>
    <row r="25" spans="2:6" x14ac:dyDescent="0.35">
      <c r="B25" s="198" t="s">
        <v>776</v>
      </c>
      <c r="C25" s="198">
        <v>1</v>
      </c>
      <c r="D25" s="198">
        <v>0.95</v>
      </c>
      <c r="E25" s="198">
        <v>1</v>
      </c>
      <c r="F25" s="198">
        <v>90</v>
      </c>
    </row>
    <row r="26" spans="2:6" x14ac:dyDescent="0.35">
      <c r="B26" s="198" t="s">
        <v>775</v>
      </c>
      <c r="C26" s="198">
        <v>1.25</v>
      </c>
      <c r="D26" s="198">
        <v>1.2</v>
      </c>
      <c r="E26" s="198">
        <v>1.25</v>
      </c>
      <c r="F26" s="198">
        <v>90</v>
      </c>
    </row>
    <row r="27" spans="2:6" x14ac:dyDescent="0.35">
      <c r="B27" s="198" t="s">
        <v>774</v>
      </c>
      <c r="C27" s="198">
        <v>3.8</v>
      </c>
      <c r="D27" s="198">
        <v>1</v>
      </c>
      <c r="E27" s="198">
        <v>3.8</v>
      </c>
      <c r="F27" s="198">
        <v>90</v>
      </c>
    </row>
    <row r="28" spans="2:6" x14ac:dyDescent="0.35">
      <c r="B28" s="198" t="s">
        <v>675</v>
      </c>
      <c r="C28" s="198">
        <v>4.8</v>
      </c>
      <c r="D28" s="198">
        <v>1.25</v>
      </c>
      <c r="E28" s="198">
        <v>4.8</v>
      </c>
      <c r="F28" s="198">
        <v>90</v>
      </c>
    </row>
    <row r="29" spans="2:6" x14ac:dyDescent="0.35">
      <c r="B29" s="198" t="s">
        <v>773</v>
      </c>
      <c r="C29" s="198">
        <v>5.0999999999999996</v>
      </c>
      <c r="D29" s="198">
        <v>3.8</v>
      </c>
      <c r="E29" s="198">
        <v>5.0999999999999996</v>
      </c>
      <c r="F29" s="198">
        <v>90</v>
      </c>
    </row>
    <row r="30" spans="2:6" x14ac:dyDescent="0.35">
      <c r="B30" s="198" t="s">
        <v>772</v>
      </c>
      <c r="C30" s="198">
        <v>6.7</v>
      </c>
      <c r="D30" s="198">
        <v>4.8</v>
      </c>
      <c r="E30" s="198">
        <v>6.7</v>
      </c>
      <c r="F30" s="198">
        <v>90</v>
      </c>
    </row>
    <row r="31" spans="2:6" x14ac:dyDescent="0.35">
      <c r="B31" s="198" t="s">
        <v>771</v>
      </c>
      <c r="C31" s="198">
        <v>1.75</v>
      </c>
      <c r="F31" s="198">
        <v>90</v>
      </c>
    </row>
    <row r="32" spans="2:6" x14ac:dyDescent="0.35">
      <c r="B32" s="198" t="s">
        <v>604</v>
      </c>
      <c r="C32" s="198">
        <v>2.15</v>
      </c>
      <c r="F32" s="198">
        <v>90</v>
      </c>
    </row>
    <row r="33" spans="2:5" x14ac:dyDescent="0.35">
      <c r="C33" s="198">
        <v>2</v>
      </c>
      <c r="D33" s="198">
        <v>3</v>
      </c>
      <c r="E33" s="198">
        <v>4</v>
      </c>
    </row>
    <row r="36" spans="2:5" ht="18.5" x14ac:dyDescent="0.45">
      <c r="B36" s="224" t="s">
        <v>1257</v>
      </c>
    </row>
    <row r="37" spans="2:5" ht="18.5" x14ac:dyDescent="0.45">
      <c r="B37" s="223" t="s">
        <v>601</v>
      </c>
      <c r="C37" s="212" t="s">
        <v>770</v>
      </c>
    </row>
    <row r="38" spans="2:5" x14ac:dyDescent="0.35">
      <c r="B38" s="198" t="s">
        <v>627</v>
      </c>
      <c r="C38" s="198">
        <v>1</v>
      </c>
    </row>
    <row r="39" spans="2:5" x14ac:dyDescent="0.35">
      <c r="B39" s="198" t="s">
        <v>600</v>
      </c>
      <c r="C39" s="198">
        <v>1.5</v>
      </c>
    </row>
    <row r="40" spans="2:5" x14ac:dyDescent="0.35">
      <c r="B40" s="198" t="s">
        <v>769</v>
      </c>
      <c r="C40" s="198">
        <v>1</v>
      </c>
    </row>
    <row r="42" spans="2:5" ht="18.5" x14ac:dyDescent="0.45">
      <c r="B42" s="224" t="s">
        <v>1258</v>
      </c>
    </row>
    <row r="43" spans="2:5" ht="18.5" x14ac:dyDescent="0.45">
      <c r="B43" s="223" t="s">
        <v>599</v>
      </c>
      <c r="C43" s="212" t="s">
        <v>768</v>
      </c>
    </row>
    <row r="44" spans="2:5" x14ac:dyDescent="0.35">
      <c r="B44" s="198" t="s">
        <v>767</v>
      </c>
      <c r="C44" s="198">
        <v>0</v>
      </c>
    </row>
    <row r="45" spans="2:5" x14ac:dyDescent="0.35">
      <c r="B45" s="198" t="s">
        <v>766</v>
      </c>
      <c r="C45" s="198">
        <v>1</v>
      </c>
    </row>
    <row r="46" spans="2:5" x14ac:dyDescent="0.35">
      <c r="B46" s="198" t="s">
        <v>156</v>
      </c>
      <c r="C46" s="198">
        <v>1.25</v>
      </c>
    </row>
    <row r="48" spans="2:5" ht="18.5" x14ac:dyDescent="0.45">
      <c r="B48" s="224" t="s">
        <v>1259</v>
      </c>
    </row>
    <row r="49" spans="2:3" ht="18.5" x14ac:dyDescent="0.45">
      <c r="B49" s="223" t="s">
        <v>632</v>
      </c>
      <c r="C49" s="212" t="s">
        <v>765</v>
      </c>
    </row>
    <row r="50" spans="2:3" x14ac:dyDescent="0.35">
      <c r="B50" s="198" t="s">
        <v>631</v>
      </c>
      <c r="C50" s="198">
        <v>1</v>
      </c>
    </row>
    <row r="51" spans="2:3" x14ac:dyDescent="0.35">
      <c r="B51" s="198" t="s">
        <v>764</v>
      </c>
      <c r="C51" s="198">
        <v>1.2</v>
      </c>
    </row>
    <row r="52" spans="2:3" x14ac:dyDescent="0.35">
      <c r="B52" s="198" t="s">
        <v>763</v>
      </c>
      <c r="C52" s="198">
        <v>1.5</v>
      </c>
    </row>
    <row r="54" spans="2:3" ht="18.5" x14ac:dyDescent="0.45">
      <c r="B54" s="224" t="s">
        <v>1260</v>
      </c>
    </row>
    <row r="55" spans="2:3" ht="18.5" x14ac:dyDescent="0.45">
      <c r="B55" s="223" t="s">
        <v>630</v>
      </c>
      <c r="C55" s="212" t="s">
        <v>762</v>
      </c>
    </row>
    <row r="56" spans="2:3" x14ac:dyDescent="0.35">
      <c r="B56" s="198" t="s">
        <v>629</v>
      </c>
      <c r="C56" s="198">
        <v>1</v>
      </c>
    </row>
    <row r="57" spans="2:3" x14ac:dyDescent="0.35">
      <c r="B57" s="198" t="s">
        <v>761</v>
      </c>
      <c r="C57" s="198">
        <v>1.8</v>
      </c>
    </row>
    <row r="58" spans="2:3" x14ac:dyDescent="0.35">
      <c r="B58" s="198" t="s">
        <v>760</v>
      </c>
      <c r="C58" s="198">
        <v>3.5</v>
      </c>
    </row>
    <row r="59" spans="2:3" x14ac:dyDescent="0.35">
      <c r="B59" s="198" t="s">
        <v>759</v>
      </c>
      <c r="C59" s="198">
        <v>6</v>
      </c>
    </row>
    <row r="61" spans="2:3" ht="18.5" x14ac:dyDescent="0.45">
      <c r="B61" s="224" t="s">
        <v>1261</v>
      </c>
    </row>
    <row r="62" spans="2:3" ht="18.5" x14ac:dyDescent="0.45">
      <c r="B62" s="223" t="s">
        <v>758</v>
      </c>
      <c r="C62" s="212" t="s">
        <v>757</v>
      </c>
    </row>
    <row r="63" spans="2:3" x14ac:dyDescent="0.35">
      <c r="B63" s="198" t="s">
        <v>627</v>
      </c>
      <c r="C63" s="198">
        <v>1</v>
      </c>
    </row>
    <row r="64" spans="2:3" x14ac:dyDescent="0.35">
      <c r="B64" s="198" t="s">
        <v>600</v>
      </c>
      <c r="C64" s="198">
        <v>1.25</v>
      </c>
    </row>
    <row r="65" spans="2:3" x14ac:dyDescent="0.35">
      <c r="B65" s="198" t="s">
        <v>756</v>
      </c>
      <c r="C65" s="198">
        <v>1</v>
      </c>
    </row>
    <row r="67" spans="2:3" ht="18.5" x14ac:dyDescent="0.45">
      <c r="B67" s="224" t="s">
        <v>1262</v>
      </c>
    </row>
    <row r="68" spans="2:3" ht="18.5" x14ac:dyDescent="0.45">
      <c r="B68" s="223" t="s">
        <v>626</v>
      </c>
      <c r="C68" s="212" t="s">
        <v>755</v>
      </c>
    </row>
    <row r="69" spans="2:3" x14ac:dyDescent="0.35">
      <c r="B69" s="198" t="s">
        <v>625</v>
      </c>
      <c r="C69" s="198">
        <v>1</v>
      </c>
    </row>
    <row r="70" spans="2:3" x14ac:dyDescent="0.35">
      <c r="B70" s="198" t="s">
        <v>754</v>
      </c>
      <c r="C70" s="198">
        <v>1.2</v>
      </c>
    </row>
    <row r="71" spans="2:3" x14ac:dyDescent="0.35">
      <c r="B71" s="198" t="s">
        <v>753</v>
      </c>
      <c r="C71" s="198">
        <v>1.7</v>
      </c>
    </row>
    <row r="73" spans="2:3" ht="18.5" x14ac:dyDescent="0.45">
      <c r="B73" s="224" t="s">
        <v>1263</v>
      </c>
    </row>
    <row r="74" spans="2:3" ht="18.5" x14ac:dyDescent="0.45">
      <c r="B74" s="223" t="s">
        <v>624</v>
      </c>
      <c r="C74" s="212" t="s">
        <v>752</v>
      </c>
    </row>
    <row r="75" spans="2:3" x14ac:dyDescent="0.35">
      <c r="B75" s="198" t="s">
        <v>623</v>
      </c>
      <c r="C75" s="198">
        <v>1</v>
      </c>
    </row>
    <row r="76" spans="2:3" x14ac:dyDescent="0.35">
      <c r="B76" s="198" t="s">
        <v>751</v>
      </c>
      <c r="C76" s="198">
        <v>1.2</v>
      </c>
    </row>
    <row r="78" spans="2:3" ht="18.5" x14ac:dyDescent="0.45">
      <c r="B78" s="224" t="s">
        <v>1264</v>
      </c>
    </row>
    <row r="79" spans="2:3" ht="18.5" x14ac:dyDescent="0.45">
      <c r="B79" s="223" t="s">
        <v>622</v>
      </c>
      <c r="C79" s="212" t="s">
        <v>750</v>
      </c>
    </row>
    <row r="80" spans="2:3" x14ac:dyDescent="0.35">
      <c r="B80" s="198" t="s">
        <v>596</v>
      </c>
      <c r="C80" s="198">
        <v>1.25</v>
      </c>
    </row>
    <row r="81" spans="2:4" x14ac:dyDescent="0.35">
      <c r="B81" s="198" t="s">
        <v>55</v>
      </c>
      <c r="C81" s="198">
        <v>1</v>
      </c>
    </row>
    <row r="83" spans="2:4" ht="18.5" x14ac:dyDescent="0.45">
      <c r="B83" s="224" t="s">
        <v>1265</v>
      </c>
    </row>
    <row r="84" spans="2:4" ht="18.5" x14ac:dyDescent="0.45">
      <c r="B84" s="223" t="s">
        <v>598</v>
      </c>
      <c r="C84" s="212" t="s">
        <v>749</v>
      </c>
    </row>
    <row r="85" spans="2:4" x14ac:dyDescent="0.35">
      <c r="B85" s="198" t="s">
        <v>156</v>
      </c>
      <c r="C85" s="198">
        <v>1</v>
      </c>
      <c r="D85" s="198">
        <v>1</v>
      </c>
    </row>
    <row r="86" spans="2:4" x14ac:dyDescent="0.35">
      <c r="B86" s="198" t="s">
        <v>744</v>
      </c>
      <c r="C86" s="198">
        <v>1.2</v>
      </c>
      <c r="D86" s="198">
        <v>2</v>
      </c>
    </row>
    <row r="87" spans="2:4" x14ac:dyDescent="0.35">
      <c r="B87" s="198" t="s">
        <v>743</v>
      </c>
      <c r="C87" s="198">
        <v>1.33</v>
      </c>
      <c r="D87" s="198">
        <v>3</v>
      </c>
    </row>
    <row r="88" spans="2:4" x14ac:dyDescent="0.35">
      <c r="B88" s="198" t="s">
        <v>748</v>
      </c>
      <c r="C88" s="198">
        <v>1</v>
      </c>
      <c r="D88" s="198">
        <v>4</v>
      </c>
    </row>
    <row r="89" spans="2:4" x14ac:dyDescent="0.35">
      <c r="B89" s="198" t="s">
        <v>747</v>
      </c>
      <c r="C89" s="198">
        <v>1</v>
      </c>
      <c r="D89" s="198">
        <v>5</v>
      </c>
    </row>
    <row r="90" spans="2:4" ht="18.5" x14ac:dyDescent="0.45">
      <c r="B90" s="224" t="s">
        <v>1266</v>
      </c>
    </row>
    <row r="91" spans="2:4" ht="18.5" x14ac:dyDescent="0.45">
      <c r="B91" s="223" t="s">
        <v>746</v>
      </c>
      <c r="C91" s="212" t="s">
        <v>745</v>
      </c>
    </row>
    <row r="92" spans="2:4" x14ac:dyDescent="0.35">
      <c r="B92" s="198" t="s">
        <v>156</v>
      </c>
      <c r="C92" s="198">
        <v>1</v>
      </c>
      <c r="D92" s="198">
        <v>1</v>
      </c>
    </row>
    <row r="93" spans="2:4" x14ac:dyDescent="0.35">
      <c r="B93" s="198" t="s">
        <v>744</v>
      </c>
      <c r="C93" s="198">
        <v>1.2</v>
      </c>
      <c r="D93" s="198">
        <v>2</v>
      </c>
    </row>
    <row r="94" spans="2:4" x14ac:dyDescent="0.35">
      <c r="B94" s="198" t="s">
        <v>743</v>
      </c>
      <c r="C94" s="198">
        <v>1.33</v>
      </c>
      <c r="D94" s="198">
        <v>3</v>
      </c>
    </row>
    <row r="95" spans="2:4" ht="18.5" x14ac:dyDescent="0.45">
      <c r="B95" s="224" t="s">
        <v>1267</v>
      </c>
    </row>
    <row r="96" spans="2:4" ht="18.5" x14ac:dyDescent="0.45">
      <c r="B96" s="223" t="s">
        <v>597</v>
      </c>
      <c r="C96" s="212" t="s">
        <v>742</v>
      </c>
    </row>
    <row r="97" spans="2:4" x14ac:dyDescent="0.35">
      <c r="B97" s="198" t="s">
        <v>55</v>
      </c>
      <c r="C97" s="198">
        <v>1</v>
      </c>
    </row>
    <row r="98" spans="2:4" x14ac:dyDescent="0.35">
      <c r="B98" s="198" t="s">
        <v>596</v>
      </c>
      <c r="C98" s="198">
        <v>1.25</v>
      </c>
    </row>
    <row r="100" spans="2:4" ht="18.5" x14ac:dyDescent="0.45">
      <c r="B100" s="224" t="s">
        <v>1268</v>
      </c>
    </row>
    <row r="101" spans="2:4" ht="18.5" x14ac:dyDescent="0.45">
      <c r="B101" s="223" t="s">
        <v>741</v>
      </c>
      <c r="D101" s="212" t="s">
        <v>740</v>
      </c>
    </row>
    <row r="102" spans="2:4" x14ac:dyDescent="0.35">
      <c r="B102" s="198" t="s">
        <v>633</v>
      </c>
      <c r="C102" s="198">
        <v>1</v>
      </c>
    </row>
    <row r="103" spans="2:4" x14ac:dyDescent="0.35">
      <c r="B103" s="198" t="s">
        <v>739</v>
      </c>
      <c r="C103" s="198">
        <v>2</v>
      </c>
      <c r="D103" s="198">
        <v>1</v>
      </c>
    </row>
    <row r="104" spans="2:4" x14ac:dyDescent="0.35">
      <c r="B104" s="198" t="s">
        <v>738</v>
      </c>
      <c r="C104" s="198">
        <v>3</v>
      </c>
      <c r="D104" s="198">
        <v>1.8</v>
      </c>
    </row>
    <row r="105" spans="2:4" x14ac:dyDescent="0.35">
      <c r="B105" s="198" t="s">
        <v>678</v>
      </c>
      <c r="C105" s="198">
        <v>4</v>
      </c>
      <c r="D105" s="198">
        <v>2.8</v>
      </c>
    </row>
    <row r="106" spans="2:4" x14ac:dyDescent="0.35">
      <c r="B106" s="198" t="s">
        <v>737</v>
      </c>
      <c r="C106" s="198">
        <v>5</v>
      </c>
      <c r="D106" s="198">
        <v>4</v>
      </c>
    </row>
    <row r="107" spans="2:4" x14ac:dyDescent="0.35">
      <c r="B107" s="198" t="s">
        <v>679</v>
      </c>
      <c r="C107" s="198">
        <v>6</v>
      </c>
      <c r="D107" s="198">
        <v>5.2</v>
      </c>
    </row>
    <row r="108" spans="2:4" x14ac:dyDescent="0.35">
      <c r="B108" s="198" t="s">
        <v>736</v>
      </c>
      <c r="C108" s="198">
        <v>7</v>
      </c>
      <c r="D108" s="198">
        <v>6.6</v>
      </c>
    </row>
    <row r="109" spans="2:4" x14ac:dyDescent="0.35">
      <c r="B109" s="198" t="s">
        <v>735</v>
      </c>
      <c r="C109" s="198">
        <v>8</v>
      </c>
      <c r="D109" s="198">
        <v>8</v>
      </c>
    </row>
    <row r="110" spans="2:4" ht="18.5" x14ac:dyDescent="0.45">
      <c r="B110" s="224" t="s">
        <v>1269</v>
      </c>
    </row>
    <row r="111" spans="2:4" ht="18.5" x14ac:dyDescent="0.45">
      <c r="B111" s="223" t="s">
        <v>595</v>
      </c>
      <c r="C111" s="212" t="s">
        <v>734</v>
      </c>
    </row>
    <row r="112" spans="2:4" x14ac:dyDescent="0.35">
      <c r="B112" s="198" t="s">
        <v>733</v>
      </c>
      <c r="C112" s="198">
        <v>1</v>
      </c>
    </row>
    <row r="113" spans="2:6" x14ac:dyDescent="0.35">
      <c r="B113" s="198" t="s">
        <v>593</v>
      </c>
      <c r="C113" s="198">
        <v>1</v>
      </c>
    </row>
    <row r="114" spans="2:6" x14ac:dyDescent="0.35">
      <c r="B114" s="198" t="s">
        <v>732</v>
      </c>
      <c r="C114" s="198">
        <v>3</v>
      </c>
    </row>
    <row r="115" spans="2:6" x14ac:dyDescent="0.35">
      <c r="B115" s="198" t="s">
        <v>731</v>
      </c>
      <c r="C115" s="198">
        <v>2.7</v>
      </c>
    </row>
    <row r="116" spans="2:6" x14ac:dyDescent="0.35">
      <c r="B116" s="198" t="s">
        <v>730</v>
      </c>
      <c r="C116" s="198">
        <v>2.4</v>
      </c>
    </row>
    <row r="117" spans="2:6" x14ac:dyDescent="0.35">
      <c r="B117" s="198" t="s">
        <v>594</v>
      </c>
      <c r="C117" s="198">
        <v>3</v>
      </c>
    </row>
    <row r="118" spans="2:6" x14ac:dyDescent="0.35">
      <c r="B118" s="198" t="s">
        <v>592</v>
      </c>
      <c r="C118" s="198">
        <v>2.7</v>
      </c>
    </row>
    <row r="120" spans="2:6" ht="19" thickBot="1" x14ac:dyDescent="0.5">
      <c r="B120" s="224" t="s">
        <v>1270</v>
      </c>
    </row>
    <row r="121" spans="2:6" ht="19" thickBot="1" x14ac:dyDescent="0.5">
      <c r="B121" s="223" t="s">
        <v>729</v>
      </c>
      <c r="C121" s="230" t="s">
        <v>728</v>
      </c>
      <c r="D121" s="229" t="s">
        <v>727</v>
      </c>
      <c r="E121" s="229" t="s">
        <v>726</v>
      </c>
      <c r="F121" s="229" t="s">
        <v>725</v>
      </c>
    </row>
    <row r="122" spans="2:6" ht="15" thickBot="1" x14ac:dyDescent="0.4">
      <c r="B122" s="228" t="s">
        <v>643</v>
      </c>
      <c r="C122" s="227">
        <v>0.193</v>
      </c>
      <c r="D122" s="227">
        <v>0.25</v>
      </c>
      <c r="E122" s="227">
        <v>0.33500000000000002</v>
      </c>
      <c r="F122" s="227">
        <v>0.222</v>
      </c>
    </row>
    <row r="123" spans="2:6" ht="15" thickBot="1" x14ac:dyDescent="0.4">
      <c r="B123" s="226" t="s">
        <v>653</v>
      </c>
      <c r="C123" s="225">
        <v>0.107</v>
      </c>
      <c r="D123" s="225">
        <v>0.28000000000000003</v>
      </c>
      <c r="E123" s="225">
        <v>0.36</v>
      </c>
      <c r="F123" s="225">
        <v>0.253</v>
      </c>
    </row>
    <row r="124" spans="2:6" ht="15" thickBot="1" x14ac:dyDescent="0.4">
      <c r="B124" s="226" t="s">
        <v>652</v>
      </c>
      <c r="C124" s="225">
        <v>0.187</v>
      </c>
      <c r="D124" s="225">
        <v>0.24099999999999999</v>
      </c>
      <c r="E124" s="225">
        <v>0.33100000000000002</v>
      </c>
      <c r="F124" s="225">
        <v>0.23499999999999999</v>
      </c>
    </row>
    <row r="127" spans="2:6" ht="18.5" x14ac:dyDescent="0.45">
      <c r="B127" s="224" t="s">
        <v>1271</v>
      </c>
    </row>
    <row r="128" spans="2:6" ht="18.5" x14ac:dyDescent="0.45">
      <c r="B128" s="223" t="s">
        <v>724</v>
      </c>
      <c r="C128" s="212" t="s">
        <v>723</v>
      </c>
    </row>
    <row r="129" spans="2:3" x14ac:dyDescent="0.35">
      <c r="B129" s="222" t="s">
        <v>722</v>
      </c>
      <c r="C129" s="198">
        <v>1.7000000000000001E-2</v>
      </c>
    </row>
    <row r="130" spans="2:3" x14ac:dyDescent="0.35">
      <c r="B130" s="222">
        <v>25</v>
      </c>
      <c r="C130" s="198">
        <v>5.0999999999999997E-2</v>
      </c>
    </row>
    <row r="131" spans="2:3" x14ac:dyDescent="0.35">
      <c r="B131" s="222">
        <v>30</v>
      </c>
      <c r="C131" s="198">
        <v>0.105</v>
      </c>
    </row>
    <row r="132" spans="2:3" x14ac:dyDescent="0.35">
      <c r="B132" s="222">
        <v>35</v>
      </c>
      <c r="C132" s="198">
        <v>0.183</v>
      </c>
    </row>
    <row r="133" spans="2:3" x14ac:dyDescent="0.35">
      <c r="B133" s="222">
        <v>40</v>
      </c>
      <c r="C133" s="198">
        <v>0.28999999999999998</v>
      </c>
    </row>
    <row r="134" spans="2:3" x14ac:dyDescent="0.35">
      <c r="B134" s="222">
        <v>45</v>
      </c>
      <c r="C134" s="198">
        <v>0.42899999999999999</v>
      </c>
    </row>
    <row r="135" spans="2:3" x14ac:dyDescent="0.35">
      <c r="B135" s="222">
        <v>50</v>
      </c>
      <c r="C135" s="198">
        <v>0.53600000000000003</v>
      </c>
    </row>
    <row r="136" spans="2:3" x14ac:dyDescent="0.35">
      <c r="B136" s="222">
        <v>55</v>
      </c>
      <c r="C136" s="198">
        <v>0.59</v>
      </c>
    </row>
    <row r="137" spans="2:3" x14ac:dyDescent="0.35">
      <c r="B137" s="222">
        <v>60</v>
      </c>
      <c r="C137" s="198">
        <v>0.64300000000000002</v>
      </c>
    </row>
    <row r="138" spans="2:3" x14ac:dyDescent="0.35">
      <c r="B138" s="222">
        <v>65</v>
      </c>
      <c r="C138" s="198">
        <v>0.69699999999999995</v>
      </c>
    </row>
    <row r="139" spans="2:3" x14ac:dyDescent="0.35">
      <c r="B139" s="222">
        <v>70</v>
      </c>
      <c r="C139" s="198">
        <v>0.751</v>
      </c>
    </row>
    <row r="140" spans="2:3" x14ac:dyDescent="0.35">
      <c r="B140" s="222">
        <v>75</v>
      </c>
      <c r="C140" s="198">
        <v>0.80400000000000005</v>
      </c>
    </row>
    <row r="141" spans="2:3" x14ac:dyDescent="0.35">
      <c r="B141" s="222">
        <v>80</v>
      </c>
      <c r="C141" s="198">
        <v>0.85799999999999998</v>
      </c>
    </row>
    <row r="142" spans="2:3" x14ac:dyDescent="0.35">
      <c r="B142" s="222">
        <v>85</v>
      </c>
      <c r="C142" s="198">
        <v>0.91200000000000003</v>
      </c>
    </row>
    <row r="143" spans="2:3" x14ac:dyDescent="0.35">
      <c r="B143" s="222" t="s">
        <v>721</v>
      </c>
      <c r="C143" s="198">
        <v>0.96599999999999997</v>
      </c>
    </row>
    <row r="145" spans="2:3" ht="18.5" x14ac:dyDescent="0.45">
      <c r="B145" s="224" t="s">
        <v>1272</v>
      </c>
    </row>
    <row r="146" spans="2:3" ht="18.5" x14ac:dyDescent="0.45">
      <c r="B146" s="223" t="s">
        <v>720</v>
      </c>
      <c r="C146" s="212" t="s">
        <v>719</v>
      </c>
    </row>
    <row r="147" spans="2:3" x14ac:dyDescent="0.35">
      <c r="B147" s="222" t="s">
        <v>156</v>
      </c>
      <c r="C147" s="198">
        <v>0</v>
      </c>
    </row>
    <row r="148" spans="2:3" x14ac:dyDescent="0.35">
      <c r="B148" s="222" t="s">
        <v>718</v>
      </c>
      <c r="C148" s="198">
        <v>1E-3</v>
      </c>
    </row>
    <row r="149" spans="2:3" x14ac:dyDescent="0.35">
      <c r="B149" s="222" t="s">
        <v>608</v>
      </c>
      <c r="C149" s="198">
        <v>2E-3</v>
      </c>
    </row>
    <row r="150" spans="2:3" x14ac:dyDescent="0.35">
      <c r="B150" s="222" t="s">
        <v>636</v>
      </c>
      <c r="C150" s="198">
        <v>2E-3</v>
      </c>
    </row>
    <row r="151" spans="2:3" x14ac:dyDescent="0.35">
      <c r="B151" s="222" t="s">
        <v>717</v>
      </c>
      <c r="C151" s="198">
        <v>3.0000000000000001E-3</v>
      </c>
    </row>
    <row r="152" spans="2:3" x14ac:dyDescent="0.35">
      <c r="B152" s="222" t="s">
        <v>716</v>
      </c>
      <c r="C152" s="198">
        <v>4.0000000000000001E-3</v>
      </c>
    </row>
    <row r="153" spans="2:3" x14ac:dyDescent="0.35">
      <c r="B153" s="222" t="s">
        <v>669</v>
      </c>
      <c r="C153" s="198">
        <v>5.0000000000000001E-3</v>
      </c>
    </row>
    <row r="154" spans="2:3" x14ac:dyDescent="0.35">
      <c r="B154" s="222" t="s">
        <v>715</v>
      </c>
      <c r="C154" s="198">
        <v>6.0000000000000001E-3</v>
      </c>
    </row>
    <row r="155" spans="2:3" x14ac:dyDescent="0.35">
      <c r="B155" s="222" t="s">
        <v>714</v>
      </c>
      <c r="C155" s="198">
        <v>6.0000000000000001E-3</v>
      </c>
    </row>
    <row r="156" spans="2:3" x14ac:dyDescent="0.35">
      <c r="B156" s="222" t="s">
        <v>713</v>
      </c>
      <c r="C156" s="198">
        <v>7.0000000000000001E-3</v>
      </c>
    </row>
    <row r="157" spans="2:3" x14ac:dyDescent="0.35">
      <c r="B157" s="222" t="s">
        <v>712</v>
      </c>
      <c r="C157" s="198">
        <v>8.9999999999999993E-3</v>
      </c>
    </row>
    <row r="159" spans="2:3" x14ac:dyDescent="0.35">
      <c r="B159" s="221" t="s">
        <v>711</v>
      </c>
      <c r="C159" s="221"/>
    </row>
    <row r="160" spans="2:3" x14ac:dyDescent="0.35">
      <c r="B160" s="198" t="s">
        <v>84</v>
      </c>
    </row>
    <row r="161" spans="2:8" x14ac:dyDescent="0.35">
      <c r="B161" s="198" t="s">
        <v>83</v>
      </c>
    </row>
    <row r="163" spans="2:8" x14ac:dyDescent="0.35">
      <c r="B163" s="221" t="s">
        <v>710</v>
      </c>
      <c r="C163" s="221" t="s">
        <v>709</v>
      </c>
    </row>
    <row r="164" spans="2:8" x14ac:dyDescent="0.35">
      <c r="B164" s="198" t="s">
        <v>643</v>
      </c>
      <c r="C164" s="198">
        <v>5.8300000000000001E-3</v>
      </c>
    </row>
    <row r="165" spans="2:8" x14ac:dyDescent="0.35">
      <c r="B165" s="198" t="s">
        <v>653</v>
      </c>
      <c r="C165" s="198">
        <v>7.2399999999999999E-3</v>
      </c>
    </row>
    <row r="166" spans="2:8" x14ac:dyDescent="0.35">
      <c r="B166" s="198" t="s">
        <v>652</v>
      </c>
      <c r="C166" s="198">
        <v>4.7999999999999996E-3</v>
      </c>
    </row>
    <row r="171" spans="2:8" x14ac:dyDescent="0.35">
      <c r="B171" s="35" t="s">
        <v>863</v>
      </c>
      <c r="C171" s="34" t="s">
        <v>864</v>
      </c>
      <c r="D171" s="34"/>
      <c r="E171" s="34"/>
      <c r="F171" s="34"/>
      <c r="G171" s="34"/>
      <c r="H171" s="34"/>
    </row>
    <row r="172" spans="2:8" x14ac:dyDescent="0.35">
      <c r="C172" s="198" t="s">
        <v>865</v>
      </c>
    </row>
  </sheetData>
  <mergeCells count="1">
    <mergeCell ref="C21:E21"/>
  </mergeCells>
  <pageMargins left="0.7" right="0.7" top="0.75" bottom="0.75" header="0.51180555555555496" footer="0.51180555555555496"/>
  <pageSetup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2:F104"/>
  <sheetViews>
    <sheetView topLeftCell="A84" zoomScale="130" zoomScaleNormal="130" workbookViewId="0">
      <selection activeCell="C105" sqref="C105"/>
    </sheetView>
  </sheetViews>
  <sheetFormatPr defaultColWidth="8.7265625" defaultRowHeight="14.5" x14ac:dyDescent="0.35"/>
  <cols>
    <col min="1" max="1" width="8.7265625" style="198"/>
    <col min="2" max="2" width="87.1796875" style="198" bestFit="1" customWidth="1"/>
    <col min="3" max="3" width="19.453125" style="198" customWidth="1"/>
    <col min="4" max="4" width="19.81640625" style="198" customWidth="1"/>
    <col min="5" max="5" width="17.7265625" style="198" customWidth="1"/>
    <col min="6" max="6" width="18.7265625" style="198" customWidth="1"/>
    <col min="7" max="16384" width="8.7265625" style="198"/>
  </cols>
  <sheetData>
    <row r="2" spans="2:4" ht="18.5" x14ac:dyDescent="0.45">
      <c r="B2" s="224" t="s">
        <v>1273</v>
      </c>
    </row>
    <row r="3" spans="2:4" ht="18.5" x14ac:dyDescent="0.45">
      <c r="B3" s="223" t="s">
        <v>617</v>
      </c>
      <c r="C3" s="212" t="s">
        <v>825</v>
      </c>
      <c r="D3" s="212" t="s">
        <v>824</v>
      </c>
    </row>
    <row r="4" spans="2:4" x14ac:dyDescent="0.35">
      <c r="B4" s="198" t="s">
        <v>823</v>
      </c>
      <c r="C4" s="198">
        <v>0</v>
      </c>
      <c r="D4" s="198">
        <v>0</v>
      </c>
    </row>
    <row r="5" spans="2:4" x14ac:dyDescent="0.35">
      <c r="B5" s="198" t="s">
        <v>822</v>
      </c>
      <c r="C5" s="198">
        <v>1</v>
      </c>
      <c r="D5" s="198">
        <v>90</v>
      </c>
    </row>
    <row r="6" spans="2:4" x14ac:dyDescent="0.35">
      <c r="B6" s="198" t="s">
        <v>666</v>
      </c>
      <c r="C6" s="198">
        <v>120</v>
      </c>
      <c r="D6" s="198">
        <v>90</v>
      </c>
    </row>
    <row r="7" spans="2:4" x14ac:dyDescent="0.35">
      <c r="B7" s="198" t="s">
        <v>156</v>
      </c>
      <c r="C7" s="198">
        <v>200</v>
      </c>
      <c r="D7" s="198">
        <v>90</v>
      </c>
    </row>
    <row r="8" spans="2:4" x14ac:dyDescent="0.35">
      <c r="B8" s="198" t="s">
        <v>821</v>
      </c>
      <c r="C8" s="198">
        <v>170</v>
      </c>
      <c r="D8" s="198">
        <v>90</v>
      </c>
    </row>
    <row r="9" spans="2:4" x14ac:dyDescent="0.35">
      <c r="B9" s="198" t="s">
        <v>820</v>
      </c>
      <c r="C9" s="198">
        <v>190</v>
      </c>
      <c r="D9" s="198">
        <v>90</v>
      </c>
    </row>
    <row r="10" spans="2:4" x14ac:dyDescent="0.35">
      <c r="B10" s="198" t="s">
        <v>792</v>
      </c>
      <c r="C10" s="198">
        <v>160</v>
      </c>
      <c r="D10" s="198">
        <v>90</v>
      </c>
    </row>
    <row r="11" spans="2:4" x14ac:dyDescent="0.35">
      <c r="B11" s="198" t="s">
        <v>791</v>
      </c>
      <c r="C11" s="198">
        <v>170</v>
      </c>
      <c r="D11" s="198">
        <v>90</v>
      </c>
    </row>
    <row r="12" spans="2:4" x14ac:dyDescent="0.35">
      <c r="B12" s="198" t="s">
        <v>790</v>
      </c>
      <c r="C12" s="198">
        <v>180</v>
      </c>
      <c r="D12" s="198">
        <v>90</v>
      </c>
    </row>
    <row r="14" spans="2:4" ht="18.5" x14ac:dyDescent="0.45">
      <c r="B14" s="224" t="s">
        <v>1274</v>
      </c>
    </row>
    <row r="15" spans="2:4" ht="18.5" x14ac:dyDescent="0.45">
      <c r="B15" s="223" t="s">
        <v>632</v>
      </c>
      <c r="C15" s="212" t="s">
        <v>819</v>
      </c>
    </row>
    <row r="16" spans="2:4" x14ac:dyDescent="0.35">
      <c r="B16" s="198" t="s">
        <v>631</v>
      </c>
      <c r="C16" s="198">
        <v>1</v>
      </c>
    </row>
    <row r="17" spans="2:3" x14ac:dyDescent="0.35">
      <c r="B17" s="198" t="s">
        <v>764</v>
      </c>
      <c r="C17" s="198">
        <v>1.2</v>
      </c>
    </row>
    <row r="18" spans="2:3" x14ac:dyDescent="0.35">
      <c r="B18" s="198" t="s">
        <v>763</v>
      </c>
      <c r="C18" s="198">
        <v>1.5</v>
      </c>
    </row>
    <row r="20" spans="2:3" ht="18.5" x14ac:dyDescent="0.45">
      <c r="B20" s="224" t="s">
        <v>1275</v>
      </c>
    </row>
    <row r="21" spans="2:3" ht="18.5" x14ac:dyDescent="0.45">
      <c r="B21" s="223" t="s">
        <v>630</v>
      </c>
      <c r="C21" s="212" t="s">
        <v>818</v>
      </c>
    </row>
    <row r="22" spans="2:3" x14ac:dyDescent="0.35">
      <c r="B22" s="198" t="s">
        <v>629</v>
      </c>
      <c r="C22" s="198">
        <v>1</v>
      </c>
    </row>
    <row r="23" spans="2:3" x14ac:dyDescent="0.35">
      <c r="B23" s="198" t="s">
        <v>761</v>
      </c>
      <c r="C23" s="198">
        <v>1.8</v>
      </c>
    </row>
    <row r="24" spans="2:3" x14ac:dyDescent="0.35">
      <c r="B24" s="198" t="s">
        <v>760</v>
      </c>
      <c r="C24" s="198">
        <v>3.5</v>
      </c>
    </row>
    <row r="25" spans="2:3" x14ac:dyDescent="0.35">
      <c r="B25" s="198" t="s">
        <v>759</v>
      </c>
      <c r="C25" s="198">
        <v>6</v>
      </c>
    </row>
    <row r="27" spans="2:3" ht="18.5" x14ac:dyDescent="0.45">
      <c r="B27" s="224" t="s">
        <v>1276</v>
      </c>
    </row>
    <row r="28" spans="2:3" ht="18.5" x14ac:dyDescent="0.45">
      <c r="B28" s="223" t="s">
        <v>817</v>
      </c>
      <c r="C28" s="212" t="s">
        <v>816</v>
      </c>
    </row>
    <row r="29" spans="2:3" x14ac:dyDescent="0.35">
      <c r="B29" s="198" t="s">
        <v>627</v>
      </c>
      <c r="C29" s="198">
        <v>1</v>
      </c>
    </row>
    <row r="30" spans="2:3" x14ac:dyDescent="0.35">
      <c r="B30" s="198" t="s">
        <v>600</v>
      </c>
      <c r="C30" s="198">
        <v>1.4</v>
      </c>
    </row>
    <row r="31" spans="2:3" x14ac:dyDescent="0.35">
      <c r="B31" s="198" t="s">
        <v>756</v>
      </c>
      <c r="C31" s="198">
        <v>1</v>
      </c>
    </row>
    <row r="33" spans="2:3" ht="18.5" x14ac:dyDescent="0.45">
      <c r="B33" s="224" t="s">
        <v>1277</v>
      </c>
    </row>
    <row r="34" spans="2:3" ht="18.5" x14ac:dyDescent="0.45">
      <c r="B34" s="223" t="s">
        <v>626</v>
      </c>
      <c r="C34" s="212" t="s">
        <v>815</v>
      </c>
    </row>
    <row r="35" spans="2:3" x14ac:dyDescent="0.35">
      <c r="B35" s="198" t="s">
        <v>625</v>
      </c>
      <c r="C35" s="198">
        <v>1</v>
      </c>
    </row>
    <row r="36" spans="2:3" x14ac:dyDescent="0.35">
      <c r="B36" s="198" t="s">
        <v>754</v>
      </c>
      <c r="C36" s="198">
        <v>1.2</v>
      </c>
    </row>
    <row r="37" spans="2:3" x14ac:dyDescent="0.35">
      <c r="B37" s="198" t="s">
        <v>753</v>
      </c>
      <c r="C37" s="198">
        <v>1.7</v>
      </c>
    </row>
    <row r="39" spans="2:3" ht="18.5" x14ac:dyDescent="0.45">
      <c r="B39" s="224" t="s">
        <v>1278</v>
      </c>
    </row>
    <row r="40" spans="2:3" ht="18.5" x14ac:dyDescent="0.45">
      <c r="B40" s="223" t="s">
        <v>814</v>
      </c>
      <c r="C40" s="212" t="s">
        <v>813</v>
      </c>
    </row>
    <row r="41" spans="2:3" x14ac:dyDescent="0.35">
      <c r="B41" s="198" t="s">
        <v>623</v>
      </c>
      <c r="C41" s="198">
        <v>1</v>
      </c>
    </row>
    <row r="42" spans="2:3" x14ac:dyDescent="0.35">
      <c r="B42" s="198" t="s">
        <v>751</v>
      </c>
      <c r="C42" s="198">
        <v>1.2</v>
      </c>
    </row>
    <row r="44" spans="2:3" ht="18.5" x14ac:dyDescent="0.45">
      <c r="B44" s="224" t="s">
        <v>1279</v>
      </c>
    </row>
    <row r="45" spans="2:3" ht="18.5" x14ac:dyDescent="0.45">
      <c r="B45" s="223" t="s">
        <v>622</v>
      </c>
      <c r="C45" s="221" t="s">
        <v>812</v>
      </c>
    </row>
    <row r="46" spans="2:3" x14ac:dyDescent="0.35">
      <c r="B46" s="198" t="s">
        <v>596</v>
      </c>
      <c r="C46" s="198">
        <v>1.25</v>
      </c>
    </row>
    <row r="47" spans="2:3" x14ac:dyDescent="0.35">
      <c r="B47" s="198" t="s">
        <v>55</v>
      </c>
      <c r="C47" s="198">
        <v>1</v>
      </c>
    </row>
    <row r="49" spans="2:6" ht="18.5" x14ac:dyDescent="0.45">
      <c r="B49" s="224" t="s">
        <v>1280</v>
      </c>
    </row>
    <row r="50" spans="2:6" ht="18.5" x14ac:dyDescent="0.45">
      <c r="B50" s="223" t="s">
        <v>598</v>
      </c>
      <c r="C50" s="212" t="s">
        <v>811</v>
      </c>
    </row>
    <row r="51" spans="2:6" x14ac:dyDescent="0.35">
      <c r="B51" s="198" t="s">
        <v>156</v>
      </c>
      <c r="C51" s="198">
        <v>1</v>
      </c>
    </row>
    <row r="52" spans="2:6" x14ac:dyDescent="0.35">
      <c r="B52" s="198" t="s">
        <v>744</v>
      </c>
      <c r="C52" s="198">
        <v>1.2</v>
      </c>
    </row>
    <row r="53" spans="2:6" x14ac:dyDescent="0.35">
      <c r="B53" s="198" t="s">
        <v>743</v>
      </c>
      <c r="C53" s="198">
        <v>1.33</v>
      </c>
    </row>
    <row r="54" spans="2:6" x14ac:dyDescent="0.35">
      <c r="B54" s="239" t="s">
        <v>810</v>
      </c>
      <c r="C54" s="198">
        <v>1</v>
      </c>
    </row>
    <row r="55" spans="2:6" x14ac:dyDescent="0.35">
      <c r="B55" s="239" t="s">
        <v>809</v>
      </c>
      <c r="C55" s="198">
        <v>1</v>
      </c>
    </row>
    <row r="57" spans="2:6" ht="18.5" x14ac:dyDescent="0.45">
      <c r="B57" s="224" t="s">
        <v>1281</v>
      </c>
    </row>
    <row r="58" spans="2:6" ht="18.5" x14ac:dyDescent="0.45">
      <c r="B58" s="223" t="s">
        <v>597</v>
      </c>
      <c r="C58" s="212" t="s">
        <v>808</v>
      </c>
    </row>
    <row r="59" spans="2:6" x14ac:dyDescent="0.35">
      <c r="B59" s="198" t="s">
        <v>55</v>
      </c>
      <c r="C59" s="198">
        <v>1</v>
      </c>
    </row>
    <row r="60" spans="2:6" x14ac:dyDescent="0.35">
      <c r="B60" s="198" t="s">
        <v>596</v>
      </c>
      <c r="C60" s="198">
        <v>1.25</v>
      </c>
    </row>
    <row r="62" spans="2:6" ht="19" thickBot="1" x14ac:dyDescent="0.5">
      <c r="B62" s="224" t="s">
        <v>1282</v>
      </c>
    </row>
    <row r="63" spans="2:6" ht="15" thickBot="1" x14ac:dyDescent="0.4">
      <c r="B63" s="221" t="s">
        <v>807</v>
      </c>
      <c r="C63" s="230" t="s">
        <v>806</v>
      </c>
      <c r="D63" s="229" t="s">
        <v>805</v>
      </c>
      <c r="E63" s="229" t="s">
        <v>804</v>
      </c>
      <c r="F63" s="229" t="s">
        <v>803</v>
      </c>
    </row>
    <row r="64" spans="2:6" ht="15" thickBot="1" x14ac:dyDescent="0.4">
      <c r="B64" s="238" t="s">
        <v>643</v>
      </c>
      <c r="C64" s="237">
        <v>3.3000000000000002E-2</v>
      </c>
      <c r="D64" s="237">
        <v>0.13800000000000001</v>
      </c>
      <c r="E64" s="237">
        <v>5.7099999999999998E-2</v>
      </c>
      <c r="F64" s="237">
        <v>0.25800000000000001</v>
      </c>
    </row>
    <row r="65" spans="2:6" ht="15" thickBot="1" x14ac:dyDescent="0.4">
      <c r="B65" s="236" t="s">
        <v>653</v>
      </c>
      <c r="C65" s="235">
        <v>1.2999999999999999E-2</v>
      </c>
      <c r="D65" s="235">
        <v>0.10199999999999999</v>
      </c>
      <c r="E65" s="235">
        <v>0.503</v>
      </c>
      <c r="F65" s="235">
        <v>0.38200000000000001</v>
      </c>
    </row>
    <row r="66" spans="2:6" ht="15" thickBot="1" x14ac:dyDescent="0.4">
      <c r="B66" s="236" t="s">
        <v>652</v>
      </c>
      <c r="C66" s="235">
        <v>1.6E-2</v>
      </c>
      <c r="D66" s="235">
        <v>8.2000000000000003E-2</v>
      </c>
      <c r="E66" s="235">
        <v>0.55000000000000004</v>
      </c>
      <c r="F66" s="235">
        <v>0.38700000000000001</v>
      </c>
    </row>
    <row r="69" spans="2:6" ht="18.5" x14ac:dyDescent="0.45">
      <c r="B69" s="224" t="s">
        <v>1283</v>
      </c>
    </row>
    <row r="70" spans="2:6" ht="18.5" x14ac:dyDescent="0.45">
      <c r="B70" s="223" t="s">
        <v>724</v>
      </c>
      <c r="C70" s="212" t="s">
        <v>802</v>
      </c>
    </row>
    <row r="71" spans="2:6" x14ac:dyDescent="0.35">
      <c r="B71" s="222" t="s">
        <v>722</v>
      </c>
      <c r="C71" s="198">
        <v>1.0999999999999999E-2</v>
      </c>
    </row>
    <row r="72" spans="2:6" x14ac:dyDescent="0.35">
      <c r="B72" s="198">
        <v>25</v>
      </c>
      <c r="C72" s="198">
        <v>3.1E-2</v>
      </c>
    </row>
    <row r="73" spans="2:6" x14ac:dyDescent="0.35">
      <c r="B73" s="198">
        <v>30</v>
      </c>
      <c r="C73" s="198">
        <v>6.4000000000000001E-2</v>
      </c>
    </row>
    <row r="74" spans="2:6" x14ac:dyDescent="0.35">
      <c r="B74" s="198">
        <v>35</v>
      </c>
      <c r="C74" s="198">
        <v>0.112</v>
      </c>
    </row>
    <row r="75" spans="2:6" x14ac:dyDescent="0.35">
      <c r="B75" s="198">
        <v>40</v>
      </c>
      <c r="C75" s="198">
        <v>0.17799999999999999</v>
      </c>
    </row>
    <row r="76" spans="2:6" x14ac:dyDescent="0.35">
      <c r="B76" s="198">
        <v>45</v>
      </c>
      <c r="C76" s="198">
        <v>0.26400000000000001</v>
      </c>
    </row>
    <row r="77" spans="2:6" x14ac:dyDescent="0.35">
      <c r="B77" s="198">
        <v>50</v>
      </c>
      <c r="C77" s="198">
        <v>0.372</v>
      </c>
    </row>
    <row r="78" spans="2:6" x14ac:dyDescent="0.35">
      <c r="B78" s="198">
        <v>55</v>
      </c>
      <c r="C78" s="198">
        <v>0.505</v>
      </c>
    </row>
    <row r="79" spans="2:6" x14ac:dyDescent="0.35">
      <c r="B79" s="198">
        <v>60</v>
      </c>
      <c r="C79" s="198">
        <v>0.64300000000000002</v>
      </c>
    </row>
    <row r="80" spans="2:6" x14ac:dyDescent="0.35">
      <c r="B80" s="198">
        <v>65</v>
      </c>
      <c r="C80" s="198">
        <v>0.69699999999999995</v>
      </c>
    </row>
    <row r="81" spans="2:3" x14ac:dyDescent="0.35">
      <c r="B81" s="198">
        <v>70</v>
      </c>
      <c r="C81" s="198">
        <v>0.751</v>
      </c>
    </row>
    <row r="82" spans="2:3" x14ac:dyDescent="0.35">
      <c r="B82" s="198">
        <v>75</v>
      </c>
      <c r="C82" s="198">
        <v>0.80400000000000005</v>
      </c>
    </row>
    <row r="83" spans="2:3" x14ac:dyDescent="0.35">
      <c r="B83" s="198">
        <v>80</v>
      </c>
      <c r="C83" s="198">
        <v>0.85799999999999998</v>
      </c>
    </row>
    <row r="84" spans="2:3" x14ac:dyDescent="0.35">
      <c r="B84" s="198">
        <v>85</v>
      </c>
      <c r="C84" s="198">
        <v>0.91200000000000003</v>
      </c>
    </row>
    <row r="85" spans="2:3" x14ac:dyDescent="0.35">
      <c r="B85" s="222" t="s">
        <v>721</v>
      </c>
      <c r="C85" s="198">
        <v>0.96599999999999997</v>
      </c>
    </row>
    <row r="87" spans="2:3" ht="18.5" x14ac:dyDescent="0.45">
      <c r="B87" s="224" t="s">
        <v>1284</v>
      </c>
    </row>
    <row r="88" spans="2:3" ht="18.5" x14ac:dyDescent="0.45">
      <c r="B88" s="223" t="s">
        <v>1285</v>
      </c>
      <c r="C88" s="212" t="s">
        <v>801</v>
      </c>
    </row>
    <row r="89" spans="2:3" x14ac:dyDescent="0.35">
      <c r="B89" s="222" t="s">
        <v>156</v>
      </c>
      <c r="C89" s="198">
        <v>0</v>
      </c>
    </row>
    <row r="90" spans="2:3" x14ac:dyDescent="0.35">
      <c r="B90" s="222" t="s">
        <v>718</v>
      </c>
      <c r="C90" s="198">
        <v>1E-3</v>
      </c>
    </row>
    <row r="91" spans="2:3" x14ac:dyDescent="0.35">
      <c r="B91" s="222" t="s">
        <v>608</v>
      </c>
      <c r="C91" s="198">
        <v>2E-3</v>
      </c>
    </row>
    <row r="92" spans="2:3" x14ac:dyDescent="0.35">
      <c r="B92" s="222" t="s">
        <v>636</v>
      </c>
      <c r="C92" s="198">
        <v>2E-3</v>
      </c>
    </row>
    <row r="93" spans="2:3" x14ac:dyDescent="0.35">
      <c r="B93" s="222" t="s">
        <v>717</v>
      </c>
      <c r="C93" s="198">
        <v>3.0000000000000001E-3</v>
      </c>
    </row>
    <row r="94" spans="2:3" x14ac:dyDescent="0.35">
      <c r="B94" s="222" t="s">
        <v>716</v>
      </c>
      <c r="C94" s="198">
        <v>4.0000000000000001E-3</v>
      </c>
    </row>
    <row r="95" spans="2:3" x14ac:dyDescent="0.35">
      <c r="B95" s="222" t="s">
        <v>669</v>
      </c>
      <c r="C95" s="198">
        <v>5.0000000000000001E-3</v>
      </c>
    </row>
    <row r="96" spans="2:3" x14ac:dyDescent="0.35">
      <c r="B96" s="222" t="s">
        <v>715</v>
      </c>
      <c r="C96" s="198">
        <v>6.0000000000000001E-3</v>
      </c>
    </row>
    <row r="97" spans="2:3" x14ac:dyDescent="0.35">
      <c r="B97" s="222" t="s">
        <v>714</v>
      </c>
      <c r="C97" s="198">
        <v>6.0000000000000001E-3</v>
      </c>
    </row>
    <row r="98" spans="2:3" x14ac:dyDescent="0.35">
      <c r="B98" s="222" t="s">
        <v>713</v>
      </c>
      <c r="C98" s="198">
        <v>7.0000000000000001E-3</v>
      </c>
    </row>
    <row r="99" spans="2:3" x14ac:dyDescent="0.35">
      <c r="B99" s="222" t="s">
        <v>712</v>
      </c>
      <c r="C99" s="198">
        <v>8.9999999999999993E-3</v>
      </c>
    </row>
    <row r="101" spans="2:3" x14ac:dyDescent="0.35">
      <c r="B101" s="221" t="s">
        <v>800</v>
      </c>
      <c r="C101" s="221" t="s">
        <v>799</v>
      </c>
    </row>
    <row r="102" spans="2:3" x14ac:dyDescent="0.35">
      <c r="B102" s="198" t="s">
        <v>643</v>
      </c>
      <c r="C102" s="198">
        <v>0.191</v>
      </c>
    </row>
    <row r="103" spans="2:3" x14ac:dyDescent="0.35">
      <c r="B103" s="198" t="s">
        <v>653</v>
      </c>
      <c r="C103" s="198">
        <v>0.55700000000000005</v>
      </c>
    </row>
    <row r="104" spans="2:3" x14ac:dyDescent="0.35">
      <c r="B104" s="198" t="s">
        <v>652</v>
      </c>
      <c r="C104" s="198">
        <v>0.35</v>
      </c>
    </row>
  </sheetData>
  <pageMargins left="0.7" right="0.7" top="0.75" bottom="0.75" header="0.51180555555555496" footer="0.51180555555555496"/>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B1:N120"/>
  <sheetViews>
    <sheetView topLeftCell="A73" zoomScaleNormal="100" workbookViewId="0">
      <selection activeCell="C97" sqref="C97"/>
    </sheetView>
  </sheetViews>
  <sheetFormatPr defaultColWidth="8.7265625" defaultRowHeight="14.5" x14ac:dyDescent="0.35"/>
  <cols>
    <col min="1" max="1" width="8.7265625" style="198"/>
    <col min="2" max="2" width="87.453125" style="198" customWidth="1"/>
    <col min="3" max="3" width="24.81640625" style="198" customWidth="1"/>
    <col min="4" max="4" width="26.453125" style="198" customWidth="1"/>
    <col min="5" max="5" width="24.54296875" style="198" customWidth="1"/>
    <col min="6" max="6" width="25.81640625" style="198" customWidth="1"/>
    <col min="7" max="7" width="26.1796875" style="198" customWidth="1"/>
    <col min="8" max="8" width="29.453125" style="198" customWidth="1"/>
    <col min="9" max="9" width="26.81640625" style="198" customWidth="1"/>
    <col min="10" max="10" width="27" style="198" customWidth="1"/>
    <col min="11" max="11" width="27.7265625" style="198" customWidth="1"/>
    <col min="12" max="12" width="27.26953125" style="198" customWidth="1"/>
    <col min="13" max="13" width="29" style="198" customWidth="1"/>
    <col min="14" max="14" width="27.1796875" style="198" customWidth="1"/>
    <col min="15" max="16384" width="8.7265625" style="198"/>
  </cols>
  <sheetData>
    <row r="1" spans="2:3" ht="18.5" x14ac:dyDescent="0.45">
      <c r="B1" s="224" t="s">
        <v>1271</v>
      </c>
    </row>
    <row r="2" spans="2:3" ht="18.5" x14ac:dyDescent="0.45">
      <c r="B2" s="223" t="s">
        <v>724</v>
      </c>
      <c r="C2" s="212" t="s">
        <v>723</v>
      </c>
    </row>
    <row r="3" spans="2:3" x14ac:dyDescent="0.35">
      <c r="B3" s="222" t="s">
        <v>722</v>
      </c>
      <c r="C3" s="198">
        <v>1.7000000000000001E-2</v>
      </c>
    </row>
    <row r="4" spans="2:3" x14ac:dyDescent="0.35">
      <c r="B4" s="198">
        <v>25</v>
      </c>
      <c r="C4" s="198">
        <v>5.0999999999999997E-2</v>
      </c>
    </row>
    <row r="5" spans="2:3" x14ac:dyDescent="0.35">
      <c r="B5" s="198">
        <v>30</v>
      </c>
      <c r="C5" s="198">
        <v>0.105</v>
      </c>
    </row>
    <row r="6" spans="2:3" x14ac:dyDescent="0.35">
      <c r="B6" s="198">
        <v>35</v>
      </c>
      <c r="C6" s="198">
        <v>0.183</v>
      </c>
    </row>
    <row r="7" spans="2:3" x14ac:dyDescent="0.35">
      <c r="B7" s="198">
        <v>40</v>
      </c>
      <c r="C7" s="198">
        <v>0.28999999999999998</v>
      </c>
    </row>
    <row r="8" spans="2:3" x14ac:dyDescent="0.35">
      <c r="B8" s="198">
        <v>45</v>
      </c>
      <c r="C8" s="198">
        <v>0.42899999999999999</v>
      </c>
    </row>
    <row r="9" spans="2:3" x14ac:dyDescent="0.35">
      <c r="B9" s="198">
        <v>50</v>
      </c>
      <c r="C9" s="198">
        <v>0.53600000000000003</v>
      </c>
    </row>
    <row r="10" spans="2:3" x14ac:dyDescent="0.35">
      <c r="B10" s="198">
        <v>55</v>
      </c>
      <c r="C10" s="198">
        <v>0.59</v>
      </c>
    </row>
    <row r="11" spans="2:3" x14ac:dyDescent="0.35">
      <c r="B11" s="198">
        <v>60</v>
      </c>
      <c r="C11" s="198">
        <v>0.64300000000000002</v>
      </c>
    </row>
    <row r="12" spans="2:3" x14ac:dyDescent="0.35">
      <c r="B12" s="198">
        <v>65</v>
      </c>
      <c r="C12" s="198">
        <v>0.69699999999999995</v>
      </c>
    </row>
    <row r="13" spans="2:3" x14ac:dyDescent="0.35">
      <c r="B13" s="198">
        <v>70</v>
      </c>
      <c r="C13" s="198">
        <v>0.751</v>
      </c>
    </row>
    <row r="14" spans="2:3" x14ac:dyDescent="0.35">
      <c r="B14" s="198">
        <v>75</v>
      </c>
      <c r="C14" s="198">
        <v>0.80400000000000005</v>
      </c>
    </row>
    <row r="15" spans="2:3" x14ac:dyDescent="0.35">
      <c r="B15" s="198">
        <v>80</v>
      </c>
      <c r="C15" s="198">
        <v>0.85799999999999998</v>
      </c>
    </row>
    <row r="16" spans="2:3" x14ac:dyDescent="0.35">
      <c r="B16" s="198">
        <v>85</v>
      </c>
      <c r="C16" s="198">
        <v>0.91200000000000003</v>
      </c>
    </row>
    <row r="17" spans="2:6" x14ac:dyDescent="0.35">
      <c r="B17" s="222" t="s">
        <v>721</v>
      </c>
      <c r="C17" s="198">
        <v>0.96599999999999997</v>
      </c>
    </row>
    <row r="18" spans="2:6" ht="18.5" x14ac:dyDescent="0.45">
      <c r="B18" s="224" t="s">
        <v>1255</v>
      </c>
    </row>
    <row r="19" spans="2:6" ht="18.5" x14ac:dyDescent="0.45">
      <c r="B19" s="223" t="s">
        <v>603</v>
      </c>
      <c r="C19" s="198" t="s">
        <v>840</v>
      </c>
    </row>
    <row r="20" spans="2:6" x14ac:dyDescent="0.35">
      <c r="B20" s="198" t="s">
        <v>602</v>
      </c>
      <c r="C20" s="198">
        <v>0.9</v>
      </c>
    </row>
    <row r="21" spans="2:6" x14ac:dyDescent="0.35">
      <c r="B21" s="198" t="s">
        <v>785</v>
      </c>
      <c r="C21" s="198">
        <v>0.95</v>
      </c>
    </row>
    <row r="22" spans="2:6" x14ac:dyDescent="0.35">
      <c r="B22" s="198" t="s">
        <v>784</v>
      </c>
      <c r="C22" s="198">
        <v>1</v>
      </c>
    </row>
    <row r="23" spans="2:6" x14ac:dyDescent="0.35">
      <c r="B23" s="198" t="s">
        <v>620</v>
      </c>
      <c r="C23" s="198">
        <v>1</v>
      </c>
    </row>
    <row r="25" spans="2:6" ht="18.5" x14ac:dyDescent="0.45">
      <c r="B25" s="224" t="s">
        <v>1256</v>
      </c>
    </row>
    <row r="26" spans="2:6" x14ac:dyDescent="0.35">
      <c r="C26" s="1146" t="s">
        <v>839</v>
      </c>
      <c r="D26" s="1146"/>
      <c r="E26" s="1146"/>
      <c r="F26" s="212" t="s">
        <v>838</v>
      </c>
    </row>
    <row r="27" spans="2:6" ht="30" x14ac:dyDescent="0.45">
      <c r="B27" s="223" t="s">
        <v>781</v>
      </c>
      <c r="C27" s="232" t="s">
        <v>606</v>
      </c>
      <c r="D27" s="232" t="s">
        <v>780</v>
      </c>
      <c r="E27" s="232" t="s">
        <v>779</v>
      </c>
      <c r="F27" s="231"/>
    </row>
    <row r="28" spans="2:6" x14ac:dyDescent="0.35">
      <c r="B28" s="198" t="s">
        <v>778</v>
      </c>
      <c r="C28" s="198">
        <v>0</v>
      </c>
      <c r="D28" s="198">
        <v>0</v>
      </c>
      <c r="E28" s="198">
        <v>0</v>
      </c>
      <c r="F28" s="198">
        <v>90</v>
      </c>
    </row>
    <row r="29" spans="2:6" x14ac:dyDescent="0.35">
      <c r="B29" s="198" t="s">
        <v>777</v>
      </c>
      <c r="C29" s="198">
        <v>0.4</v>
      </c>
      <c r="D29" s="198">
        <v>0.3</v>
      </c>
      <c r="E29" s="198">
        <v>0.4</v>
      </c>
      <c r="F29" s="198">
        <v>90</v>
      </c>
    </row>
    <row r="30" spans="2:6" x14ac:dyDescent="0.35">
      <c r="B30" s="198" t="s">
        <v>776</v>
      </c>
      <c r="C30" s="198">
        <v>1</v>
      </c>
      <c r="D30" s="198">
        <v>0.95</v>
      </c>
      <c r="E30" s="198">
        <v>1</v>
      </c>
      <c r="F30" s="198">
        <v>90</v>
      </c>
    </row>
    <row r="31" spans="2:6" x14ac:dyDescent="0.35">
      <c r="B31" s="198" t="s">
        <v>775</v>
      </c>
      <c r="C31" s="198">
        <v>1.25</v>
      </c>
      <c r="D31" s="198">
        <v>1.2</v>
      </c>
      <c r="E31" s="198">
        <v>1.25</v>
      </c>
      <c r="F31" s="198">
        <v>90</v>
      </c>
    </row>
    <row r="32" spans="2:6" x14ac:dyDescent="0.35">
      <c r="B32" s="198" t="s">
        <v>771</v>
      </c>
      <c r="C32" s="198">
        <v>1.75</v>
      </c>
      <c r="D32" s="198">
        <v>0</v>
      </c>
      <c r="E32" s="198">
        <v>0</v>
      </c>
      <c r="F32" s="198">
        <v>90</v>
      </c>
    </row>
    <row r="33" spans="2:6" x14ac:dyDescent="0.35">
      <c r="B33" s="198" t="s">
        <v>604</v>
      </c>
      <c r="C33" s="198">
        <v>2.15</v>
      </c>
      <c r="D33" s="198">
        <v>0</v>
      </c>
      <c r="E33" s="198">
        <v>0</v>
      </c>
      <c r="F33" s="198">
        <v>90</v>
      </c>
    </row>
    <row r="34" spans="2:6" x14ac:dyDescent="0.35">
      <c r="B34" s="198" t="s">
        <v>774</v>
      </c>
      <c r="C34" s="198">
        <v>3.8</v>
      </c>
      <c r="D34" s="198">
        <v>1</v>
      </c>
      <c r="E34" s="198">
        <v>3.8</v>
      </c>
      <c r="F34" s="198">
        <v>90</v>
      </c>
    </row>
    <row r="35" spans="2:6" x14ac:dyDescent="0.35">
      <c r="B35" s="198" t="s">
        <v>675</v>
      </c>
      <c r="C35" s="198">
        <v>4.8</v>
      </c>
      <c r="D35" s="198">
        <v>1.25</v>
      </c>
      <c r="E35" s="198">
        <v>4.8</v>
      </c>
      <c r="F35" s="198">
        <v>90</v>
      </c>
    </row>
    <row r="36" spans="2:6" x14ac:dyDescent="0.35">
      <c r="B36" s="198" t="s">
        <v>773</v>
      </c>
      <c r="C36" s="198">
        <v>5.0999999999999996</v>
      </c>
      <c r="D36" s="198">
        <v>3.8</v>
      </c>
      <c r="E36" s="198">
        <v>5.0999999999999996</v>
      </c>
      <c r="F36" s="198">
        <v>90</v>
      </c>
    </row>
    <row r="37" spans="2:6" x14ac:dyDescent="0.35">
      <c r="B37" s="198" t="s">
        <v>772</v>
      </c>
      <c r="C37" s="198">
        <v>6.7</v>
      </c>
      <c r="D37" s="198">
        <v>4.8</v>
      </c>
      <c r="E37" s="198">
        <v>6.7</v>
      </c>
      <c r="F37" s="198">
        <v>90</v>
      </c>
    </row>
    <row r="38" spans="2:6" x14ac:dyDescent="0.35">
      <c r="C38" s="239">
        <v>2</v>
      </c>
      <c r="D38" s="239">
        <v>3</v>
      </c>
      <c r="E38" s="239">
        <v>4</v>
      </c>
    </row>
    <row r="39" spans="2:6" ht="18.5" x14ac:dyDescent="0.45">
      <c r="B39" s="224" t="s">
        <v>1257</v>
      </c>
    </row>
    <row r="40" spans="2:6" ht="18.5" x14ac:dyDescent="0.45">
      <c r="B40" s="223" t="s">
        <v>601</v>
      </c>
      <c r="C40" s="212" t="s">
        <v>837</v>
      </c>
    </row>
    <row r="41" spans="2:6" x14ac:dyDescent="0.35">
      <c r="B41" s="198" t="s">
        <v>627</v>
      </c>
      <c r="C41" s="198">
        <v>1</v>
      </c>
    </row>
    <row r="42" spans="2:6" x14ac:dyDescent="0.35">
      <c r="B42" s="198" t="s">
        <v>600</v>
      </c>
      <c r="C42" s="198">
        <v>1.5</v>
      </c>
    </row>
    <row r="43" spans="2:6" x14ac:dyDescent="0.35">
      <c r="B43" s="198" t="s">
        <v>769</v>
      </c>
      <c r="C43" s="198">
        <v>1</v>
      </c>
    </row>
    <row r="45" spans="2:6" ht="18.5" x14ac:dyDescent="0.45">
      <c r="B45" s="224" t="s">
        <v>1258</v>
      </c>
    </row>
    <row r="46" spans="2:6" ht="18.5" x14ac:dyDescent="0.45">
      <c r="B46" s="223" t="s">
        <v>599</v>
      </c>
      <c r="C46" s="212" t="s">
        <v>836</v>
      </c>
    </row>
    <row r="47" spans="2:6" x14ac:dyDescent="0.35">
      <c r="B47" s="198" t="s">
        <v>767</v>
      </c>
      <c r="C47" s="198">
        <v>0</v>
      </c>
    </row>
    <row r="48" spans="2:6" x14ac:dyDescent="0.35">
      <c r="B48" s="198" t="s">
        <v>766</v>
      </c>
      <c r="C48" s="198">
        <v>1</v>
      </c>
    </row>
    <row r="49" spans="2:4" x14ac:dyDescent="0.35">
      <c r="B49" s="198" t="s">
        <v>156</v>
      </c>
      <c r="C49" s="198">
        <v>1.25</v>
      </c>
    </row>
    <row r="51" spans="2:4" ht="18.5" x14ac:dyDescent="0.45">
      <c r="B51" s="224" t="s">
        <v>1266</v>
      </c>
    </row>
    <row r="52" spans="2:4" ht="18.5" x14ac:dyDescent="0.45">
      <c r="B52" s="223" t="s">
        <v>598</v>
      </c>
      <c r="C52" s="212" t="s">
        <v>835</v>
      </c>
    </row>
    <row r="53" spans="2:4" x14ac:dyDescent="0.35">
      <c r="B53" s="198" t="s">
        <v>156</v>
      </c>
      <c r="C53" s="198">
        <v>1</v>
      </c>
    </row>
    <row r="54" spans="2:4" x14ac:dyDescent="0.35">
      <c r="B54" s="198" t="s">
        <v>744</v>
      </c>
      <c r="C54" s="198">
        <v>1.2</v>
      </c>
    </row>
    <row r="55" spans="2:4" x14ac:dyDescent="0.35">
      <c r="B55" s="198" t="s">
        <v>743</v>
      </c>
      <c r="C55" s="198">
        <v>1.33</v>
      </c>
    </row>
    <row r="57" spans="2:4" ht="18.5" x14ac:dyDescent="0.45">
      <c r="B57" s="224" t="s">
        <v>1267</v>
      </c>
    </row>
    <row r="58" spans="2:4" ht="18.5" x14ac:dyDescent="0.45">
      <c r="B58" s="223" t="s">
        <v>597</v>
      </c>
      <c r="C58" s="212" t="s">
        <v>834</v>
      </c>
    </row>
    <row r="59" spans="2:4" x14ac:dyDescent="0.35">
      <c r="B59" s="198" t="s">
        <v>55</v>
      </c>
      <c r="C59" s="198">
        <v>1</v>
      </c>
    </row>
    <row r="60" spans="2:4" x14ac:dyDescent="0.35">
      <c r="B60" s="198" t="s">
        <v>596</v>
      </c>
      <c r="C60" s="198">
        <v>1.25</v>
      </c>
    </row>
    <row r="62" spans="2:4" ht="18.5" x14ac:dyDescent="0.45">
      <c r="B62" s="224" t="s">
        <v>1268</v>
      </c>
    </row>
    <row r="63" spans="2:4" ht="18.5" x14ac:dyDescent="0.45">
      <c r="B63" s="223" t="s">
        <v>741</v>
      </c>
      <c r="D63" s="212" t="s">
        <v>833</v>
      </c>
    </row>
    <row r="64" spans="2:4" x14ac:dyDescent="0.35">
      <c r="B64" s="198" t="s">
        <v>739</v>
      </c>
      <c r="C64" s="198">
        <v>2</v>
      </c>
      <c r="D64" s="198">
        <v>1</v>
      </c>
    </row>
    <row r="65" spans="2:11" x14ac:dyDescent="0.35">
      <c r="B65" s="198" t="s">
        <v>738</v>
      </c>
      <c r="C65" s="198">
        <v>3</v>
      </c>
      <c r="D65" s="198">
        <v>1.8</v>
      </c>
    </row>
    <row r="66" spans="2:11" x14ac:dyDescent="0.35">
      <c r="B66" s="198" t="s">
        <v>678</v>
      </c>
      <c r="C66" s="198">
        <v>4</v>
      </c>
      <c r="D66" s="198">
        <v>2.8</v>
      </c>
    </row>
    <row r="67" spans="2:11" x14ac:dyDescent="0.35">
      <c r="B67" s="198" t="s">
        <v>737</v>
      </c>
      <c r="C67" s="198">
        <v>5</v>
      </c>
      <c r="D67" s="198">
        <v>4</v>
      </c>
    </row>
    <row r="68" spans="2:11" x14ac:dyDescent="0.35">
      <c r="B68" s="198" t="s">
        <v>679</v>
      </c>
      <c r="C68" s="198">
        <v>6</v>
      </c>
      <c r="D68" s="198">
        <v>5.2</v>
      </c>
      <c r="F68" s="293"/>
      <c r="G68" s="221"/>
      <c r="H68" s="221"/>
      <c r="I68" s="221"/>
      <c r="J68" s="221"/>
      <c r="K68" s="221"/>
    </row>
    <row r="69" spans="2:11" x14ac:dyDescent="0.35">
      <c r="B69" s="198" t="s">
        <v>736</v>
      </c>
      <c r="C69" s="198">
        <v>7</v>
      </c>
      <c r="D69" s="198">
        <v>6.6</v>
      </c>
      <c r="F69" s="293"/>
      <c r="G69" s="221"/>
      <c r="H69" s="221"/>
      <c r="I69" s="221"/>
      <c r="J69" s="221"/>
      <c r="K69" s="221"/>
    </row>
    <row r="70" spans="2:11" x14ac:dyDescent="0.35">
      <c r="B70" s="198" t="s">
        <v>735</v>
      </c>
      <c r="C70" s="198">
        <v>8</v>
      </c>
      <c r="D70" s="198">
        <v>8</v>
      </c>
      <c r="F70" s="293"/>
      <c r="G70" s="221"/>
      <c r="H70" s="221"/>
      <c r="I70" s="221"/>
      <c r="J70" s="221"/>
      <c r="K70" s="221"/>
    </row>
    <row r="72" spans="2:11" ht="18.5" x14ac:dyDescent="0.45">
      <c r="B72" s="224" t="s">
        <v>1269</v>
      </c>
    </row>
    <row r="73" spans="2:11" ht="18.5" x14ac:dyDescent="0.45">
      <c r="B73" s="223" t="s">
        <v>595</v>
      </c>
      <c r="C73" s="212" t="s">
        <v>832</v>
      </c>
    </row>
    <row r="74" spans="2:11" x14ac:dyDescent="0.35">
      <c r="B74" s="198" t="s">
        <v>733</v>
      </c>
      <c r="C74" s="198">
        <v>1</v>
      </c>
    </row>
    <row r="75" spans="2:11" x14ac:dyDescent="0.35">
      <c r="B75" s="198" t="s">
        <v>593</v>
      </c>
      <c r="C75" s="198">
        <v>1</v>
      </c>
    </row>
    <row r="76" spans="2:11" x14ac:dyDescent="0.35">
      <c r="B76" s="198" t="s">
        <v>732</v>
      </c>
      <c r="C76" s="198">
        <v>3</v>
      </c>
    </row>
    <row r="77" spans="2:11" ht="18.5" x14ac:dyDescent="0.45">
      <c r="B77" s="198" t="s">
        <v>731</v>
      </c>
      <c r="C77" s="198">
        <v>2.7</v>
      </c>
      <c r="H77" s="223"/>
    </row>
    <row r="78" spans="2:11" x14ac:dyDescent="0.35">
      <c r="B78" s="198" t="s">
        <v>730</v>
      </c>
      <c r="C78" s="198">
        <v>2.4</v>
      </c>
    </row>
    <row r="79" spans="2:11" x14ac:dyDescent="0.35">
      <c r="B79" s="198" t="s">
        <v>594</v>
      </c>
      <c r="C79" s="198">
        <v>3</v>
      </c>
    </row>
    <row r="80" spans="2:11" x14ac:dyDescent="0.35">
      <c r="B80" s="198" t="s">
        <v>592</v>
      </c>
      <c r="C80" s="198">
        <v>2.7</v>
      </c>
    </row>
    <row r="82" spans="2:14" ht="18.5" x14ac:dyDescent="0.45">
      <c r="B82" s="224" t="s">
        <v>1286</v>
      </c>
    </row>
    <row r="83" spans="2:14" ht="18.5" x14ac:dyDescent="0.45">
      <c r="B83" s="223" t="s">
        <v>380</v>
      </c>
      <c r="C83" s="212" t="s">
        <v>831</v>
      </c>
      <c r="D83" s="212" t="s">
        <v>830</v>
      </c>
      <c r="G83" s="212" t="s">
        <v>829</v>
      </c>
      <c r="H83" s="212" t="s">
        <v>828</v>
      </c>
      <c r="I83" s="212" t="s">
        <v>827</v>
      </c>
      <c r="J83" s="212" t="s">
        <v>826</v>
      </c>
    </row>
    <row r="84" spans="2:14" x14ac:dyDescent="0.35">
      <c r="B84" s="198" t="s">
        <v>707</v>
      </c>
      <c r="C84" s="198">
        <v>1.1000000000000001</v>
      </c>
      <c r="D84" s="198">
        <v>9.5500000000000002E-2</v>
      </c>
      <c r="E84" s="300" t="str">
        <f>LEFT(B84,1) &amp; IF(MID(B84,7,1)="u", "ST", IF(MID(B84,7,1)="s", "SG", "TH"))</f>
        <v>3ST</v>
      </c>
      <c r="G84" s="316" t="b">
        <f>IF('Ped&amp;Bike (Intersections)'!C3="3-leg unsignalized with exclusive left-turn lane", IF('Ped&amp;Bike (Intersections)'!C10="Two-Lane Undivided",'Reference Tables (Ped Intersct)'!C97,IF('Ped&amp;Bike (Intersections)'!C3="3-leg unsignalized with exclusive left-turn lane", IF('Ped&amp;Bike (Intersections)'!C10="Multilane Undivided",'Reference Tables (Ped Intersct)'!G97,IF('Ped&amp;Bike (Intersections)'!C3="3-leg unsignalized with exclusive left-turn lane", IF('Ped&amp;Bike (Intersections)'!C10="Multilane Divided",'Reference Tables (Ped Intersct)'!K97,0))))))</f>
        <v>0</v>
      </c>
      <c r="H84" s="316" t="b">
        <f>IF('Ped&amp;Bike (Intersections)'!C3="3-leg unsignalized with exclusive left-turn lane", IF('Ped&amp;Bike (Intersections)'!C10="Two-Lane Undivided",'Reference Tables (Ped Intersct)'!C98,IF('Ped&amp;Bike (Intersections)'!C3="3-leg unsignalized with exclusive left-turn lane", IF('Ped&amp;Bike (Intersections)'!C10="Multilane Undivided",'Reference Tables (Ped Intersct)'!G98,IF('Ped&amp;Bike (Intersections)'!C3="3-leg unsignalized with exclusive left-turn lane", IF('Ped&amp;Bike (Intersections)'!C10="Multilane Divided",'Reference Tables (Ped Intersct)'!K98,0))))))</f>
        <v>0</v>
      </c>
      <c r="I84" s="316" t="b">
        <f>IF('Ped&amp;Bike (Intersections)'!C3="3-leg unsignalized with exclusive left-turn lane", IF('Ped&amp;Bike (Intersections)'!C10="Two-Lane Undivided",'Reference Tables (Ped Intersct)'!C99,IF('Ped&amp;Bike (Intersections)'!C3="3-leg unsignalized with exclusive left-turn lane", IF('Ped&amp;Bike (Intersections)'!C10="Multilane Undivided",'Reference Tables (Ped Intersct)'!G99,IF('Ped&amp;Bike (Intersections)'!C3="3-leg unsignalized with exclusive left-turn lane", IF('Ped&amp;Bike (Intersections)'!C10="Multilane Divided",'Reference Tables (Ped Intersct)'!K99,0))))))</f>
        <v>0</v>
      </c>
      <c r="J84" s="316" t="b">
        <f>IF('Ped&amp;Bike (Intersections)'!C3="3-leg unsignalized with exclusive left-turn lane", IF('Ped&amp;Bike (Intersections)'!C10="Two-Lane Undivided",'Reference Tables (Ped Intersct)'!C100,IF('Ped&amp;Bike (Intersections)'!C3="3-leg unsignalized with exclusive left-turn lane", IF('Ped&amp;Bike (Intersections)'!C10="Multilane Undivided",'Reference Tables (Ped Intersct)'!G100,IF('Ped&amp;Bike (Intersections)'!C3="3-leg unsignalized with exclusive left-turn lane", IF('Ped&amp;Bike (Intersections)'!C10="Multilane Divided",'Reference Tables (Ped Intersct)'!K100,0))))))</f>
        <v>0</v>
      </c>
    </row>
    <row r="85" spans="2:14" x14ac:dyDescent="0.35">
      <c r="B85" s="198" t="s">
        <v>706</v>
      </c>
      <c r="C85" s="198">
        <v>1.1000000000000001</v>
      </c>
      <c r="D85" s="198">
        <v>9.5500000000000002E-2</v>
      </c>
      <c r="E85" s="300" t="str">
        <f t="shared" ref="E85:E91" si="0">LEFT(B85,1) &amp; IF(MID(B85,7,1)="u", "ST", IF(MID(B85,7,1)="s", "SG", "TH"))</f>
        <v>3ST</v>
      </c>
      <c r="G85" s="316" t="b">
        <f>IF('Ped&amp;Bike (Intersections)'!C3="3-leg unsignalized with no exclusive left-turn lane", IF('Ped&amp;Bike (Intersections)'!C10="Two-Lane Undivided",'Reference Tables (Ped Intersct)'!C97,IF('Ped&amp;Bike (Intersections)'!C3="3-leg unsignalized with no exclusive left-turn lane", IF('Ped&amp;Bike (Intersections)'!C10="Multilane Undivided",'Reference Tables (Ped Intersct)'!G97,IF('Ped&amp;Bike (Intersections)'!C3="3-leg unsignalized with no exclusive left-turn lane", IF('Ped&amp;Bike (Intersections)'!C10="Multilane Divided",'Reference Tables (Ped Intersct)'!K97,0))))))</f>
        <v>0</v>
      </c>
      <c r="H85" s="316" t="b">
        <f>IF('Ped&amp;Bike (Intersections)'!C3="3-leg unsignalized with no exclusive left-turn lane", IF('Ped&amp;Bike (Intersections)'!C10="Two-Lane Undivided",'Reference Tables (Ped Intersct)'!C98,IF('Ped&amp;Bike (Intersections)'!C3="3-leg unsignalized with no exclusive left-turn lane", IF('Ped&amp;Bike (Intersections)'!C10="Multilane Undivided",'Reference Tables (Ped Intersct)'!G98,IF('Ped&amp;Bike (Intersections)'!C3="3-leg unsignalized with no exclusive left-turn lane", IF('Ped&amp;Bike (Intersections)'!C10="Multilane Divided",'Reference Tables (Ped Intersct)'!K98,0))))))</f>
        <v>0</v>
      </c>
      <c r="I85" s="316" t="b">
        <f>IF('Ped&amp;Bike (Intersections)'!C3="3-leg unsignalized with no exclusive left-turn lane", IF('Ped&amp;Bike (Intersections)'!C10="Two-Lane Undivided",'Reference Tables (Ped Intersct)'!C99,IF('Ped&amp;Bike (Intersections)'!C3="3-leg unsignalized with no exclusive left-turn lane", IF('Ped&amp;Bike (Intersections)'!C10="Multilane Undivided",'Reference Tables (Ped Intersct)'!G99,IF('Ped&amp;Bike (Intersections)'!C3="3-leg unsignalized with no exclusive left-turn lane", IF('Ped&amp;Bike (Intersections)'!C10="Multilane Divided",'Reference Tables (Ped Intersct)'!K99,0))))))</f>
        <v>0</v>
      </c>
      <c r="J85" s="316" t="b">
        <f>IF('Ped&amp;Bike (Intersections)'!C3="3-leg unsignalized with no exclusive left-turn lane", IF('Ped&amp;Bike (Intersections)'!C10="Two-Lane Undivided",'Reference Tables (Ped Intersct)'!C100,IF('Ped&amp;Bike (Intersections)'!C3="3-leg unsignalized with no exclusive left-turn lane", IF('Ped&amp;Bike (Intersections)'!C10="Multilane Undivided",'Reference Tables (Ped Intersct)'!G100,IF('Ped&amp;Bike (Intersections)'!C3="3-leg unsignalized with no exclusive left-turn lane", IF('Ped&amp;Bike (Intersections)'!C10="Multilane Divided",'Reference Tables (Ped Intersct)'!K100,0))))))</f>
        <v>0</v>
      </c>
    </row>
    <row r="86" spans="2:14" x14ac:dyDescent="0.35">
      <c r="B86" s="198" t="s">
        <v>705</v>
      </c>
      <c r="C86" s="198">
        <v>1.1000000000000001</v>
      </c>
      <c r="D86" s="198">
        <v>0.14699999999999999</v>
      </c>
      <c r="E86" s="300" t="str">
        <f t="shared" si="0"/>
        <v>3SG</v>
      </c>
      <c r="G86" s="316">
        <f>IF('Ped&amp;Bike (Intersections)'!C3="3-leg signalized with exclusive left-turn lane", IF('Ped&amp;Bike (Intersections)'!C10="Two-Lane Undivided",'Reference Tables (Ped Intersct)'!D97,IF('Ped&amp;Bike (Intersections)'!C3="3-leg signalized with exclusive left-turn lane", IF('Ped&amp;Bike (Intersections)'!C10="Multilane Undivided",'Reference Tables (Ped Intersct)'!H97,IF('Ped&amp;Bike (Intersections)'!C3="3-leg signalized with exclusive left-turn lane", IF('Ped&amp;Bike (Intersections)'!C10="Multilane Divided",'Reference Tables (Ped Intersct)'!L97,0))))))</f>
        <v>0.03</v>
      </c>
      <c r="H86" s="316">
        <f>IF('Ped&amp;Bike (Intersections)'!C3="3-leg signalized with exclusive left-turn lane", IF('Ped&amp;Bike (Intersections)'!C10="Two-Lane Undivided",'Reference Tables (Ped Intersct)'!D98,IF('Ped&amp;Bike (Intersections)'!C3="3-leg signalized with exclusive left-turn lane", IF('Ped&amp;Bike (Intersections)'!C10="Multilane Undivided",'Reference Tables (Ped Intersct)'!H98,IF('Ped&amp;Bike (Intersections)'!C3="3-leg signalized with exclusive left-turn lane", IF('Ped&amp;Bike (Intersections)'!C10="Multilane Divided",'Reference Tables (Ped Intersct)'!L98,0))))))</f>
        <v>0.25800000000000001</v>
      </c>
      <c r="I86" s="316">
        <f>IF('Ped&amp;Bike (Intersections)'!C3="3-leg signalized with exclusive left-turn lane", IF('Ped&amp;Bike (Intersections)'!C10="Two-Lane Undivided",'Reference Tables (Ped Intersct)'!D99,IF('Ped&amp;Bike (Intersections)'!C3="3-leg signalized with exclusive left-turn lane", IF('Ped&amp;Bike (Intersections)'!C10="Multilane Undivided",'Reference Tables (Ped Intersct)'!H99,IF('Ped&amp;Bike (Intersections)'!C3="3-leg signalized with exclusive left-turn lane", IF('Ped&amp;Bike (Intersections)'!C10="Multilane Divided",'Reference Tables (Ped Intersct)'!L99,0))))))</f>
        <v>0.36399999999999999</v>
      </c>
      <c r="J86" s="316">
        <f>IF('Ped&amp;Bike (Intersections)'!C3="3-leg signalized with exclusive left-turn lane", IF('Ped&amp;Bike (Intersections)'!C10="Two-Lane Undivided",'Reference Tables (Ped Intersct)'!D100,IF('Ped&amp;Bike (Intersections)'!C3="3-leg signalized with exclusive left-turn lane", IF('Ped&amp;Bike (Intersections)'!C10="Multilane Undivided",'Reference Tables (Ped Intersct)'!H100,IF('Ped&amp;Bike (Intersections)'!C3="3-leg signalized with exclusive left-turn lane", IF('Ped&amp;Bike (Intersections)'!C10="Multilane Divided",'Reference Tables (Ped Intersct)'!L100,0))))))</f>
        <v>0.34799999999999998</v>
      </c>
    </row>
    <row r="87" spans="2:14" x14ac:dyDescent="0.35">
      <c r="B87" s="198" t="s">
        <v>704</v>
      </c>
      <c r="C87" s="198">
        <v>1.1000000000000001</v>
      </c>
      <c r="D87" s="198">
        <v>0.14699999999999999</v>
      </c>
      <c r="E87" s="300" t="str">
        <f t="shared" si="0"/>
        <v>3SG</v>
      </c>
      <c r="G87" s="316" t="b">
        <f>IF('Ped&amp;Bike (Intersections)'!C3="3-leg signalized with no exclusive left-turn lane", IF('Ped&amp;Bike (Intersections)'!C10="Two-Lane Undivided",'Reference Tables (Ped Intersct)'!D97,IF('Ped&amp;Bike (Intersections)'!C3="3-leg signalized with no exclusive left-turn lane", IF('Ped&amp;Bike (Intersections)'!C10="Multilane Undivided",'Reference Tables (Ped Intersct)'!H97,IF('Ped&amp;Bike (Intersections)'!C3="3-leg signalized with no exclusive left-turn lane", IF('Ped&amp;Bike (Intersections)'!C10="Multilane Divided",'Reference Tables (Ped Intersct)'!L97,0))))))</f>
        <v>0</v>
      </c>
      <c r="H87" s="316" t="b">
        <f>IF('Ped&amp;Bike (Intersections)'!C3="3-leg signalized with no exclusive left-turn lane", IF('Ped&amp;Bike (Intersections)'!C10="Two-Lane Undivided",'Reference Tables (Ped Intersct)'!D98,IF('Ped&amp;Bike (Intersections)'!C3="3-leg signalized with no exclusive left-turn lane", IF('Ped&amp;Bike (Intersections)'!C10="Multilane Undivided",'Reference Tables (Ped Intersct)'!H98,IF('Ped&amp;Bike (Intersections)'!C3="3-leg signalized with no exclusive left-turn lane", IF('Ped&amp;Bike (Intersections)'!C10="Multilane Divided",'Reference Tables (Ped Intersct)'!L98,0))))))</f>
        <v>0</v>
      </c>
      <c r="I87" s="316" t="b">
        <f>IF('Ped&amp;Bike (Intersections)'!C3="3-leg signalized with no exclusive left-turn lane", IF('Ped&amp;Bike (Intersections)'!C10="Two-Lane Undivided",'Reference Tables (Ped Intersct)'!D99,IF('Ped&amp;Bike (Intersections)'!C3="3-leg signalized with no exclusive left-turn lane", IF('Ped&amp;Bike (Intersections)'!C10="Multilane Undivided",'Reference Tables (Ped Intersct)'!H99,IF('Ped&amp;Bike (Intersections)'!C3="3-leg signalized with no exclusive left-turn lane", IF('Ped&amp;Bike (Intersections)'!C10="Multilane Divided",'Reference Tables (Ped Intersct)'!L99,0))))))</f>
        <v>0</v>
      </c>
      <c r="J87" s="316" t="b">
        <f>IF('Ped&amp;Bike (Intersections)'!C3="3-leg signalized with no  exclusive left-turn lane", IF('Ped&amp;Bike (Intersections)'!C10="Two-Lane Undivided",'Reference Tables (Ped Intersct)'!D100,IF('Ped&amp;Bike (Intersections)'!C3="3-leg signalized with no exclusive left-turn lane", IF('Ped&amp;Bike (Intersections)'!C10="Multilane Undivided",'Reference Tables (Ped Intersct)'!H100,IF('Ped&amp;Bike (Intersections)'!C3="3-leg signalized with no exclusive left-turn lane", IF('Ped&amp;Bike (Intersections)'!C10="Multilane Divided",'Reference Tables (Ped Intersct)'!L100,0))))))</f>
        <v>0</v>
      </c>
    </row>
    <row r="88" spans="2:14" x14ac:dyDescent="0.35">
      <c r="B88" s="198" t="s">
        <v>703</v>
      </c>
      <c r="C88" s="198">
        <v>1.2</v>
      </c>
      <c r="D88" s="198">
        <v>9.5699999999999993E-2</v>
      </c>
      <c r="E88" s="300" t="str">
        <f t="shared" si="0"/>
        <v>4ST</v>
      </c>
      <c r="G88" s="316" t="b">
        <f>IF('Ped&amp;Bike (Intersections)'!C3="4-leg unsignalized with exclusive left-turn lane", IF('Ped&amp;Bike (Intersections)'!C10="Two-Lane Undivided",'Reference Tables (Ped Intersct)'!E97,IF('Ped&amp;Bike (Intersections)'!C3="4-leg unsignalized with exclusive left-turn lane", IF('Ped&amp;Bike (Intersections)'!C10="Multilane Undivided",'Reference Tables (Ped Intersct)'!I97,IF('Ped&amp;Bike (Intersections)'!C3="4-leg unsignalized with exclusive left-turn lane", IF('Ped&amp;Bike (Intersections)'!C10="Multilane Divided",'Reference Tables (Ped Intersct)'!M97,0))))))</f>
        <v>0</v>
      </c>
      <c r="H88" s="316" t="b">
        <f>IF('Ped&amp;Bike (Intersections)'!C3="4-leg unsignalized with exclusive left-turn lane", IF('Ped&amp;Bike (Intersections)'!C10="Two-Lane Undivided",'Reference Tables (Ped Intersct)'!E98,IF('Ped&amp;Bike (Intersections)'!C3="4-leg unsignalized with exclusive left-turn lane", IF('Ped&amp;Bike (Intersections)'!C10="Multilane Undivided",'Reference Tables (Ped Intersct)'!I98,IF('Ped&amp;Bike (Intersections)'!C3="4-leg unsignalized with exclusive left-turn lane", IF('Ped&amp;Bike (Intersections)'!C10="Multilane Divided",'Reference Tables (Ped Intersct)'!M98,0))))))</f>
        <v>0</v>
      </c>
      <c r="I88" s="316" t="b">
        <f>IF('Ped&amp;Bike (Intersections)'!C3="4-leg unsignalized with exclusive left-turn lane", IF('Ped&amp;Bike (Intersections)'!C10="Two-Lane Undivided",'Reference Tables (Ped Intersct)'!E99,IF('Ped&amp;Bike (Intersections)'!C3="4-leg unsignalized with exclusive left-turn lane", IF('Ped&amp;Bike (Intersections)'!C10="Multilane Undivided",'Reference Tables (Ped Intersct)'!I99,IF('Ped&amp;Bike (Intersections)'!C3="4-leg unsignalized with exclusive left-turn lane", IF('Ped&amp;Bike (Intersections)'!C10="Multilane Divided",'Reference Tables (Ped Intersct)'!M99,0))))))</f>
        <v>0</v>
      </c>
      <c r="J88" s="316" t="b">
        <f>IF('Ped&amp;Bike (Intersections)'!C3="4-leg unsignalized with exclusive left-turn lane", IF('Ped&amp;Bike (Intersections)'!C10="Two-Lane Undivided",'Reference Tables (Ped Intersct)'!E100,IF('Ped&amp;Bike (Intersections)'!C3="4-leg unsignalized with exclusive left-turn lane", IF('Ped&amp;Bike (Intersections)'!C10="Multilane Undivided",'Reference Tables (Ped Intersct)'!I100,IF('Ped&amp;Bike (Intersections)'!C3="4-leg unsignalized with exclusive left-turn lane", IF('Ped&amp;Bike (Intersections)'!C10="Multilane Divided",'Reference Tables (Ped Intersct)'!M100,0))))))</f>
        <v>0</v>
      </c>
    </row>
    <row r="89" spans="2:14" x14ac:dyDescent="0.35">
      <c r="B89" s="198" t="s">
        <v>702</v>
      </c>
      <c r="C89" s="198">
        <v>1.2</v>
      </c>
      <c r="D89" s="198">
        <v>9.5699999999999993E-2</v>
      </c>
      <c r="E89" s="300" t="str">
        <f t="shared" si="0"/>
        <v>4ST</v>
      </c>
      <c r="G89" s="316" t="b">
        <f>IF('Ped&amp;Bike (Intersections)'!C3="4-leg unsignalized with no exclusive left-turn lane", IF('Ped&amp;Bike (Intersections)'!C10="Two-Lane Undivided",'Reference Tables (Ped Intersct)'!E97,IF('Ped&amp;Bike (Intersections)'!C3="4-leg unsignalized with no exclusive left-turn lane", IF('Ped&amp;Bike (Intersections)'!C10="Multilane Undivided",'Reference Tables (Ped Intersct)'!I97,IF('Ped&amp;Bike (Intersections)'!C3="4-leg unsignalized with no exclusive left-turn lane", IF('Ped&amp;Bike (Intersections)'!C10="Multilane Divided",'Reference Tables (Ped Intersct)'!M97,0))))))</f>
        <v>0</v>
      </c>
      <c r="H89" s="316" t="b">
        <f>IF('Ped&amp;Bike (Intersections)'!C3="4-leg unsignalized with no exclusive left-turn lane", IF('Ped&amp;Bike (Intersections)'!C10="Two-Lane Undivided",'Reference Tables (Ped Intersct)'!E98,IF('Ped&amp;Bike (Intersections)'!C3="4-leg unsignalized with no exclusive left-turn lane", IF('Ped&amp;Bike (Intersections)'!C10="Multilane Undivided",'Reference Tables (Ped Intersct)'!I98,IF('Ped&amp;Bike (Intersections)'!C3="4-leg unsignalized with no exclusive left-turn lane", IF('Ped&amp;Bike (Intersections)'!C10="Multilane Divided",'Reference Tables (Ped Intersct)'!M98,0))))))</f>
        <v>0</v>
      </c>
      <c r="I89" s="316" t="b">
        <f>IF('Ped&amp;Bike (Intersections)'!C3="4-leg unsignalized with no exclusive left-turn lane", IF('Ped&amp;Bike (Intersections)'!C10="Two-Lane Undivided",'Reference Tables (Ped Intersct)'!E99,IF('Ped&amp;Bike (Intersections)'!C3="4-leg unsignalized with no exclusive left-turn lane", IF('Ped&amp;Bike (Intersections)'!C10="Multilane Undivided",'Reference Tables (Ped Intersct)'!I99,IF('Ped&amp;Bike (Intersections)'!C3="4-leg unsignalized with no exclusive left-turn lane", IF('Ped&amp;Bike (Intersections)'!C10="Multilane Divided",'Reference Tables (Ped Intersct)'!M99,0))))))</f>
        <v>0</v>
      </c>
      <c r="J89" s="316" t="b">
        <f>IF('Ped&amp;Bike (Intersections)'!C3="4-leg unsignalized with no exclusive left-turn lane", IF('Ped&amp;Bike (Intersections)'!C10="Two-Lane Undivided",'Reference Tables (Ped Intersct)'!E100,IF('Ped&amp;Bike (Intersections)'!C3="4-leg unsignalized with no exclusive left-turn lane", IF('Ped&amp;Bike (Intersections)'!C10="Multilane Undivided",'Reference Tables (Ped Intersct)'!I100,IF('Ped&amp;Bike (Intersections)'!C3="4-leg unsignalized with no exclusive left-turn lane", IF('Ped&amp;Bike (Intersections)'!C10="Multilane Divided",'Reference Tables (Ped Intersct)'!M100,0))))))</f>
        <v>0</v>
      </c>
    </row>
    <row r="90" spans="2:14" x14ac:dyDescent="0.35">
      <c r="B90" s="198" t="s">
        <v>701</v>
      </c>
      <c r="C90" s="198">
        <v>1.2</v>
      </c>
      <c r="D90" s="198">
        <v>3.8699999999999998E-2</v>
      </c>
      <c r="E90" s="300" t="str">
        <f t="shared" si="0"/>
        <v>4SG</v>
      </c>
      <c r="G90" s="316" t="b">
        <f>IF('Ped&amp;Bike (Intersections)'!C3="4-leg signalized with exclusive left-turn lane", IF('Ped&amp;Bike (Intersections)'!C10="Two-Lane Undivided",'Reference Tables (Ped Intersct)'!F97,IF('Ped&amp;Bike (Intersections)'!C3="4-leg signalized with exclusive left-turn lane", IF('Ped&amp;Bike (Intersections)'!C10="Multilane Undivided",'Reference Tables (Ped Intersct)'!J97,IF('Ped&amp;Bike (Intersections)'!C3="4-leg signalized with exclusive left-turn lane", IF('Ped&amp;Bike (Intersections)'!C10="Multilane Divided",'Reference Tables (Ped Intersct)'!N97,0))))))</f>
        <v>0</v>
      </c>
      <c r="H90" s="316" t="b">
        <f>IF('Ped&amp;Bike (Intersections)'!C3="4-leg signalized with exclusive left-turn lane", IF('Ped&amp;Bike (Intersections)'!C10="Two-Lane Undivided",'Reference Tables (Ped Intersct)'!F98,IF('Ped&amp;Bike (Intersections)'!C3="4-leg signalized with exclusive left-turn lane", IF('Ped&amp;Bike (Intersections)'!C10="Multilane Undivided",'Reference Tables (Ped Intersct)'!J98,IF('Ped&amp;Bike (Intersections)'!C3="4-leg signalized with exclusive left-turn lane", IF('Ped&amp;Bike (Intersections)'!C10="Multilane Divided",'Reference Tables (Ped Intersct)'!N98,0))))))</f>
        <v>0</v>
      </c>
      <c r="I90" s="316" t="b">
        <f>IF('Ped&amp;Bike (Intersections)'!C3="4-leg signalized with exclusive left-turn lane", IF('Ped&amp;Bike (Intersections)'!C10="Two-Lane Undivided",'Reference Tables (Ped Intersct)'!F99,IF('Ped&amp;Bike (Intersections)'!C3="4-leg signalized with exclusive left-turn lane", IF('Ped&amp;Bike (Intersections)'!C10="Multilane Undivided",'Reference Tables (Ped Intersct)'!J99,IF('Ped&amp;Bike (Intersections)'!C3="4-leg signalized with exclusive left-turn lane", IF('Ped&amp;Bike (Intersections)'!C10="Multilane Divided",'Reference Tables (Ped Intersct)'!N99,0))))))</f>
        <v>0</v>
      </c>
      <c r="J90" s="316" t="b">
        <f>IF('Ped&amp;Bike (Intersections)'!C3="4-leg signalized with exclusive left-turn lane", IF('Ped&amp;Bike (Intersections)'!C10="Two-Lane Undivided",'Reference Tables (Ped Intersct)'!F100,IF('Ped&amp;Bike (Intersections)'!C3="4-leg signalized with exclusive left-turn lane", IF('Ped&amp;Bike (Intersections)'!C10="Multilane Undivided",'Reference Tables (Ped Intersct)'!J100,IF('Ped&amp;Bike (Intersections)'!C3="4-leg signalized with exclusive left-turn lane", IF('Ped&amp;Bike (Intersections)'!C10="Multilane Divided",'Reference Tables (Ped Intersct)'!N100,0))))))</f>
        <v>0</v>
      </c>
    </row>
    <row r="91" spans="2:14" x14ac:dyDescent="0.35">
      <c r="B91" s="198" t="s">
        <v>687</v>
      </c>
      <c r="C91" s="198">
        <v>1.2</v>
      </c>
      <c r="D91" s="198">
        <v>3.8699999999999998E-2</v>
      </c>
      <c r="E91" s="300" t="str">
        <f t="shared" si="0"/>
        <v>4SG</v>
      </c>
      <c r="G91" s="316" t="b">
        <f>IF('Ped&amp;Bike (Intersections)'!C3="4-leg signalized with no exclusive left-turn lane", IF('Ped&amp;Bike (Intersections)'!C10="Two-Lane Undivided",'Reference Tables (Ped Intersct)'!F97,IF('Ped&amp;Bike (Intersections)'!C3="4-leg signalized with no exclusive left-turn lane", IF('Ped&amp;Bike (Intersections)'!C10="Multilane Undivided",'Reference Tables (Ped Intersct)'!J97,IF('Ped&amp;Bike (Intersections)'!C3="4-leg signalized with no exclusive left-turn lane", IF('Ped&amp;Bike (Intersections)'!C10="Multilane Divided",'Reference Tables (Ped Intersct)'!N97,0))))))</f>
        <v>0</v>
      </c>
      <c r="H91" s="316" t="b">
        <f>IF('Ped&amp;Bike (Intersections)'!C3="4-leg signalized with no exclusive left-turn lane", IF('Ped&amp;Bike (Intersections)'!C10="Two-Lane Undivided",'Reference Tables (Ped Intersct)'!F98,IF('Ped&amp;Bike (Intersections)'!C3="4-leg signalized with no exclusive left-turn lane", IF('Ped&amp;Bike (Intersections)'!C10="Multilane Undivided",'Reference Tables (Ped Intersct)'!J98,IF('Ped&amp;Bike (Intersections)'!C3="4-leg signalized with no exclusive left-turn lane", IF('Ped&amp;Bike (Intersections)'!C10="Multilane Divided",'Reference Tables (Ped Intersct)'!N98,0))))))</f>
        <v>0</v>
      </c>
      <c r="I91" s="316" t="b">
        <f>IF('Ped&amp;Bike (Intersections)'!C3="4-leg signalized with no exclusive left-turn lane", IF('Ped&amp;Bike (Intersections)'!C10="Two-Lane Undivided",'Reference Tables (Ped Intersct)'!F99,IF('Ped&amp;Bike (Intersections)'!C3="4-leg signalized with no exclusive left-turn lane", IF('Ped&amp;Bike (Intersections)'!C10="Multilane Undivided",'Reference Tables (Ped Intersct)'!J99,IF('Ped&amp;Bike (Intersections)'!C3="4-leg signalized with no exclusive left-turn lane", IF('Ped&amp;Bike (Intersections)'!C10="Multilane Divided",'Reference Tables (Ped Intersct)'!N99,0))))))</f>
        <v>0</v>
      </c>
      <c r="J91" s="316" t="b">
        <f>IF('Ped&amp;Bike (Intersections)'!C3="4-leg signalized with no exclusive left-turn lane", IF('Ped&amp;Bike (Intersections)'!C10="Two-Lane Undivided",'Reference Tables (Ped Intersct)'!F100,IF('Ped&amp;Bike (Intersections)'!C3="4-leg signalized with no exclusive left-turn lane", IF('Ped&amp;Bike (Intersections)'!C10="Multilane Undivided",'Reference Tables (Ped Intersct)'!J100,IF('Ped&amp;Bike (Intersections)'!C3="4-leg signalized with no exclusive left-turn lane", IF('Ped&amp;Bike (Intersections)'!C10="Multilane Divided",'Reference Tables (Ped Intersct)'!N100,0))))))</f>
        <v>0</v>
      </c>
    </row>
    <row r="92" spans="2:14" x14ac:dyDescent="0.35">
      <c r="E92" s="300"/>
    </row>
    <row r="93" spans="2:14" x14ac:dyDescent="0.35">
      <c r="E93" s="300"/>
    </row>
    <row r="95" spans="2:14" ht="18.5" x14ac:dyDescent="0.45">
      <c r="B95" s="224" t="s">
        <v>1287</v>
      </c>
      <c r="F95" s="294"/>
      <c r="G95" s="294"/>
      <c r="H95" s="294"/>
      <c r="I95" s="294"/>
      <c r="J95" s="294"/>
      <c r="K95" s="294"/>
    </row>
    <row r="96" spans="2:14" ht="18.5" x14ac:dyDescent="0.45">
      <c r="B96" s="223" t="s">
        <v>729</v>
      </c>
      <c r="C96" s="212" t="s">
        <v>1071</v>
      </c>
      <c r="D96" s="212" t="s">
        <v>1072</v>
      </c>
      <c r="E96" s="212" t="s">
        <v>1073</v>
      </c>
      <c r="F96" s="212" t="s">
        <v>1074</v>
      </c>
      <c r="G96" s="212" t="s">
        <v>1075</v>
      </c>
      <c r="H96" s="212" t="s">
        <v>1076</v>
      </c>
      <c r="I96" s="212" t="s">
        <v>1077</v>
      </c>
      <c r="J96" s="212" t="s">
        <v>1083</v>
      </c>
      <c r="K96" s="212" t="s">
        <v>1079</v>
      </c>
      <c r="L96" s="212" t="s">
        <v>1080</v>
      </c>
      <c r="M96" s="212" t="s">
        <v>1081</v>
      </c>
      <c r="N96" s="212" t="s">
        <v>1082</v>
      </c>
    </row>
    <row r="97" spans="2:14" x14ac:dyDescent="0.35">
      <c r="B97" s="198" t="s">
        <v>829</v>
      </c>
      <c r="C97" s="198">
        <v>0.193</v>
      </c>
      <c r="D97" s="198">
        <v>0.14199999999999999</v>
      </c>
      <c r="E97" s="198">
        <v>0.16700000000000001</v>
      </c>
      <c r="F97" s="198">
        <v>3.4000000000000002E-2</v>
      </c>
      <c r="G97" s="198">
        <v>0.13800000000000001</v>
      </c>
      <c r="H97" s="198">
        <v>0.14199999999999999</v>
      </c>
      <c r="I97" s="198">
        <v>5.8999999999999997E-2</v>
      </c>
      <c r="J97" s="198">
        <v>0.13800000000000001</v>
      </c>
      <c r="K97" s="198">
        <v>5.0999999999999997E-2</v>
      </c>
      <c r="L97" s="198">
        <v>0.03</v>
      </c>
      <c r="M97" s="294">
        <v>3.5999999999999997E-2</v>
      </c>
      <c r="N97" s="198">
        <v>4.1000000000000002E-2</v>
      </c>
    </row>
    <row r="98" spans="2:14" x14ac:dyDescent="0.35">
      <c r="B98" s="198" t="s">
        <v>828</v>
      </c>
      <c r="C98" s="198">
        <v>0.25</v>
      </c>
      <c r="D98" s="198">
        <v>0.28599999999999998</v>
      </c>
      <c r="E98" s="198">
        <v>0.2</v>
      </c>
      <c r="F98" s="198">
        <v>0.13800000000000001</v>
      </c>
      <c r="G98" s="198">
        <v>0.13800000000000001</v>
      </c>
      <c r="H98" s="198">
        <v>0.28599999999999998</v>
      </c>
      <c r="I98" s="198">
        <v>0.11700000000000001</v>
      </c>
      <c r="J98" s="198">
        <v>0.13800000000000001</v>
      </c>
      <c r="K98" s="198">
        <v>0.154</v>
      </c>
      <c r="L98" s="198">
        <v>0.25800000000000001</v>
      </c>
      <c r="M98" s="294">
        <v>0.23400000000000001</v>
      </c>
      <c r="N98" s="198">
        <v>0.16400000000000001</v>
      </c>
    </row>
    <row r="99" spans="2:14" x14ac:dyDescent="0.35">
      <c r="B99" s="198" t="s">
        <v>827</v>
      </c>
      <c r="C99" s="198">
        <v>0.33500000000000002</v>
      </c>
      <c r="D99" s="198">
        <v>0.28599999999999998</v>
      </c>
      <c r="E99" s="198">
        <v>0.26700000000000002</v>
      </c>
      <c r="F99" s="198">
        <v>0.44900000000000001</v>
      </c>
      <c r="G99" s="198">
        <v>0.43099999999999999</v>
      </c>
      <c r="H99" s="198">
        <v>0.28599999999999998</v>
      </c>
      <c r="I99" s="198">
        <v>0.61799999999999999</v>
      </c>
      <c r="J99" s="198">
        <v>0.43099999999999999</v>
      </c>
      <c r="K99" s="198">
        <v>0.436</v>
      </c>
      <c r="L99" s="198">
        <v>0.36399999999999999</v>
      </c>
      <c r="M99" s="294">
        <v>0.376</v>
      </c>
      <c r="N99" s="198">
        <v>0.44800000000000001</v>
      </c>
    </row>
    <row r="100" spans="2:14" x14ac:dyDescent="0.35">
      <c r="B100" s="198" t="s">
        <v>826</v>
      </c>
      <c r="C100" s="198">
        <v>0.222</v>
      </c>
      <c r="D100" s="198">
        <v>0.28599999999999998</v>
      </c>
      <c r="E100" s="198">
        <v>0.36599999999999999</v>
      </c>
      <c r="F100" s="198">
        <v>0.379</v>
      </c>
      <c r="G100" s="198">
        <v>0.29299999999999998</v>
      </c>
      <c r="H100" s="198">
        <v>0.28599999999999998</v>
      </c>
      <c r="I100" s="198">
        <v>0.20599999999999999</v>
      </c>
      <c r="J100" s="198">
        <v>0.29299999999999998</v>
      </c>
      <c r="K100" s="198">
        <v>0.35899999999999999</v>
      </c>
      <c r="L100" s="198">
        <v>0.34799999999999998</v>
      </c>
      <c r="M100" s="294">
        <v>0.32500000000000001</v>
      </c>
      <c r="N100" s="198">
        <v>0.34699999999999998</v>
      </c>
    </row>
    <row r="101" spans="2:14" x14ac:dyDescent="0.35">
      <c r="M101" s="294">
        <f t="shared" ref="M101" si="1">SUM(M97:M100)</f>
        <v>0.97100000000000009</v>
      </c>
    </row>
    <row r="102" spans="2:14" ht="18.5" x14ac:dyDescent="0.45">
      <c r="B102" s="224" t="s">
        <v>1272</v>
      </c>
    </row>
    <row r="103" spans="2:14" ht="18.5" x14ac:dyDescent="0.45">
      <c r="B103" s="223" t="s">
        <v>1288</v>
      </c>
      <c r="C103" s="212" t="s">
        <v>719</v>
      </c>
    </row>
    <row r="104" spans="2:14" x14ac:dyDescent="0.35">
      <c r="B104" s="222" t="s">
        <v>156</v>
      </c>
      <c r="C104" s="198">
        <v>0</v>
      </c>
    </row>
    <row r="105" spans="2:14" x14ac:dyDescent="0.35">
      <c r="B105" s="222" t="s">
        <v>718</v>
      </c>
      <c r="C105" s="198">
        <v>1E-3</v>
      </c>
    </row>
    <row r="106" spans="2:14" x14ac:dyDescent="0.35">
      <c r="B106" s="222" t="s">
        <v>608</v>
      </c>
      <c r="C106" s="198">
        <v>2E-3</v>
      </c>
    </row>
    <row r="107" spans="2:14" x14ac:dyDescent="0.35">
      <c r="B107" s="222" t="s">
        <v>636</v>
      </c>
      <c r="C107" s="198">
        <v>2E-3</v>
      </c>
    </row>
    <row r="108" spans="2:14" x14ac:dyDescent="0.35">
      <c r="B108" s="222" t="s">
        <v>717</v>
      </c>
      <c r="C108" s="198">
        <v>3.0000000000000001E-3</v>
      </c>
    </row>
    <row r="109" spans="2:14" x14ac:dyDescent="0.35">
      <c r="B109" s="222" t="s">
        <v>716</v>
      </c>
      <c r="C109" s="198">
        <v>4.0000000000000001E-3</v>
      </c>
    </row>
    <row r="110" spans="2:14" x14ac:dyDescent="0.35">
      <c r="B110" s="222" t="s">
        <v>669</v>
      </c>
      <c r="C110" s="198">
        <v>5.0000000000000001E-3</v>
      </c>
    </row>
    <row r="111" spans="2:14" x14ac:dyDescent="0.35">
      <c r="B111" s="222" t="s">
        <v>715</v>
      </c>
      <c r="C111" s="198">
        <v>6.0000000000000001E-3</v>
      </c>
    </row>
    <row r="112" spans="2:14" x14ac:dyDescent="0.35">
      <c r="B112" s="222" t="s">
        <v>714</v>
      </c>
      <c r="C112" s="198">
        <v>6.0000000000000001E-3</v>
      </c>
    </row>
    <row r="113" spans="2:3" x14ac:dyDescent="0.35">
      <c r="B113" s="222" t="s">
        <v>713</v>
      </c>
      <c r="C113" s="198">
        <v>7.0000000000000001E-3</v>
      </c>
    </row>
    <row r="114" spans="2:3" x14ac:dyDescent="0.35">
      <c r="B114" s="222" t="s">
        <v>712</v>
      </c>
      <c r="C114" s="198">
        <v>8.9999999999999993E-3</v>
      </c>
    </row>
    <row r="117" spans="2:3" x14ac:dyDescent="0.35">
      <c r="B117" s="221" t="s">
        <v>644</v>
      </c>
    </row>
    <row r="118" spans="2:3" x14ac:dyDescent="0.35">
      <c r="B118" s="198" t="s">
        <v>1251</v>
      </c>
    </row>
    <row r="119" spans="2:3" x14ac:dyDescent="0.35">
      <c r="B119" s="198" t="s">
        <v>1252</v>
      </c>
    </row>
    <row r="120" spans="2:3" x14ac:dyDescent="0.35">
      <c r="B120" s="198" t="s">
        <v>1253</v>
      </c>
    </row>
  </sheetData>
  <mergeCells count="1">
    <mergeCell ref="C26:E26"/>
  </mergeCells>
  <pageMargins left="0.7" right="0.7" top="0.75" bottom="0.75" header="0.51180555555555496" footer="0.51180555555555496"/>
  <pageSetup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B2:N103"/>
  <sheetViews>
    <sheetView topLeftCell="D21" zoomScale="90" zoomScaleNormal="90" workbookViewId="0">
      <selection activeCell="J49" sqref="J49"/>
    </sheetView>
  </sheetViews>
  <sheetFormatPr defaultColWidth="8.7265625" defaultRowHeight="14.5" x14ac:dyDescent="0.35"/>
  <cols>
    <col min="1" max="1" width="8.7265625" style="198"/>
    <col min="2" max="2" width="68" style="198" customWidth="1"/>
    <col min="3" max="3" width="26.1796875" style="198" customWidth="1"/>
    <col min="4" max="4" width="25.54296875" style="198" customWidth="1"/>
    <col min="5" max="5" width="26.453125" style="198" customWidth="1"/>
    <col min="6" max="7" width="24.26953125" style="198" customWidth="1"/>
    <col min="8" max="8" width="26.54296875" style="198" customWidth="1"/>
    <col min="9" max="9" width="25" style="198" customWidth="1"/>
    <col min="10" max="10" width="28.1796875" style="198" customWidth="1"/>
    <col min="11" max="11" width="23.453125" style="198" customWidth="1"/>
    <col min="12" max="12" width="24" style="198" customWidth="1"/>
    <col min="13" max="13" width="25.81640625" style="198" customWidth="1"/>
    <col min="14" max="14" width="23.7265625" style="198" customWidth="1"/>
    <col min="15" max="16384" width="8.7265625" style="198"/>
  </cols>
  <sheetData>
    <row r="2" spans="2:3" ht="18.5" x14ac:dyDescent="0.45">
      <c r="B2" s="224" t="s">
        <v>1289</v>
      </c>
    </row>
    <row r="3" spans="2:3" ht="18.5" x14ac:dyDescent="0.45">
      <c r="B3" s="223" t="s">
        <v>617</v>
      </c>
      <c r="C3" s="212" t="s">
        <v>859</v>
      </c>
    </row>
    <row r="4" spans="2:3" x14ac:dyDescent="0.35">
      <c r="B4" s="198" t="s">
        <v>823</v>
      </c>
      <c r="C4" s="198">
        <v>1</v>
      </c>
    </row>
    <row r="5" spans="2:3" x14ac:dyDescent="0.35">
      <c r="B5" s="198" t="s">
        <v>822</v>
      </c>
      <c r="C5" s="198">
        <v>1</v>
      </c>
    </row>
    <row r="6" spans="2:3" x14ac:dyDescent="0.35">
      <c r="B6" s="198" t="s">
        <v>666</v>
      </c>
      <c r="C6" s="198">
        <v>1</v>
      </c>
    </row>
    <row r="7" spans="2:3" x14ac:dyDescent="0.35">
      <c r="B7" s="198" t="s">
        <v>156</v>
      </c>
      <c r="C7" s="198">
        <v>1.2</v>
      </c>
    </row>
    <row r="8" spans="2:3" x14ac:dyDescent="0.35">
      <c r="B8" s="198" t="s">
        <v>821</v>
      </c>
      <c r="C8" s="198">
        <v>1.2</v>
      </c>
    </row>
    <row r="9" spans="2:3" x14ac:dyDescent="0.35">
      <c r="B9" s="198" t="s">
        <v>820</v>
      </c>
      <c r="C9" s="198">
        <v>1</v>
      </c>
    </row>
    <row r="10" spans="2:3" x14ac:dyDescent="0.35">
      <c r="B10" s="198" t="s">
        <v>792</v>
      </c>
      <c r="C10" s="198">
        <v>1.2</v>
      </c>
    </row>
    <row r="11" spans="2:3" x14ac:dyDescent="0.35">
      <c r="B11" s="198" t="s">
        <v>791</v>
      </c>
      <c r="C11" s="198">
        <v>1.2</v>
      </c>
    </row>
    <row r="12" spans="2:3" x14ac:dyDescent="0.35">
      <c r="B12" s="198" t="s">
        <v>790</v>
      </c>
      <c r="C12" s="198">
        <v>1.2</v>
      </c>
    </row>
    <row r="14" spans="2:3" ht="18.5" x14ac:dyDescent="0.45">
      <c r="B14" s="224" t="s">
        <v>1290</v>
      </c>
    </row>
    <row r="15" spans="2:3" ht="18.5" x14ac:dyDescent="0.45">
      <c r="B15" s="223" t="s">
        <v>858</v>
      </c>
      <c r="C15" s="212" t="s">
        <v>857</v>
      </c>
    </row>
    <row r="16" spans="2:3" x14ac:dyDescent="0.35">
      <c r="B16" s="198" t="s">
        <v>856</v>
      </c>
      <c r="C16" s="198">
        <v>0</v>
      </c>
    </row>
    <row r="17" spans="2:12" x14ac:dyDescent="0.35">
      <c r="B17" s="198" t="s">
        <v>855</v>
      </c>
      <c r="C17" s="198">
        <v>0.15</v>
      </c>
    </row>
    <row r="18" spans="2:12" x14ac:dyDescent="0.35">
      <c r="B18" s="198" t="s">
        <v>854</v>
      </c>
      <c r="C18" s="198">
        <v>0.19</v>
      </c>
    </row>
    <row r="19" spans="2:12" x14ac:dyDescent="0.35">
      <c r="B19" s="198" t="s">
        <v>853</v>
      </c>
      <c r="C19" s="198">
        <v>0.56999999999999995</v>
      </c>
    </row>
    <row r="20" spans="2:12" x14ac:dyDescent="0.35">
      <c r="B20" s="198" t="s">
        <v>852</v>
      </c>
      <c r="C20" s="198">
        <v>0.72</v>
      </c>
    </row>
    <row r="21" spans="2:12" x14ac:dyDescent="0.35">
      <c r="B21" s="198" t="s">
        <v>851</v>
      </c>
      <c r="C21" s="198">
        <v>0.76</v>
      </c>
    </row>
    <row r="22" spans="2:12" x14ac:dyDescent="0.35">
      <c r="B22" s="198" t="s">
        <v>664</v>
      </c>
      <c r="C22" s="198">
        <v>1</v>
      </c>
    </row>
    <row r="24" spans="2:12" ht="18.5" x14ac:dyDescent="0.45">
      <c r="B24" s="224" t="s">
        <v>1291</v>
      </c>
    </row>
    <row r="25" spans="2:12" ht="18.5" x14ac:dyDescent="0.45">
      <c r="B25" s="223" t="s">
        <v>380</v>
      </c>
      <c r="C25" s="221" t="s">
        <v>850</v>
      </c>
      <c r="D25" s="212" t="s">
        <v>849</v>
      </c>
      <c r="E25" s="198" t="s">
        <v>848</v>
      </c>
      <c r="I25" s="212" t="s">
        <v>829</v>
      </c>
      <c r="J25" s="212" t="s">
        <v>828</v>
      </c>
      <c r="K25" s="212" t="s">
        <v>827</v>
      </c>
      <c r="L25" s="212" t="s">
        <v>826</v>
      </c>
    </row>
    <row r="26" spans="2:12" x14ac:dyDescent="0.35">
      <c r="B26" s="198" t="s">
        <v>707</v>
      </c>
      <c r="C26" s="198">
        <v>45</v>
      </c>
      <c r="D26" s="198">
        <v>45</v>
      </c>
      <c r="E26" s="198">
        <v>0.52700000000000002</v>
      </c>
      <c r="I26" s="198" t="b">
        <f>IF('Ped&amp;Bike (Intersections)'!C3="3-leg unsignalized with exclusive left-turn lane", IF('Ped&amp;Bike (Intersections)'!C10="Two-Lane Undivided",'ReferenceTables (Bike Intersct)'!C55,IF('Ped&amp;Bike (Intersections)'!C3="3-leg unsignalized with exclusive left-turn lane", IF('Ped&amp;Bike (Intersections)'!C10="Multilane Undivided",'ReferenceTables (Bike Intersct)'!G55,IF('Ped&amp;Bike (Intersections)'!C3="3-leg unsignalized with exclusive left-turn lane", IF('Ped&amp;Bike (Intersections)'!C10="Multilane Divided",'ReferenceTables (Bike Intersct)'!K55,0))))))</f>
        <v>0</v>
      </c>
      <c r="J26" s="198" t="b">
        <f>IF('Ped&amp;Bike (Intersections)'!C3="3-leg unsignalized with exclusive left-turn lane", IF('Ped&amp;Bike (Intersections)'!C10="Two-Lane Undivided",'ReferenceTables (Bike Intersct)'!C56,IF('Ped&amp;Bike (Intersections)'!C3="3-leg unsignalized with exclusive left-turn lane", IF('Ped&amp;Bike (Intersections)'!C10="Multilane Undivided",'ReferenceTables (Bike Intersct)'!G56,IF('Ped&amp;Bike (Intersections)'!C3="3-leg unsignalized with exclusive left-turn lane", IF('Ped&amp;Bike (Intersections)'!C10="Multilane Divided",'ReferenceTables (Bike Intersct)'!K56,0))))))</f>
        <v>0</v>
      </c>
      <c r="K26" s="198" t="b">
        <f>IF('Ped&amp;Bike (Intersections)'!C3="3-leg unsignalized with exclusive left-turn lane", IF('Ped&amp;Bike (Intersections)'!C10="Two-Lane Undivided",'ReferenceTables (Bike Intersct)'!C57,IF('Ped&amp;Bike (Intersections)'!C3="3-leg unsignalized with exclusive left-turn lane", IF('Ped&amp;Bike (Intersections)'!C10="Multilane Undivided",'ReferenceTables (Bike Intersct)'!G57,IF('Ped&amp;Bike (Intersections)'!C3="3-leg unsignalized with exclusive left-turn lane", IF('Ped&amp;Bike (Intersections)'!C10="Multilane Divided",'ReferenceTables (Bike Intersct)'!K57,0))))))</f>
        <v>0</v>
      </c>
      <c r="L26" s="198" t="b">
        <f>IF('Ped&amp;Bike (Intersections)'!C3="3-leg unsignalized with exclusive left-turn lane", IF('Ped&amp;Bike (Intersections)'!C10="Two-Lane Undivided",'ReferenceTables (Bike Intersct)'!C58,IF('Ped&amp;Bike (Intersections)'!C3="3-leg unsignalized with exclusive left-turn lane", IF('Ped&amp;Bike (Intersections)'!C10="Multilane Undivided",'ReferenceTables (Bike Intersct)'!G58,IF('Ped&amp;Bike (Intersections)'!C3="3-leg unsignalized with exclusive left-turn lane", IF('Ped&amp;Bike (Intersections)'!C10="Multilane Divided",'ReferenceTables (Bike Intersct)'!K58,0))))))</f>
        <v>0</v>
      </c>
    </row>
    <row r="27" spans="2:12" x14ac:dyDescent="0.35">
      <c r="B27" s="198" t="s">
        <v>706</v>
      </c>
      <c r="C27" s="198">
        <v>55</v>
      </c>
      <c r="D27" s="198">
        <v>45</v>
      </c>
      <c r="E27" s="198">
        <v>0.52700000000000002</v>
      </c>
      <c r="I27" s="198" t="b">
        <f>IF('Ped&amp;Bike (Intersections)'!C3="3-leg unsignalized with no exclusive left-turn lane", IF('Ped&amp;Bike (Intersections)'!C10="Two-Lane Undivided",'ReferenceTables (Bike Intersct)'!C55,IF('Ped&amp;Bike (Intersections)'!C3="3-leg unsignalized with no exclusive left-turn lane", IF('Ped&amp;Bike (Intersections)'!C10="Multilane Undivided",'ReferenceTables (Bike Intersct)'!G55,IF('Ped&amp;Bike (Intersections)'!C3="3-leg unsignalized with no exclusive left-turn lane", IF('Ped&amp;Bike (Intersections)'!C10="Multilane Divided",'ReferenceTables (Bike Intersct)'!K55,0))))))</f>
        <v>0</v>
      </c>
      <c r="J27" s="198" t="b">
        <f>IF('Ped&amp;Bike (Intersections)'!C3="3-leg unsignalized with no exclusive left-turn lane", IF('Ped&amp;Bike (Intersections)'!C10="Two-Lane Undivided",'ReferenceTables (Bike Intersct)'!C56,IF('Ped&amp;Bike (Intersections)'!C3="3-leg unsignalized with no exclusive left-turn lane", IF('Ped&amp;Bike (Intersections)'!C10="Multilane Undivided",'ReferenceTables (Bike Intersct)'!G56,IF('Ped&amp;Bike (Intersections)'!C3="3-leg unsignalized with no exclusive left-turn lane", IF('Ped&amp;Bike (Intersections)'!C10="Multilane Divided",'ReferenceTables (Bike Intersct)'!K56,0))))))</f>
        <v>0</v>
      </c>
      <c r="K27" s="198" t="b">
        <f>IF('Ped&amp;Bike (Intersections)'!C3="3-leg unsignalized with no exclusive left-turn lane", IF('Ped&amp;Bike (Intersections)'!C10="Two-Lane Undivided",'ReferenceTables (Bike Intersct)'!C57,IF('Ped&amp;Bike (Intersections)'!C3="3-leg unsignalized with no exclusive left-turn lane", IF('Ped&amp;Bike (Intersections)'!C10="Multilane Undivided",'ReferenceTables (Bike Intersct)'!G57,IF('Ped&amp;Bike (Intersections)'!C3="3-leg unsignalized with no exclusive left-turn lane", IF('Ped&amp;Bike (Intersections)'!C10="Multilane Divided",'ReferenceTables (Bike Intersct)'!K57,0))))))</f>
        <v>0</v>
      </c>
      <c r="L27" s="198" t="b">
        <f>IF('Ped&amp;Bike (Intersections)'!C3="3-leg unsignalized with no exclusive left-turn lane", IF('Ped&amp;Bike (Intersections)'!C10="Two-Lane Undivided",'ReferenceTables (Bike Intersct)'!C58,IF('Ped&amp;Bike (Intersections)'!C3="3-leg unsignalized with no exclusive left-turn lane", IF('Ped&amp;Bike (Intersections)'!C10="Multilane Undivided",'ReferenceTables (Bike Intersct)'!G58,IF('Ped&amp;Bike (Intersections)'!C3="3-leg unsignalized with no exclusive left-turn lane", IF('Ped&amp;Bike (Intersections)'!C10="Multilane Divided",'ReferenceTables (Bike Intersct)'!K58,0))))))</f>
        <v>0</v>
      </c>
    </row>
    <row r="28" spans="2:12" x14ac:dyDescent="0.35">
      <c r="B28" s="198" t="s">
        <v>705</v>
      </c>
      <c r="C28" s="198">
        <v>30</v>
      </c>
      <c r="D28" s="198">
        <v>45</v>
      </c>
      <c r="E28" s="198">
        <v>0.59599999999999997</v>
      </c>
      <c r="I28" s="198">
        <f>IF('Ped&amp;Bike (Intersections)'!C3="3-leg signalized with exclusive left-turn lane", IF('Ped&amp;Bike (Intersections)'!C10="Two-Lane Undivided",'ReferenceTables (Bike Intersct)'!D55,IF('Ped&amp;Bike (Intersections)'!C3="3-leg signalized with exclusive left-turn lane", IF('Ped&amp;Bike (Intersections)'!C10="Multilane Undivided",'ReferenceTables (Bike Intersct)'!H55,IF('Ped&amp;Bike (Intersections)'!C3="3-leg signalized with exclusive left-turn lane", IF('Ped&amp;Bike (Intersections)'!C10="Multilane Divided",'ReferenceTables (Bike Intersct)'!L55,0))))))</f>
        <v>5.0000000000000001E-3</v>
      </c>
      <c r="J28" s="198">
        <f>IF('Ped&amp;Bike (Intersections)'!C3="3-leg signalized with exclusive left-turn lane", IF('Ped&amp;Bike (Intersections)'!C10="Two-Lane Undivided",'ReferenceTables (Bike Intersct)'!D56,IF('Ped&amp;Bike (Intersections)'!C3="3-leg signalized with exclusive left-turn lane", IF('Ped&amp;Bike (Intersections)'!C10="Multilane Undivided",'ReferenceTables (Bike Intersct)'!H56,IF('Ped&amp;Bike (Intersections)'!C3="3-leg signalized with exclusive left-turn lane", IF('Ped&amp;Bike (Intersections)'!C10="Multilane Divided",'ReferenceTables (Bike Intersct)'!L56,0))))))</f>
        <v>5.0000000000000001E-3</v>
      </c>
      <c r="K28" s="198">
        <f>IF('Ped&amp;Bike (Intersections)'!C3="3-leg signalized with exclusive left-turn lane", IF('Ped&amp;Bike (Intersections)'!C10="Two-Lane Undivided",'ReferenceTables (Bike Intersct)'!D57,IF('Ped&amp;Bike (Intersections)'!C3="3-leg signalized with exclusive left-turn lane", IF('Ped&amp;Bike (Intersections)'!C10="Multilane Undivided",'ReferenceTables (Bike Intersct)'!H57,IF('Ped&amp;Bike (Intersections)'!C3="3-leg signalized with exclusive left-turn lane", IF('Ped&amp;Bike (Intersections)'!C10="Multilane Divided",'ReferenceTables (Bike Intersct)'!L57,0))))))</f>
        <v>0.64300000000000002</v>
      </c>
      <c r="L28" s="198">
        <f>IF('Ped&amp;Bike (Intersections)'!C3="3-leg signalized with exclusive left-turn lane", IF('Ped&amp;Bike (Intersections)'!C10="Two-Lane Undivided",'ReferenceTables (Bike Intersct)'!D58,IF('Ped&amp;Bike (Intersections)'!C3="3-leg signalized with exclusive left-turn lane", IF('Ped&amp;Bike (Intersections)'!C10="Multilane Undivided",'ReferenceTables (Bike Intersct)'!H58,IF('Ped&amp;Bike (Intersections)'!C3="3-leg signalized with exclusive left-turn lane", IF('Ped&amp;Bike (Intersections)'!C10="Multilane Divided",'ReferenceTables (Bike Intersct)'!L58,0))))))</f>
        <v>0.34699999999999998</v>
      </c>
    </row>
    <row r="29" spans="2:12" x14ac:dyDescent="0.35">
      <c r="B29" s="198" t="s">
        <v>704</v>
      </c>
      <c r="C29" s="198">
        <v>40</v>
      </c>
      <c r="D29" s="198">
        <v>45</v>
      </c>
      <c r="E29" s="198">
        <v>0.59599999999999997</v>
      </c>
      <c r="I29" s="198" t="b">
        <f>IF('Ped&amp;Bike (Intersections)'!C3="3-leg signalized with no exclusive left-turn lane", IF('Ped&amp;Bike (Intersections)'!C10="Two-Lane Undivided",'ReferenceTables (Bike Intersct)'!D55,IF('Ped&amp;Bike (Intersections)'!C3="3-leg signalized with no exclusive left-turn lane", IF('Ped&amp;Bike (Intersections)'!C10="Multilane Undivided",'ReferenceTables (Bike Intersct)'!H55,IF('Ped&amp;Bike (Intersections)'!C3="3-leg signalized with no exclusive left-turn lane", IF('Ped&amp;Bike (Intersections)'!C10="Multilane Divided",'ReferenceTables (Bike Intersct)'!L55,0))))))</f>
        <v>0</v>
      </c>
      <c r="J29" s="198" t="b">
        <f>IF('Ped&amp;Bike (Intersections)'!C3="3-leg signalized with no exclusive left-turn lane", IF('Ped&amp;Bike (Intersections)'!C10="Two-Lane Undivided",'ReferenceTables (Bike Intersct)'!D56,IF('Ped&amp;Bike (Intersections)'!C3="3-leg signalized with no exclusive left-turn lane", IF('Ped&amp;Bike (Intersections)'!C10="Multilane Undivided",'ReferenceTables (Bike Intersct)'!H56,IF('Ped&amp;Bike (Intersections)'!C3="3-leg signalized with no exclusive left-turn lane", IF('Ped&amp;Bike (Intersections)'!C10="Multilane Divided",'ReferenceTables (Bike Intersct)'!L56,0))))))</f>
        <v>0</v>
      </c>
      <c r="K29" s="198" t="b">
        <f>IF('Ped&amp;Bike (Intersections)'!C3="3-leg signalized with no exclusive left-turn lane", IF('Ped&amp;Bike (Intersections)'!C10="Two-Lane Undivided",'ReferenceTables (Bike Intersct)'!D57,IF('Ped&amp;Bike (Intersections)'!C3="3-leg signalized with no exclusive left-turn lane", IF('Ped&amp;Bike (Intersections)'!C10="Multilane Undivided",'ReferenceTables (Bike Intersct)'!H57,IF('Ped&amp;Bike (Intersections)'!C3="3-leg signalized with no exclusive left-turn lane", IF('Ped&amp;Bike (Intersections)'!C10="Multilane Divided",'ReferenceTables (Bike Intersct)'!L57,0))))))</f>
        <v>0</v>
      </c>
      <c r="L29" s="315" t="b">
        <f>IF('Ped&amp;Bike (Intersections)'!C3="3-leg signalized with no exclusive left-turn lane", IF('Ped&amp;Bike (Intersections)'!C10="Two-Lane Undivided",'ReferenceTables (Bike Intersct)'!D58,IF('Ped&amp;Bike (Intersections)'!C3="3-leg signalized with no exclusive left-turn lane", IF('Ped&amp;Bike (Intersections)'!C10="Multilane Undivided",'ReferenceTables (Bike Intersct)'!H58,IF('Ped&amp;Bike (Intersections)'!C3="3-leg signalized with no exclusive left-turn lane", IF('Ped&amp;Bike (Intersections)'!C10="Multilane Divided",'ReferenceTables (Bike Intersct)'!L58,0))))))</f>
        <v>0</v>
      </c>
    </row>
    <row r="30" spans="2:12" x14ac:dyDescent="0.35">
      <c r="B30" s="198" t="s">
        <v>703</v>
      </c>
      <c r="C30" s="198">
        <v>55</v>
      </c>
      <c r="D30" s="198">
        <v>50</v>
      </c>
      <c r="E30" s="198">
        <v>0.64900000000000002</v>
      </c>
      <c r="I30" s="198" t="b">
        <f>IF('Ped&amp;Bike (Intersections)'!C3="4-leg unsignalized with exclusive left-turn lane", IF('Ped&amp;Bike (Intersections)'!C10="Two-Lane Undivided",'ReferenceTables (Bike Intersct)'!E55,IF('Ped&amp;Bike (Intersections)'!C3="4-leg unsignalized with exclusive left-turn lane", IF('Ped&amp;Bike (Intersections)'!C10="Multilane Undivided",'ReferenceTables (Bike Intersct)'!I55,IF('Ped&amp;Bike (Intersections)'!C3="4-leg unsignalized with exclusive left-turn lane", IF('Ped&amp;Bike (Intersections)'!C10="Multilane Divided",'ReferenceTables (Bike Intersct)'!M55,0))))))</f>
        <v>0</v>
      </c>
      <c r="J30" s="198" t="b">
        <f>IF('Ped&amp;Bike (Intersections)'!C3="4-leg unsignalized with exclusive left-turn lane", IF('Ped&amp;Bike (Intersections)'!C10="Two-Lane Undivided",'ReferenceTables (Bike Intersct)'!E56,IF('Ped&amp;Bike (Intersections)'!C3="4-leg unsignalized with exclusive left-turn lane", IF('Ped&amp;Bike (Intersections)'!C10="Multilane Undivided",'ReferenceTables (Bike Intersct)'!I56,IF('Ped&amp;Bike (Intersections)'!C3="4-leg unsignalized with exclusive left-turn lane", IF('Ped&amp;Bike (Intersections)'!C10="Multilane Divided",'ReferenceTables (Bike Intersct)'!M56,0))))))</f>
        <v>0</v>
      </c>
      <c r="K30" s="198" t="b">
        <f>IF('Ped&amp;Bike (Intersections)'!C3="4-leg unsignalized with exclusive left-turn lane", IF('Ped&amp;Bike (Intersections)'!C10="Two-Lane Undivided",'ReferenceTables (Bike Intersct)'!E57,IF('Ped&amp;Bike (Intersections)'!C3="4-leg unsignalized with exclusive left-turn lane", IF('Ped&amp;Bike (Intersections)'!C10="Multilane Undivided",'ReferenceTables (Bike Intersct)'!I57,IF('Ped&amp;Bike (Intersections)'!C3="4-leg unsignalized with exclusive left-turn lane", IF('Ped&amp;Bike (Intersections)'!C10="Multilane Divided",'ReferenceTables (Bike Intersct)'!M57,0))))))</f>
        <v>0</v>
      </c>
      <c r="L30" s="198" t="b">
        <f>IF('Ped&amp;Bike (Intersections)'!C3="4-leg unsignalized with exclusive left-turn lane", IF('Ped&amp;Bike (Intersections)'!C10="Two-Lane Undivided",'ReferenceTables (Bike Intersct)'!E58,IF('Ped&amp;Bike (Intersections)'!C3="4-leg unsignalized with exclusive left-turn lane", IF('Ped&amp;Bike (Intersections)'!C10="Multilane Undivided",'ReferenceTables (Bike Intersct)'!I58,IF('Ped&amp;Bike (Intersections)'!C3="4-leg unsignalized with exclusive left-turn lane", IF('Ped&amp;Bike (Intersections)'!C10="Multilane Divided",'ReferenceTables (Bike Intersct)'!M58,0))))))</f>
        <v>0</v>
      </c>
    </row>
    <row r="31" spans="2:12" x14ac:dyDescent="0.35">
      <c r="B31" s="198" t="s">
        <v>702</v>
      </c>
      <c r="C31" s="198">
        <v>80</v>
      </c>
      <c r="D31" s="198">
        <v>50</v>
      </c>
      <c r="E31" s="198">
        <v>0.64900000000000002</v>
      </c>
      <c r="I31" s="198" t="b">
        <f>IF('Ped&amp;Bike (Intersections)'!C3="4-leg unsignalized with no exclusive left-turn lane", IF('Ped&amp;Bike (Intersections)'!C10="Two-Lane Undivided",'ReferenceTables (Bike Intersct)'!E55,IF('Ped&amp;Bike (Intersections)'!C3="4-leg unsignalized with no exclusive left-turn lane", IF('Ped&amp;Bike (Intersections)'!C10="Multilane Undivided",'ReferenceTables (Bike Intersct)'!I55,IF('Ped&amp;Bike (Intersections)'!C3="4-leg unsignalized with no exclusive left-turn lane", IF('Ped&amp;Bike (Intersections)'!C10="Multilane Divided",'ReferenceTables (Bike Intersct)'!M55,0))))))</f>
        <v>0</v>
      </c>
      <c r="J31" s="198" t="b">
        <f>IF('Ped&amp;Bike (Intersections)'!C3="4-leg unsignalized with no exclusive left-turn lane", IF('Ped&amp;Bike (Intersections)'!C10="Two-Lane Undivided",'ReferenceTables (Bike Intersct)'!E56,IF('Ped&amp;Bike (Intersections)'!C3="4-leg unsignalized with no exclusive left-turn lane", IF('Ped&amp;Bike (Intersections)'!C10="Multilane Undivided",'ReferenceTables (Bike Intersct)'!I56,IF('Ped&amp;Bike (Intersections)'!C3="4-leg unsignalized with no exclusive left-turn lane", IF('Ped&amp;Bike (Intersections)'!C10="Multilane Divided",'ReferenceTables (Bike Intersct)'!M56,0))))))</f>
        <v>0</v>
      </c>
      <c r="K31" s="198" t="b">
        <f>IF('Ped&amp;Bike (Intersections)'!C3="4-leg unsignalized with no exclusive left-turn lane", IF('Ped&amp;Bike (Intersections)'!C10="Two-Lane Undivided",'ReferenceTables (Bike Intersct)'!E57,IF('Ped&amp;Bike (Intersections)'!C3="4-leg unsignalized with no exclusive left-turn lane", IF('Ped&amp;Bike (Intersections)'!C10="Multilane Undivided",'ReferenceTables (Bike Intersct)'!I57,IF('Ped&amp;Bike (Intersections)'!C3="4-leg unsignalized with no exclusive left-turn lane", IF('Ped&amp;Bike (Intersections)'!C10="Multilane Divided",'ReferenceTables (Bike Intersct)'!M57,0))))))</f>
        <v>0</v>
      </c>
      <c r="L31" s="198" t="b">
        <f>IF('Ped&amp;Bike (Intersections)'!C3="4-leg unsignalized with no exclusive left-turn lane", IF('Ped&amp;Bike (Intersections)'!C10="Two-Lane Undivided",'ReferenceTables (Bike Intersct)'!E58,IF('Ped&amp;Bike (Intersections)'!C3="4-leg unsignalized with no exclusive left-turn lane", IF('Ped&amp;Bike (Intersections)'!C10="Multilane Undivided",'ReferenceTables (Bike Intersct)'!I58,IF('Ped&amp;Bike (Intersections)'!C3="4-leg unsignalized with no exclusive left-turn lane", IF('Ped&amp;Bike (Intersections)'!C10="Multilane Divided",'ReferenceTables (Bike Intersct)'!M58,0))))))</f>
        <v>0</v>
      </c>
    </row>
    <row r="32" spans="2:12" x14ac:dyDescent="0.35">
      <c r="B32" s="198" t="s">
        <v>701</v>
      </c>
      <c r="C32" s="198">
        <v>35</v>
      </c>
      <c r="D32" s="198">
        <v>50</v>
      </c>
      <c r="E32" s="198">
        <v>0.61899999999999999</v>
      </c>
      <c r="I32" s="198" t="b">
        <f>IF('Ped&amp;Bike (Intersections)'!C3="4-leg signalized with exclusive left-turn lane", IF('Ped&amp;Bike (Intersections)'!C10="Two-Lane Undivided",'ReferenceTables (Bike Intersct)'!F55,IF('Ped&amp;Bike (Intersections)'!C3="4-leg signalized with exclusive left-turn lane", IF('Ped&amp;Bike (Intersections)'!C10="Multilane Undivided",'ReferenceTables (Bike Intersct)'!J55,IF('Ped&amp;Bike (Intersections)'!C3="4-leg signalized with exclusive left-turn lane", IF('Ped&amp;Bike (Intersections)'!C10="Multilane Divided",'ReferenceTables (Bike Intersct)'!N55,0))))))</f>
        <v>0</v>
      </c>
      <c r="J32" s="198" t="b">
        <f>IF('Ped&amp;Bike (Intersections)'!C3="4-leg signalized with exclusive left-turn lane", IF('Ped&amp;Bike (Intersections)'!C10="Two-Lane Undivided",'ReferenceTables (Bike Intersct)'!F56,IF('Ped&amp;Bike (Intersections)'!C3="4-leg signalized with exclusive left-turn lane", IF('Ped&amp;Bike (Intersections)'!C10="Multilane Undivided",'ReferenceTables (Bike Intersct)'!J56,IF('Ped&amp;Bike (Intersections)'!C3="4-leg signalized with exclusive left-turn lane", IF('Ped&amp;Bike (Intersections)'!C10="Multilane Divided",'ReferenceTables (Bike Intersct)'!N56,0))))))</f>
        <v>0</v>
      </c>
      <c r="K32" s="198" t="b">
        <f>IF('Ped&amp;Bike (Intersections)'!C3="4-leg signalized with exclusive left-turn lane", IF('Ped&amp;Bike (Intersections)'!C10="Two-Lane Undivided",'ReferenceTables (Bike Intersct)'!F57,IF('Ped&amp;Bike (Intersections)'!C3="4-leg signalized with exclusive left-turn lane", IF('Ped&amp;Bike (Intersections)'!C10="Multilane Undivided",'ReferenceTables (Bike Intersct)'!J57,IF('Ped&amp;Bike (Intersections)'!C3="4-leg signalized with exclusive left-turn lane", IF('Ped&amp;Bike (Intersections)'!C10="Multilane Divided",'ReferenceTables (Bike Intersct)'!N57,0))))))</f>
        <v>0</v>
      </c>
      <c r="L32" s="198" t="b">
        <f>IF('Ped&amp;Bike (Intersections)'!C3="4-leg signalized with exclusive left-turn lane", IF('Ped&amp;Bike (Intersections)'!C10="Two-Lane Undivided",'ReferenceTables (Bike Intersct)'!F58,IF('Ped&amp;Bike (Intersections)'!C3="4-leg signalized with exclusive left-turn lane", IF('Ped&amp;Bike (Intersections)'!C10="Multilane Undivided",'ReferenceTables (Bike Intersct)'!J58,IF('Ped&amp;Bike (Intersections)'!C3="4-leg signalized with exclusive left-turn lane", IF('Ped&amp;Bike (Intersections)'!C10="Multilane Divided",'ReferenceTables (Bike Intersct)'!N58,0))))))</f>
        <v>0</v>
      </c>
    </row>
    <row r="33" spans="2:12" x14ac:dyDescent="0.35">
      <c r="B33" s="198" t="s">
        <v>687</v>
      </c>
      <c r="C33" s="198">
        <v>50</v>
      </c>
      <c r="D33" s="198">
        <v>50</v>
      </c>
      <c r="E33" s="198">
        <v>0.61899999999999999</v>
      </c>
      <c r="I33" s="198" t="b">
        <f>IF('Ped&amp;Bike (Intersections)'!C3="4-leg signalized with no exclusive left-turn lane", IF('Ped&amp;Bike (Intersections)'!C10="Two-Lane Undivided",'ReferenceTables (Bike Intersct)'!F55,IF('Ped&amp;Bike (Intersections)'!C3="4-leg signalized with no exclusive left-turn lane", IF('Ped&amp;Bike (Intersections)'!C10="Multilane Undivided",'ReferenceTables (Bike Intersct)'!J55,IF('Ped&amp;Bike (Intersections)'!C3="4-leg signalized with no exclusive left-turn lane", IF('Ped&amp;Bike (Intersections)'!C10="Multilane Divided",'ReferenceTables (Bike Intersct)'!N55,0))))))</f>
        <v>0</v>
      </c>
      <c r="J33" s="198" t="b">
        <f>IF('Ped&amp;Bike (Intersections)'!C3="4-leg signalized with no exclusive left-turn lane", IF('Ped&amp;Bike (Intersections)'!C10="Two-Lane Undivided",'ReferenceTables (Bike Intersct)'!F56,IF('Ped&amp;Bike (Intersections)'!C3="4-leg signalized with no exclusive left-turn lane", IF('Ped&amp;Bike (Intersections)'!C10="Multilane Undivided",'ReferenceTables (Bike Intersct)'!J56,IF('Ped&amp;Bike (Intersections)'!C3="4-leg signalized with no exclusive left-turn lane", IF('Ped&amp;Bike (Intersections)'!C10="Multilane Divided",'ReferenceTables (Bike Intersct)'!N56,0))))))</f>
        <v>0</v>
      </c>
      <c r="K33" s="198" t="b">
        <f>IF('Ped&amp;Bike (Intersections)'!C3="4-leg signalized with no exclusive left-turn lane", IF('Ped&amp;Bike (Intersections)'!C10="Two-Lane Undivided",'ReferenceTables (Bike Intersct)'!F57,IF('Ped&amp;Bike (Intersections)'!C3="4-leg signalized with no exclusive left-turn lane", IF('Ped&amp;Bike (Intersections)'!C10="Multilane Undivided",'ReferenceTables (Bike Intersct)'!J57,IF('Ped&amp;Bike (Intersections)'!C3="4-leg signalized with no exclusive left-turn lane", IF('Ped&amp;Bike (Intersections)'!C10="Multilane Divided",'ReferenceTables (Bike Intersct)'!N57,0))))))</f>
        <v>0</v>
      </c>
      <c r="L33" s="198" t="b">
        <f>IF('Ped&amp;Bike (Intersections)'!C3="4-leg signalized with no exclusive left-turn lane", IF('Ped&amp;Bike (Intersections)'!C10="Two-Lane Undivided",'ReferenceTables (Bike Intersct)'!F58,IF('Ped&amp;Bike (Intersections)'!C3="4-leg signalized with no exclusive left-turn lane", IF('Ped&amp;Bike (Intersections)'!C10="Multilane Undivided",'ReferenceTables (Bike Intersct)'!J58,IF('Ped&amp;Bike (Intersections)'!C3="4-leg signalized with no exclusive left-turn lane", IF('Ped&amp;Bike (Intersections)'!C10="Multilane Divided",'ReferenceTables (Bike Intersct)'!N58,0))))))</f>
        <v>0</v>
      </c>
    </row>
    <row r="37" spans="2:12" ht="18.5" x14ac:dyDescent="0.45">
      <c r="B37" s="224" t="s">
        <v>1292</v>
      </c>
    </row>
    <row r="38" spans="2:12" ht="18.5" x14ac:dyDescent="0.45">
      <c r="B38" s="223" t="s">
        <v>847</v>
      </c>
      <c r="C38" s="212" t="s">
        <v>846</v>
      </c>
    </row>
    <row r="39" spans="2:12" x14ac:dyDescent="0.35">
      <c r="B39" s="198" t="s">
        <v>627</v>
      </c>
      <c r="C39" s="198">
        <v>1</v>
      </c>
    </row>
    <row r="40" spans="2:12" x14ac:dyDescent="0.35">
      <c r="B40" s="198" t="s">
        <v>600</v>
      </c>
      <c r="C40" s="198">
        <v>1.2</v>
      </c>
    </row>
    <row r="41" spans="2:12" x14ac:dyDescent="0.35">
      <c r="B41" s="198" t="s">
        <v>845</v>
      </c>
      <c r="C41" s="198">
        <v>1</v>
      </c>
    </row>
    <row r="43" spans="2:12" ht="18.5" x14ac:dyDescent="0.45">
      <c r="B43" s="224" t="s">
        <v>1293</v>
      </c>
    </row>
    <row r="44" spans="2:12" ht="18.5" x14ac:dyDescent="0.45">
      <c r="B44" s="223" t="s">
        <v>662</v>
      </c>
      <c r="C44" s="212" t="s">
        <v>844</v>
      </c>
    </row>
    <row r="45" spans="2:12" x14ac:dyDescent="0.35">
      <c r="B45" s="198" t="s">
        <v>596</v>
      </c>
      <c r="C45" s="198">
        <v>1.2</v>
      </c>
    </row>
    <row r="46" spans="2:12" x14ac:dyDescent="0.35">
      <c r="B46" s="198" t="s">
        <v>55</v>
      </c>
      <c r="C46" s="198">
        <v>1</v>
      </c>
    </row>
    <row r="48" spans="2:12" ht="18.5" x14ac:dyDescent="0.45">
      <c r="B48" s="224" t="s">
        <v>1281</v>
      </c>
    </row>
    <row r="49" spans="2:14" ht="18.5" x14ac:dyDescent="0.45">
      <c r="B49" s="223" t="s">
        <v>597</v>
      </c>
      <c r="C49" s="212" t="s">
        <v>843</v>
      </c>
    </row>
    <row r="50" spans="2:14" x14ac:dyDescent="0.35">
      <c r="B50" s="198" t="s">
        <v>55</v>
      </c>
      <c r="C50" s="198">
        <v>1</v>
      </c>
    </row>
    <row r="51" spans="2:14" x14ac:dyDescent="0.35">
      <c r="B51" s="198" t="s">
        <v>596</v>
      </c>
      <c r="C51" s="198">
        <v>1.25</v>
      </c>
    </row>
    <row r="53" spans="2:14" ht="18.5" x14ac:dyDescent="0.45">
      <c r="B53" s="224" t="s">
        <v>1294</v>
      </c>
      <c r="G53" s="294"/>
      <c r="H53" s="294"/>
      <c r="I53" s="294"/>
      <c r="J53" s="294"/>
      <c r="K53" s="294"/>
      <c r="L53" s="294"/>
    </row>
    <row r="54" spans="2:14" ht="18.5" x14ac:dyDescent="0.45">
      <c r="B54" s="223" t="s">
        <v>807</v>
      </c>
      <c r="C54" s="212" t="s">
        <v>1071</v>
      </c>
      <c r="D54" s="212" t="s">
        <v>1072</v>
      </c>
      <c r="E54" s="212" t="s">
        <v>1073</v>
      </c>
      <c r="F54" s="212" t="s">
        <v>1074</v>
      </c>
      <c r="G54" s="212" t="s">
        <v>1075</v>
      </c>
      <c r="H54" s="212" t="s">
        <v>1076</v>
      </c>
      <c r="I54" s="212" t="s">
        <v>1077</v>
      </c>
      <c r="J54" s="212" t="s">
        <v>1078</v>
      </c>
      <c r="K54" s="212" t="s">
        <v>1079</v>
      </c>
      <c r="L54" s="212" t="s">
        <v>1080</v>
      </c>
      <c r="M54" s="212" t="s">
        <v>1081</v>
      </c>
      <c r="N54" s="212" t="s">
        <v>1082</v>
      </c>
    </row>
    <row r="55" spans="2:14" x14ac:dyDescent="0.35">
      <c r="B55" s="198" t="s">
        <v>829</v>
      </c>
      <c r="C55" s="198">
        <v>5.6000000000000001E-2</v>
      </c>
      <c r="D55" s="198">
        <v>5.0000000000000001E-3</v>
      </c>
      <c r="E55" s="198">
        <v>7.6999999999999999E-2</v>
      </c>
      <c r="F55" s="198">
        <v>8.9999999999999993E-3</v>
      </c>
      <c r="G55" s="198">
        <v>1.9E-2</v>
      </c>
      <c r="H55" s="198">
        <v>5.0000000000000001E-3</v>
      </c>
      <c r="I55" s="198">
        <v>1.0999999999999999E-2</v>
      </c>
      <c r="J55" s="294">
        <v>7.6999999999999999E-2</v>
      </c>
      <c r="K55" s="198">
        <v>2.1000000000000001E-2</v>
      </c>
      <c r="L55" s="198">
        <v>5.0000000000000001E-3</v>
      </c>
      <c r="M55" s="198">
        <v>4.9000000000000002E-2</v>
      </c>
      <c r="N55" s="198">
        <v>1.6E-2</v>
      </c>
    </row>
    <row r="56" spans="2:14" x14ac:dyDescent="0.35">
      <c r="B56" s="198" t="s">
        <v>828</v>
      </c>
      <c r="C56" s="198">
        <v>0.111</v>
      </c>
      <c r="D56" s="198">
        <v>5.0000000000000001E-3</v>
      </c>
      <c r="E56" s="198">
        <v>7.6999999999999999E-2</v>
      </c>
      <c r="F56" s="198">
        <v>8.9999999999999993E-3</v>
      </c>
      <c r="G56" s="198">
        <v>1.9E-2</v>
      </c>
      <c r="H56" s="198">
        <v>5.0000000000000001E-3</v>
      </c>
      <c r="I56" s="198">
        <v>1.0999999999999999E-2</v>
      </c>
      <c r="J56" s="294">
        <v>7.6999999999999999E-2</v>
      </c>
      <c r="K56" s="198">
        <v>0.109</v>
      </c>
      <c r="L56" s="198">
        <v>5.0000000000000001E-3</v>
      </c>
      <c r="M56" s="198">
        <v>4.9000000000000002E-2</v>
      </c>
      <c r="N56" s="198">
        <v>4.1000000000000002E-2</v>
      </c>
    </row>
    <row r="57" spans="2:14" x14ac:dyDescent="0.35">
      <c r="B57" s="198" t="s">
        <v>827</v>
      </c>
      <c r="C57" s="198">
        <v>0.5</v>
      </c>
      <c r="D57" s="198">
        <v>0.64300000000000002</v>
      </c>
      <c r="E57" s="198">
        <v>0.61499999999999999</v>
      </c>
      <c r="F57" s="198">
        <v>0.44600000000000001</v>
      </c>
      <c r="G57" s="198">
        <v>0.38500000000000001</v>
      </c>
      <c r="H57" s="198">
        <v>0.64300000000000002</v>
      </c>
      <c r="I57" s="198">
        <v>0.76100000000000001</v>
      </c>
      <c r="J57" s="294">
        <v>0.308</v>
      </c>
      <c r="K57" s="198">
        <v>0.34799999999999998</v>
      </c>
      <c r="L57" s="198">
        <v>0.64300000000000002</v>
      </c>
      <c r="M57" s="198">
        <v>0.53600000000000003</v>
      </c>
      <c r="N57" s="198">
        <v>0.46800000000000003</v>
      </c>
    </row>
    <row r="58" spans="2:14" x14ac:dyDescent="0.35">
      <c r="B58" s="198" t="s">
        <v>826</v>
      </c>
      <c r="C58" s="198">
        <v>0.33300000000000002</v>
      </c>
      <c r="D58" s="198">
        <v>0.34699999999999998</v>
      </c>
      <c r="E58" s="198">
        <v>0.23100000000000001</v>
      </c>
      <c r="F58" s="198">
        <v>0.53600000000000003</v>
      </c>
      <c r="G58" s="198">
        <v>0.57699999999999996</v>
      </c>
      <c r="H58" s="198">
        <v>0.34699999999999998</v>
      </c>
      <c r="I58" s="198">
        <v>0.217</v>
      </c>
      <c r="J58" s="294">
        <v>0.308</v>
      </c>
      <c r="K58" s="198">
        <v>0.52200000000000002</v>
      </c>
      <c r="L58" s="198">
        <v>0.34699999999999998</v>
      </c>
      <c r="M58" s="198">
        <v>0.36599999999999999</v>
      </c>
      <c r="N58" s="198">
        <v>0.47499999999999998</v>
      </c>
    </row>
    <row r="59" spans="2:14" x14ac:dyDescent="0.35">
      <c r="J59" s="294">
        <f t="shared" ref="J59" si="0">SUM(J55:J58)</f>
        <v>0.77</v>
      </c>
    </row>
    <row r="60" spans="2:14" ht="18.5" x14ac:dyDescent="0.45">
      <c r="B60" s="224" t="s">
        <v>1283</v>
      </c>
    </row>
    <row r="61" spans="2:14" ht="18.5" x14ac:dyDescent="0.45">
      <c r="B61" s="223" t="s">
        <v>724</v>
      </c>
      <c r="C61" s="212" t="s">
        <v>842</v>
      </c>
    </row>
    <row r="62" spans="2:14" x14ac:dyDescent="0.35">
      <c r="B62" s="222" t="s">
        <v>722</v>
      </c>
      <c r="C62" s="198">
        <v>1.0999999999999999E-2</v>
      </c>
    </row>
    <row r="63" spans="2:14" x14ac:dyDescent="0.35">
      <c r="B63" s="198">
        <v>25</v>
      </c>
      <c r="C63" s="198">
        <v>3.1E-2</v>
      </c>
    </row>
    <row r="64" spans="2:14" x14ac:dyDescent="0.35">
      <c r="B64" s="198">
        <v>30</v>
      </c>
      <c r="C64" s="198">
        <v>6.4000000000000001E-2</v>
      </c>
    </row>
    <row r="65" spans="2:3" x14ac:dyDescent="0.35">
      <c r="B65" s="198">
        <v>35</v>
      </c>
      <c r="C65" s="198">
        <v>0.112</v>
      </c>
    </row>
    <row r="66" spans="2:3" x14ac:dyDescent="0.35">
      <c r="B66" s="198">
        <v>40</v>
      </c>
      <c r="C66" s="198">
        <v>0.17799999999999999</v>
      </c>
    </row>
    <row r="67" spans="2:3" x14ac:dyDescent="0.35">
      <c r="B67" s="198">
        <v>45</v>
      </c>
      <c r="C67" s="198">
        <v>0.26400000000000001</v>
      </c>
    </row>
    <row r="68" spans="2:3" x14ac:dyDescent="0.35">
      <c r="B68" s="198">
        <v>50</v>
      </c>
      <c r="C68" s="198">
        <v>0.372</v>
      </c>
    </row>
    <row r="69" spans="2:3" x14ac:dyDescent="0.35">
      <c r="B69" s="198">
        <v>55</v>
      </c>
      <c r="C69" s="198">
        <v>0.505</v>
      </c>
    </row>
    <row r="70" spans="2:3" x14ac:dyDescent="0.35">
      <c r="B70" s="198">
        <v>60</v>
      </c>
      <c r="C70" s="198">
        <v>0.64300000000000002</v>
      </c>
    </row>
    <row r="71" spans="2:3" x14ac:dyDescent="0.35">
      <c r="B71" s="198">
        <v>65</v>
      </c>
      <c r="C71" s="198">
        <v>0.69699999999999995</v>
      </c>
    </row>
    <row r="72" spans="2:3" x14ac:dyDescent="0.35">
      <c r="B72" s="198">
        <v>70</v>
      </c>
      <c r="C72" s="198">
        <v>0.751</v>
      </c>
    </row>
    <row r="73" spans="2:3" x14ac:dyDescent="0.35">
      <c r="B73" s="198">
        <v>75</v>
      </c>
      <c r="C73" s="198">
        <v>0.80400000000000005</v>
      </c>
    </row>
    <row r="74" spans="2:3" x14ac:dyDescent="0.35">
      <c r="B74" s="198">
        <v>80</v>
      </c>
      <c r="C74" s="198">
        <v>0.85799999999999998</v>
      </c>
    </row>
    <row r="75" spans="2:3" x14ac:dyDescent="0.35">
      <c r="B75" s="198">
        <v>85</v>
      </c>
      <c r="C75" s="198">
        <v>0.91200000000000003</v>
      </c>
    </row>
    <row r="76" spans="2:3" x14ac:dyDescent="0.35">
      <c r="B76" s="222" t="s">
        <v>721</v>
      </c>
      <c r="C76" s="198">
        <v>0.96599999999999997</v>
      </c>
    </row>
    <row r="79" spans="2:3" ht="18.5" x14ac:dyDescent="0.45">
      <c r="B79" s="223"/>
    </row>
    <row r="91" spans="2:3" ht="18.5" x14ac:dyDescent="0.45">
      <c r="B91" s="224" t="s">
        <v>1295</v>
      </c>
    </row>
    <row r="92" spans="2:3" ht="18.5" x14ac:dyDescent="0.45">
      <c r="B92" s="223" t="s">
        <v>1285</v>
      </c>
      <c r="C92" s="212" t="s">
        <v>841</v>
      </c>
    </row>
    <row r="93" spans="2:3" x14ac:dyDescent="0.35">
      <c r="B93" s="222" t="s">
        <v>156</v>
      </c>
      <c r="C93" s="198">
        <v>0</v>
      </c>
    </row>
    <row r="94" spans="2:3" x14ac:dyDescent="0.35">
      <c r="B94" s="222" t="s">
        <v>718</v>
      </c>
      <c r="C94" s="198">
        <v>1E-3</v>
      </c>
    </row>
    <row r="95" spans="2:3" x14ac:dyDescent="0.35">
      <c r="B95" s="222" t="s">
        <v>608</v>
      </c>
      <c r="C95" s="198">
        <v>2E-3</v>
      </c>
    </row>
    <row r="96" spans="2:3" x14ac:dyDescent="0.35">
      <c r="B96" s="222" t="s">
        <v>636</v>
      </c>
      <c r="C96" s="198">
        <v>2E-3</v>
      </c>
    </row>
    <row r="97" spans="2:3" x14ac:dyDescent="0.35">
      <c r="B97" s="222" t="s">
        <v>717</v>
      </c>
      <c r="C97" s="198">
        <v>3.0000000000000001E-3</v>
      </c>
    </row>
    <row r="98" spans="2:3" x14ac:dyDescent="0.35">
      <c r="B98" s="222" t="s">
        <v>716</v>
      </c>
      <c r="C98" s="198">
        <v>4.0000000000000001E-3</v>
      </c>
    </row>
    <row r="99" spans="2:3" x14ac:dyDescent="0.35">
      <c r="B99" s="222" t="s">
        <v>669</v>
      </c>
      <c r="C99" s="198">
        <v>5.0000000000000001E-3</v>
      </c>
    </row>
    <row r="100" spans="2:3" x14ac:dyDescent="0.35">
      <c r="B100" s="222" t="s">
        <v>715</v>
      </c>
      <c r="C100" s="198">
        <v>6.0000000000000001E-3</v>
      </c>
    </row>
    <row r="101" spans="2:3" x14ac:dyDescent="0.35">
      <c r="B101" s="222" t="s">
        <v>714</v>
      </c>
      <c r="C101" s="198">
        <v>6.0000000000000001E-3</v>
      </c>
    </row>
    <row r="102" spans="2:3" x14ac:dyDescent="0.35">
      <c r="B102" s="222" t="s">
        <v>713</v>
      </c>
      <c r="C102" s="198">
        <v>7.0000000000000001E-3</v>
      </c>
    </row>
    <row r="103" spans="2:3" x14ac:dyDescent="0.35">
      <c r="B103" s="222" t="s">
        <v>712</v>
      </c>
      <c r="C103" s="198">
        <v>8.9999999999999993E-3</v>
      </c>
    </row>
  </sheetData>
  <pageMargins left="0.7" right="0.7" top="0.75" bottom="0.75" header="0.51180555555555496" footer="0.51180555555555496"/>
  <pageSetup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B1:AE123"/>
  <sheetViews>
    <sheetView topLeftCell="A98" zoomScale="120" zoomScaleNormal="120" workbookViewId="0">
      <selection activeCell="F114" sqref="F114"/>
    </sheetView>
  </sheetViews>
  <sheetFormatPr defaultRowHeight="12.5" x14ac:dyDescent="0.25"/>
  <cols>
    <col min="1" max="1" width="13.7265625" customWidth="1"/>
    <col min="2" max="2" width="16.54296875" customWidth="1"/>
    <col min="3" max="3" width="25.54296875" customWidth="1"/>
    <col min="4" max="5" width="19.1796875" customWidth="1"/>
    <col min="6" max="6" width="17.26953125" customWidth="1"/>
    <col min="7" max="8" width="13.7265625" customWidth="1"/>
    <col min="9" max="9" width="17.54296875" customWidth="1"/>
    <col min="10" max="10" width="24.54296875" customWidth="1"/>
    <col min="11" max="11" width="19.7265625" customWidth="1"/>
    <col min="12" max="12" width="15.26953125" customWidth="1"/>
    <col min="13" max="13" width="19.7265625" customWidth="1"/>
    <col min="14" max="33" width="13.7265625" customWidth="1"/>
  </cols>
  <sheetData>
    <row r="1" spans="2:31" ht="13" x14ac:dyDescent="0.3">
      <c r="B1" s="70" t="s">
        <v>378</v>
      </c>
      <c r="Y1" s="70" t="s">
        <v>401</v>
      </c>
    </row>
    <row r="2" spans="2:31" ht="13" thickBot="1" x14ac:dyDescent="0.3"/>
    <row r="3" spans="2:31" ht="13" thickTop="1" x14ac:dyDescent="0.25">
      <c r="B3" s="1050" t="s">
        <v>489</v>
      </c>
      <c r="C3" s="1050"/>
      <c r="D3" s="1050"/>
      <c r="E3" s="1050"/>
      <c r="F3" s="1050"/>
      <c r="I3" s="1050" t="s">
        <v>492</v>
      </c>
      <c r="J3" s="1050"/>
      <c r="K3" s="1050"/>
      <c r="L3" s="1050"/>
      <c r="M3" s="1050"/>
      <c r="P3" s="1050" t="s">
        <v>495</v>
      </c>
      <c r="Q3" s="1050"/>
      <c r="R3" s="1050"/>
      <c r="S3" s="1050"/>
      <c r="T3" s="1050"/>
      <c r="U3" s="1050"/>
      <c r="V3" s="1050"/>
      <c r="Y3" s="1050" t="s">
        <v>501</v>
      </c>
      <c r="Z3" s="1017"/>
      <c r="AA3" s="1017"/>
      <c r="AB3" s="1017"/>
      <c r="AC3" s="1017"/>
      <c r="AD3" s="1051"/>
      <c r="AE3" s="1051"/>
    </row>
    <row r="4" spans="2:31" ht="13" thickBot="1" x14ac:dyDescent="0.3">
      <c r="B4" s="1042"/>
      <c r="C4" s="1042"/>
      <c r="D4" s="1042"/>
      <c r="E4" s="1042"/>
      <c r="F4" s="1042"/>
      <c r="I4" s="1042"/>
      <c r="J4" s="1042"/>
      <c r="K4" s="1042"/>
      <c r="L4" s="1042"/>
      <c r="M4" s="1042"/>
      <c r="P4" s="1042"/>
      <c r="Q4" s="1042"/>
      <c r="R4" s="1042"/>
      <c r="S4" s="1042"/>
      <c r="T4" s="1042"/>
      <c r="U4" s="1042"/>
      <c r="V4" s="1042"/>
      <c r="Y4" s="1018"/>
      <c r="Z4" s="1018"/>
      <c r="AA4" s="1018"/>
      <c r="AB4" s="1018"/>
      <c r="AC4" s="1018"/>
      <c r="AD4" s="1053"/>
      <c r="AE4" s="1053"/>
    </row>
    <row r="5" spans="2:31" ht="13" x14ac:dyDescent="0.3">
      <c r="B5" s="1083" t="s">
        <v>380</v>
      </c>
      <c r="C5" s="97" t="s">
        <v>383</v>
      </c>
      <c r="D5" s="97"/>
      <c r="E5" s="97"/>
      <c r="F5" s="1047" t="s">
        <v>202</v>
      </c>
      <c r="I5" s="1083" t="s">
        <v>380</v>
      </c>
      <c r="J5" s="97" t="s">
        <v>385</v>
      </c>
      <c r="K5" s="97"/>
      <c r="L5" s="97"/>
      <c r="M5" s="1047" t="s">
        <v>202</v>
      </c>
      <c r="P5" s="1083" t="s">
        <v>380</v>
      </c>
      <c r="Q5" s="97" t="s">
        <v>389</v>
      </c>
      <c r="R5" s="97"/>
      <c r="S5" s="97"/>
      <c r="T5" s="97"/>
      <c r="U5" s="97"/>
      <c r="V5" s="1047" t="s">
        <v>202</v>
      </c>
      <c r="Y5" s="1160" t="s">
        <v>399</v>
      </c>
      <c r="Z5" s="640" t="s">
        <v>402</v>
      </c>
      <c r="AA5" s="1161"/>
      <c r="AB5" s="640" t="s">
        <v>412</v>
      </c>
      <c r="AC5" s="801"/>
      <c r="AD5" s="801"/>
      <c r="AE5" s="801"/>
    </row>
    <row r="6" spans="2:31" ht="15" x14ac:dyDescent="0.4">
      <c r="B6" s="1084"/>
      <c r="C6" s="99" t="s">
        <v>206</v>
      </c>
      <c r="D6" s="98" t="s">
        <v>381</v>
      </c>
      <c r="E6" s="98" t="s">
        <v>382</v>
      </c>
      <c r="F6" s="1048"/>
      <c r="I6" s="1084"/>
      <c r="J6" s="99" t="s">
        <v>206</v>
      </c>
      <c r="K6" s="98" t="s">
        <v>381</v>
      </c>
      <c r="L6" s="98" t="s">
        <v>382</v>
      </c>
      <c r="M6" s="1048"/>
      <c r="P6" s="1084"/>
      <c r="Q6" s="99" t="s">
        <v>206</v>
      </c>
      <c r="R6" s="98" t="s">
        <v>390</v>
      </c>
      <c r="S6" s="98" t="s">
        <v>391</v>
      </c>
      <c r="T6" s="98" t="s">
        <v>393</v>
      </c>
      <c r="U6" s="98" t="s">
        <v>395</v>
      </c>
      <c r="V6" s="1048"/>
      <c r="Y6" s="770"/>
      <c r="Z6" s="790"/>
      <c r="AA6" s="1161"/>
      <c r="AB6" s="802"/>
      <c r="AC6" s="803"/>
      <c r="AD6" s="803"/>
      <c r="AE6" s="803"/>
    </row>
    <row r="7" spans="2:31" ht="13" x14ac:dyDescent="0.3">
      <c r="B7" s="885"/>
      <c r="C7" s="100" t="s">
        <v>204</v>
      </c>
      <c r="D7" s="72" t="s">
        <v>205</v>
      </c>
      <c r="E7" s="72" t="s">
        <v>379</v>
      </c>
      <c r="F7" s="1049"/>
      <c r="I7" s="885"/>
      <c r="J7" s="100" t="s">
        <v>204</v>
      </c>
      <c r="K7" s="72" t="s">
        <v>205</v>
      </c>
      <c r="L7" s="72" t="s">
        <v>379</v>
      </c>
      <c r="M7" s="1049"/>
      <c r="P7" s="885"/>
      <c r="Q7" s="100" t="s">
        <v>204</v>
      </c>
      <c r="R7" s="72" t="s">
        <v>205</v>
      </c>
      <c r="S7" s="72" t="s">
        <v>379</v>
      </c>
      <c r="T7" s="72" t="s">
        <v>392</v>
      </c>
      <c r="U7" s="72" t="s">
        <v>394</v>
      </c>
      <c r="V7" s="1049"/>
      <c r="Y7" s="770"/>
      <c r="Z7" s="790"/>
      <c r="AA7" s="1161"/>
      <c r="AB7" s="630" t="s">
        <v>409</v>
      </c>
      <c r="AC7" s="630" t="s">
        <v>408</v>
      </c>
      <c r="AD7" s="630" t="s">
        <v>410</v>
      </c>
      <c r="AE7" s="639" t="s">
        <v>411</v>
      </c>
    </row>
    <row r="8" spans="2:31" x14ac:dyDescent="0.25">
      <c r="B8" s="882" t="s">
        <v>208</v>
      </c>
      <c r="C8" s="648"/>
      <c r="D8" s="648"/>
      <c r="E8" s="648"/>
      <c r="F8" s="648"/>
      <c r="I8" s="882" t="s">
        <v>208</v>
      </c>
      <c r="J8" s="648"/>
      <c r="K8" s="648"/>
      <c r="L8" s="648"/>
      <c r="M8" s="648"/>
      <c r="P8" s="882" t="s">
        <v>208</v>
      </c>
      <c r="Q8" s="648"/>
      <c r="R8" s="648"/>
      <c r="S8" s="648"/>
      <c r="T8" s="648"/>
      <c r="U8" s="648"/>
      <c r="V8" s="648"/>
      <c r="Y8" s="772"/>
      <c r="Z8" s="792"/>
      <c r="AA8" s="856"/>
      <c r="AB8" s="1041"/>
      <c r="AC8" s="1041"/>
      <c r="AD8" s="1041"/>
      <c r="AE8" s="802"/>
    </row>
    <row r="9" spans="2:31" ht="14.5" x14ac:dyDescent="0.25">
      <c r="B9" s="82" t="s">
        <v>70</v>
      </c>
      <c r="C9" s="11">
        <v>-13.36</v>
      </c>
      <c r="D9" s="11">
        <v>1.1100000000000001</v>
      </c>
      <c r="E9" s="11">
        <v>0.41</v>
      </c>
      <c r="F9" s="12">
        <v>0.8</v>
      </c>
      <c r="I9" s="82" t="s">
        <v>70</v>
      </c>
      <c r="J9" s="11">
        <v>-6.81</v>
      </c>
      <c r="K9" s="11">
        <v>0.16</v>
      </c>
      <c r="L9" s="11">
        <v>0.51</v>
      </c>
      <c r="M9" s="12">
        <v>1.1399999999999999</v>
      </c>
      <c r="P9" s="82" t="s">
        <v>384</v>
      </c>
      <c r="Q9" s="11">
        <v>-6.6</v>
      </c>
      <c r="R9" s="11">
        <v>0.05</v>
      </c>
      <c r="S9" s="11">
        <v>0.24</v>
      </c>
      <c r="T9" s="11">
        <v>0.41</v>
      </c>
      <c r="U9" s="11">
        <v>0.09</v>
      </c>
      <c r="V9" s="12">
        <v>0.52</v>
      </c>
      <c r="Y9" s="120" t="s">
        <v>70</v>
      </c>
      <c r="Z9" s="1152" t="s">
        <v>403</v>
      </c>
      <c r="AA9" s="1153"/>
      <c r="AB9" s="11">
        <v>0.67</v>
      </c>
      <c r="AC9" s="12">
        <v>0.45</v>
      </c>
      <c r="AD9" s="122" t="s">
        <v>14</v>
      </c>
      <c r="AE9" s="122" t="s">
        <v>14</v>
      </c>
    </row>
    <row r="10" spans="2:31" ht="13" thickBot="1" x14ac:dyDescent="0.3">
      <c r="B10" s="82" t="s">
        <v>384</v>
      </c>
      <c r="C10" s="11">
        <v>-12.13</v>
      </c>
      <c r="D10" s="11">
        <v>1.1100000000000001</v>
      </c>
      <c r="E10" s="11">
        <v>0.26</v>
      </c>
      <c r="F10" s="12">
        <v>0.33</v>
      </c>
      <c r="I10" s="82" t="s">
        <v>384</v>
      </c>
      <c r="J10" s="11">
        <v>-9.02</v>
      </c>
      <c r="K10" s="11">
        <v>0.42</v>
      </c>
      <c r="L10" s="11">
        <v>0.4</v>
      </c>
      <c r="M10" s="12">
        <v>0.36</v>
      </c>
      <c r="P10" s="84" t="s">
        <v>72</v>
      </c>
      <c r="Q10" s="13">
        <v>-9.5299999999999994</v>
      </c>
      <c r="R10" s="13">
        <v>0.4</v>
      </c>
      <c r="S10" s="13">
        <v>0.26</v>
      </c>
      <c r="T10" s="13">
        <v>0.45</v>
      </c>
      <c r="U10" s="13">
        <v>0.04</v>
      </c>
      <c r="V10" s="76">
        <v>0.24</v>
      </c>
      <c r="Y10" s="120" t="s">
        <v>384</v>
      </c>
      <c r="Z10" s="995" t="s">
        <v>404</v>
      </c>
      <c r="AA10" s="475"/>
      <c r="AB10" s="11">
        <v>0.93</v>
      </c>
      <c r="AC10" s="12">
        <v>0.86</v>
      </c>
      <c r="AD10" s="11">
        <v>0.8</v>
      </c>
      <c r="AE10" s="12">
        <v>0.8</v>
      </c>
    </row>
    <row r="11" spans="2:31" ht="14.5" x14ac:dyDescent="0.25">
      <c r="B11" s="101" t="s">
        <v>71</v>
      </c>
      <c r="C11" s="11">
        <v>-8.9</v>
      </c>
      <c r="D11" s="11">
        <v>0.82</v>
      </c>
      <c r="E11" s="11">
        <v>0.25</v>
      </c>
      <c r="F11" s="12">
        <v>0.4</v>
      </c>
      <c r="I11" s="101" t="s">
        <v>71</v>
      </c>
      <c r="J11" s="11">
        <v>-5.33</v>
      </c>
      <c r="K11" s="11">
        <v>0.33</v>
      </c>
      <c r="L11" s="11">
        <v>0.12</v>
      </c>
      <c r="M11" s="12">
        <v>0.65</v>
      </c>
      <c r="Y11" s="125" t="s">
        <v>71</v>
      </c>
      <c r="Z11" s="1152" t="s">
        <v>405</v>
      </c>
      <c r="AA11" s="1153"/>
      <c r="AB11" s="11">
        <v>0.73</v>
      </c>
      <c r="AC11" s="12">
        <v>0.53</v>
      </c>
      <c r="AD11" s="122" t="s">
        <v>14</v>
      </c>
      <c r="AE11" s="122" t="s">
        <v>14</v>
      </c>
    </row>
    <row r="12" spans="2:31" ht="13" thickBot="1" x14ac:dyDescent="0.3">
      <c r="B12" s="82" t="s">
        <v>72</v>
      </c>
      <c r="C12" s="11">
        <v>-10.99</v>
      </c>
      <c r="D12" s="11">
        <v>1.07</v>
      </c>
      <c r="E12" s="11">
        <v>0.23</v>
      </c>
      <c r="F12" s="12">
        <v>0.39</v>
      </c>
      <c r="I12" s="82" t="s">
        <v>72</v>
      </c>
      <c r="J12" s="11">
        <v>-10.210000000000001</v>
      </c>
      <c r="K12" s="11">
        <v>0.68</v>
      </c>
      <c r="L12" s="11">
        <v>0.27</v>
      </c>
      <c r="M12" s="12">
        <v>0.36</v>
      </c>
      <c r="Y12" s="126" t="s">
        <v>72</v>
      </c>
      <c r="Z12" s="1154" t="s">
        <v>404</v>
      </c>
      <c r="AA12" s="520"/>
      <c r="AB12" s="13">
        <v>0.9</v>
      </c>
      <c r="AC12" s="76">
        <v>0.81</v>
      </c>
      <c r="AD12" s="13">
        <v>0.73</v>
      </c>
      <c r="AE12" s="76">
        <v>0.66</v>
      </c>
    </row>
    <row r="13" spans="2:31" x14ac:dyDescent="0.25">
      <c r="B13" s="873" t="s">
        <v>209</v>
      </c>
      <c r="C13" s="455"/>
      <c r="D13" s="455"/>
      <c r="E13" s="455"/>
      <c r="F13" s="509"/>
      <c r="I13" s="873" t="s">
        <v>209</v>
      </c>
      <c r="J13" s="455"/>
      <c r="K13" s="455"/>
      <c r="L13" s="455"/>
      <c r="M13" s="509"/>
      <c r="Y13" s="1155" t="s">
        <v>406</v>
      </c>
      <c r="Z13" s="633"/>
      <c r="AA13" s="633"/>
      <c r="AB13" s="633"/>
      <c r="AC13" s="633"/>
      <c r="AD13" s="633"/>
      <c r="AE13" s="633"/>
    </row>
    <row r="14" spans="2:31" x14ac:dyDescent="0.25">
      <c r="B14" s="82" t="s">
        <v>70</v>
      </c>
      <c r="C14" s="11">
        <v>-14.01</v>
      </c>
      <c r="D14" s="11">
        <v>1.1599999999999999</v>
      </c>
      <c r="E14" s="11">
        <v>0.3</v>
      </c>
      <c r="F14" s="12">
        <v>0.69</v>
      </c>
      <c r="I14" s="82" t="s">
        <v>70</v>
      </c>
      <c r="J14" s="121" t="s">
        <v>14</v>
      </c>
      <c r="K14" s="121" t="s">
        <v>14</v>
      </c>
      <c r="L14" s="121" t="s">
        <v>14</v>
      </c>
      <c r="M14" s="122" t="s">
        <v>14</v>
      </c>
      <c r="Y14" s="1156" t="s">
        <v>407</v>
      </c>
      <c r="Z14" s="703"/>
      <c r="AA14" s="703"/>
      <c r="AB14" s="703"/>
      <c r="AC14" s="703"/>
      <c r="AD14" s="703"/>
      <c r="AE14" s="703"/>
    </row>
    <row r="15" spans="2:31" x14ac:dyDescent="0.25">
      <c r="B15" s="82" t="s">
        <v>384</v>
      </c>
      <c r="C15" s="11">
        <v>-11.58</v>
      </c>
      <c r="D15" s="11">
        <v>1.02</v>
      </c>
      <c r="E15" s="11">
        <v>0.17</v>
      </c>
      <c r="F15" s="12">
        <v>0.3</v>
      </c>
      <c r="I15" s="82" t="s">
        <v>384</v>
      </c>
      <c r="J15" s="11">
        <v>-9.75</v>
      </c>
      <c r="K15" s="11">
        <v>0.27</v>
      </c>
      <c r="L15" s="11">
        <v>0.51</v>
      </c>
      <c r="M15" s="12">
        <v>0.24</v>
      </c>
    </row>
    <row r="16" spans="2:31" x14ac:dyDescent="0.25">
      <c r="B16" s="101" t="s">
        <v>71</v>
      </c>
      <c r="C16" s="11">
        <v>-11.13</v>
      </c>
      <c r="D16" s="11">
        <v>0.93</v>
      </c>
      <c r="E16" s="11">
        <v>0.28000000000000003</v>
      </c>
      <c r="F16" s="12">
        <v>0.48</v>
      </c>
      <c r="I16" s="101" t="s">
        <v>71</v>
      </c>
      <c r="J16" s="121" t="s">
        <v>14</v>
      </c>
      <c r="K16" s="121" t="s">
        <v>14</v>
      </c>
      <c r="L16" s="121" t="s">
        <v>14</v>
      </c>
      <c r="M16" s="122" t="s">
        <v>14</v>
      </c>
    </row>
    <row r="17" spans="2:31" ht="13" thickBot="1" x14ac:dyDescent="0.3">
      <c r="B17" s="82" t="s">
        <v>72</v>
      </c>
      <c r="C17" s="11">
        <v>-13.14</v>
      </c>
      <c r="D17" s="11">
        <v>1.18</v>
      </c>
      <c r="E17" s="11">
        <v>0.22</v>
      </c>
      <c r="F17" s="12">
        <v>0.33</v>
      </c>
      <c r="I17" s="82" t="s">
        <v>72</v>
      </c>
      <c r="J17" s="11">
        <v>-9.25</v>
      </c>
      <c r="K17" s="11">
        <v>0.43</v>
      </c>
      <c r="L17" s="11">
        <v>0.28999999999999998</v>
      </c>
      <c r="M17" s="12">
        <v>0.09</v>
      </c>
    </row>
    <row r="18" spans="2:31" ht="13" thickTop="1" x14ac:dyDescent="0.25">
      <c r="B18" s="873" t="s">
        <v>210</v>
      </c>
      <c r="C18" s="455"/>
      <c r="D18" s="455"/>
      <c r="E18" s="455"/>
      <c r="F18" s="509"/>
      <c r="I18" s="873" t="s">
        <v>210</v>
      </c>
      <c r="J18" s="455"/>
      <c r="K18" s="455"/>
      <c r="L18" s="455"/>
      <c r="M18" s="509"/>
      <c r="Y18" s="1050" t="s">
        <v>502</v>
      </c>
      <c r="Z18" s="1017"/>
      <c r="AA18" s="1017"/>
      <c r="AB18" s="1017"/>
      <c r="AC18" s="1017"/>
      <c r="AD18" s="1051"/>
      <c r="AE18" s="1051"/>
    </row>
    <row r="19" spans="2:31" ht="13" thickBot="1" x14ac:dyDescent="0.3">
      <c r="B19" s="82" t="s">
        <v>70</v>
      </c>
      <c r="C19" s="11">
        <v>-15.38</v>
      </c>
      <c r="D19" s="11">
        <v>1.2</v>
      </c>
      <c r="E19" s="11">
        <v>0.51</v>
      </c>
      <c r="F19" s="12">
        <v>0.77</v>
      </c>
      <c r="I19" s="82" t="s">
        <v>70</v>
      </c>
      <c r="J19" s="11">
        <v>-8.36</v>
      </c>
      <c r="K19" s="11">
        <v>0.25</v>
      </c>
      <c r="L19" s="11">
        <v>0.55000000000000004</v>
      </c>
      <c r="M19" s="12">
        <v>1.29</v>
      </c>
      <c r="Y19" s="1018"/>
      <c r="Z19" s="1018"/>
      <c r="AA19" s="1018"/>
      <c r="AB19" s="1018"/>
      <c r="AC19" s="1018"/>
      <c r="AD19" s="1053"/>
      <c r="AE19" s="1053"/>
    </row>
    <row r="20" spans="2:31" x14ac:dyDescent="0.25">
      <c r="B20" s="82" t="s">
        <v>384</v>
      </c>
      <c r="C20" s="11">
        <v>-13.24</v>
      </c>
      <c r="D20" s="11">
        <v>1.1399999999999999</v>
      </c>
      <c r="E20" s="11">
        <v>0.3</v>
      </c>
      <c r="F20" s="12">
        <v>0.36</v>
      </c>
      <c r="I20" s="82" t="s">
        <v>384</v>
      </c>
      <c r="J20" s="11">
        <v>-9.08</v>
      </c>
      <c r="K20" s="11">
        <v>0.45</v>
      </c>
      <c r="L20" s="11">
        <v>0.33</v>
      </c>
      <c r="M20" s="12">
        <v>0.53</v>
      </c>
      <c r="Y20" s="1160" t="s">
        <v>399</v>
      </c>
      <c r="Z20" s="640" t="s">
        <v>402</v>
      </c>
      <c r="AA20" s="1161"/>
      <c r="AB20" s="640" t="s">
        <v>413</v>
      </c>
      <c r="AC20" s="801"/>
      <c r="AD20" s="801"/>
      <c r="AE20" s="801"/>
    </row>
    <row r="21" spans="2:31" x14ac:dyDescent="0.25">
      <c r="B21" s="101" t="s">
        <v>71</v>
      </c>
      <c r="C21" s="11">
        <v>-8.74</v>
      </c>
      <c r="D21" s="11">
        <v>0.77</v>
      </c>
      <c r="E21" s="11">
        <v>0.23</v>
      </c>
      <c r="F21" s="12">
        <v>0.4</v>
      </c>
      <c r="I21" s="101" t="s">
        <v>71</v>
      </c>
      <c r="J21" s="11">
        <v>-7.04</v>
      </c>
      <c r="K21" s="11">
        <v>0.36</v>
      </c>
      <c r="L21" s="11">
        <v>0.25</v>
      </c>
      <c r="M21" s="12">
        <v>0.54</v>
      </c>
      <c r="Y21" s="770"/>
      <c r="Z21" s="790"/>
      <c r="AA21" s="1161"/>
      <c r="AB21" s="802"/>
      <c r="AC21" s="803"/>
      <c r="AD21" s="803"/>
      <c r="AE21" s="803"/>
    </row>
    <row r="22" spans="2:31" ht="13" thickBot="1" x14ac:dyDescent="0.3">
      <c r="B22" s="84" t="s">
        <v>72</v>
      </c>
      <c r="C22" s="13">
        <v>-11.02</v>
      </c>
      <c r="D22" s="13">
        <v>1.02</v>
      </c>
      <c r="E22" s="13">
        <v>0.24</v>
      </c>
      <c r="F22" s="76">
        <v>0.44</v>
      </c>
      <c r="I22" s="84" t="s">
        <v>72</v>
      </c>
      <c r="J22" s="13">
        <v>-11.34</v>
      </c>
      <c r="K22" s="13">
        <v>0.78</v>
      </c>
      <c r="L22" s="13">
        <v>0.25</v>
      </c>
      <c r="M22" s="76">
        <v>0.44</v>
      </c>
      <c r="Y22" s="770"/>
      <c r="Z22" s="790"/>
      <c r="AA22" s="1161"/>
      <c r="AB22" s="630" t="s">
        <v>409</v>
      </c>
      <c r="AC22" s="630" t="s">
        <v>408</v>
      </c>
      <c r="AD22" s="630" t="s">
        <v>410</v>
      </c>
      <c r="AE22" s="639" t="s">
        <v>411</v>
      </c>
    </row>
    <row r="23" spans="2:31" x14ac:dyDescent="0.25">
      <c r="I23" s="123" t="s">
        <v>386</v>
      </c>
      <c r="Y23" s="772"/>
      <c r="Z23" s="792"/>
      <c r="AA23" s="856"/>
      <c r="AB23" s="1041"/>
      <c r="AC23" s="1041"/>
      <c r="AD23" s="1041"/>
      <c r="AE23" s="802"/>
    </row>
    <row r="24" spans="2:31" ht="14.5" x14ac:dyDescent="0.25">
      <c r="B24" s="21"/>
      <c r="C24" s="22"/>
      <c r="D24" s="22"/>
      <c r="E24" s="22"/>
      <c r="F24" s="22"/>
      <c r="I24" s="1147" t="s">
        <v>387</v>
      </c>
      <c r="J24" s="1147"/>
      <c r="K24" s="1147"/>
      <c r="L24" s="1147"/>
      <c r="M24" s="1147"/>
      <c r="Y24" s="120" t="s">
        <v>70</v>
      </c>
      <c r="Z24" s="1152" t="s">
        <v>403</v>
      </c>
      <c r="AA24" s="1153"/>
      <c r="AB24" s="11">
        <v>0.86</v>
      </c>
      <c r="AC24" s="12">
        <v>0.74</v>
      </c>
      <c r="AD24" s="121" t="s">
        <v>14</v>
      </c>
      <c r="AE24" s="122" t="s">
        <v>14</v>
      </c>
    </row>
    <row r="25" spans="2:31" ht="13" thickBot="1" x14ac:dyDescent="0.3">
      <c r="I25" s="1122" t="s">
        <v>388</v>
      </c>
      <c r="J25" s="539"/>
      <c r="K25" s="539"/>
      <c r="L25" s="539"/>
      <c r="M25" s="539"/>
      <c r="Y25" s="120" t="s">
        <v>384</v>
      </c>
      <c r="Z25" s="995" t="s">
        <v>404</v>
      </c>
      <c r="AA25" s="475"/>
      <c r="AB25" s="11">
        <v>0.96</v>
      </c>
      <c r="AC25" s="12">
        <v>0.92</v>
      </c>
      <c r="AD25" s="121" t="s">
        <v>14</v>
      </c>
      <c r="AE25" s="122" t="s">
        <v>14</v>
      </c>
    </row>
    <row r="26" spans="2:31" ht="14.5" x14ac:dyDescent="0.25">
      <c r="Y26" s="125" t="s">
        <v>71</v>
      </c>
      <c r="Z26" s="1152" t="s">
        <v>405</v>
      </c>
      <c r="AA26" s="1153"/>
      <c r="AB26" s="11">
        <v>0.86</v>
      </c>
      <c r="AC26" s="12">
        <v>0.74</v>
      </c>
      <c r="AD26" s="121" t="s">
        <v>14</v>
      </c>
      <c r="AE26" s="122" t="s">
        <v>14</v>
      </c>
    </row>
    <row r="27" spans="2:31" ht="13" thickBot="1" x14ac:dyDescent="0.3">
      <c r="Y27" s="126" t="s">
        <v>72</v>
      </c>
      <c r="Z27" s="1154" t="s">
        <v>404</v>
      </c>
      <c r="AA27" s="520"/>
      <c r="AB27" s="13">
        <v>0.96</v>
      </c>
      <c r="AC27" s="76">
        <v>0.92</v>
      </c>
      <c r="AD27" s="13">
        <v>0.88</v>
      </c>
      <c r="AE27" s="76">
        <v>0.85</v>
      </c>
    </row>
    <row r="28" spans="2:31" x14ac:dyDescent="0.25">
      <c r="Y28" s="1155" t="s">
        <v>414</v>
      </c>
      <c r="Z28" s="633"/>
      <c r="AA28" s="633"/>
      <c r="AB28" s="633"/>
      <c r="AC28" s="633"/>
      <c r="AD28" s="633"/>
      <c r="AE28" s="633"/>
    </row>
    <row r="29" spans="2:31" ht="13" x14ac:dyDescent="0.3">
      <c r="B29" s="70" t="s">
        <v>397</v>
      </c>
      <c r="Y29" s="1156" t="s">
        <v>407</v>
      </c>
      <c r="Z29" s="703"/>
      <c r="AA29" s="703"/>
      <c r="AB29" s="703"/>
      <c r="AC29" s="703"/>
      <c r="AD29" s="703"/>
      <c r="AE29" s="703"/>
    </row>
    <row r="30" spans="2:31" ht="13" thickBot="1" x14ac:dyDescent="0.3"/>
    <row r="31" spans="2:31" ht="13" thickTop="1" x14ac:dyDescent="0.25">
      <c r="B31" s="1050" t="s">
        <v>491</v>
      </c>
      <c r="C31" s="1051"/>
      <c r="D31" s="1051"/>
      <c r="E31" s="1051"/>
      <c r="F31" s="1051"/>
      <c r="G31" s="1051"/>
      <c r="H31" s="1051"/>
      <c r="I31" s="1051"/>
      <c r="J31" s="1051"/>
      <c r="K31" s="1051"/>
      <c r="L31" s="109"/>
    </row>
    <row r="32" spans="2:31" ht="13" thickBot="1" x14ac:dyDescent="0.3">
      <c r="B32" s="1053"/>
      <c r="C32" s="1053"/>
      <c r="D32" s="1053"/>
      <c r="E32" s="1053"/>
      <c r="F32" s="1053"/>
      <c r="G32" s="1053"/>
      <c r="H32" s="1053"/>
      <c r="I32" s="1053"/>
      <c r="J32" s="1053"/>
      <c r="K32" s="1053"/>
      <c r="L32" s="109"/>
    </row>
    <row r="33" spans="2:13" ht="13" x14ac:dyDescent="0.3">
      <c r="B33" s="1032" t="s">
        <v>66</v>
      </c>
      <c r="C33" s="1033" t="s">
        <v>65</v>
      </c>
      <c r="D33" s="593" t="s">
        <v>396</v>
      </c>
      <c r="E33" s="1128"/>
      <c r="F33" s="1128"/>
      <c r="G33" s="1128"/>
      <c r="H33" s="1128"/>
      <c r="I33" s="1128"/>
      <c r="J33" s="1128"/>
      <c r="K33" s="1128"/>
      <c r="L33" s="1"/>
      <c r="M33" s="1"/>
    </row>
    <row r="34" spans="2:13" ht="13" x14ac:dyDescent="0.3">
      <c r="B34" s="988"/>
      <c r="C34" s="1034"/>
      <c r="D34" s="498" t="s">
        <v>44</v>
      </c>
      <c r="E34" s="648"/>
      <c r="F34" s="648"/>
      <c r="G34" s="648"/>
      <c r="H34" s="648"/>
      <c r="I34" s="648"/>
      <c r="J34" s="648"/>
      <c r="K34" s="648"/>
      <c r="L34" s="1"/>
      <c r="M34" s="1"/>
    </row>
    <row r="35" spans="2:13" ht="13" x14ac:dyDescent="0.3">
      <c r="B35" s="870" t="s">
        <v>46</v>
      </c>
      <c r="C35" s="773"/>
      <c r="D35" s="498" t="s">
        <v>70</v>
      </c>
      <c r="E35" s="499"/>
      <c r="F35" s="497" t="s">
        <v>384</v>
      </c>
      <c r="G35" s="497"/>
      <c r="H35" s="497" t="s">
        <v>71</v>
      </c>
      <c r="I35" s="497"/>
      <c r="J35" s="497" t="s">
        <v>72</v>
      </c>
      <c r="K35" s="498"/>
      <c r="L35" s="432"/>
      <c r="M35" s="432"/>
    </row>
    <row r="36" spans="2:13" ht="13" x14ac:dyDescent="0.3">
      <c r="B36" s="776"/>
      <c r="C36" s="777"/>
      <c r="D36" s="74" t="s">
        <v>224</v>
      </c>
      <c r="E36" s="74" t="s">
        <v>88</v>
      </c>
      <c r="F36" s="74" t="s">
        <v>224</v>
      </c>
      <c r="G36" s="74" t="s">
        <v>88</v>
      </c>
      <c r="H36" s="74" t="s">
        <v>224</v>
      </c>
      <c r="I36" s="74" t="s">
        <v>88</v>
      </c>
      <c r="J36" s="74" t="s">
        <v>224</v>
      </c>
      <c r="K36" s="105" t="s">
        <v>88</v>
      </c>
      <c r="L36" s="91"/>
      <c r="M36" s="91"/>
    </row>
    <row r="37" spans="2:13" x14ac:dyDescent="0.25">
      <c r="B37" s="905" t="s">
        <v>38</v>
      </c>
      <c r="C37" s="694"/>
      <c r="D37" s="80">
        <v>0.42099999999999999</v>
      </c>
      <c r="E37" s="80">
        <v>0.44</v>
      </c>
      <c r="F37" s="80">
        <v>0.54900000000000004</v>
      </c>
      <c r="G37" s="80">
        <v>0.54600000000000004</v>
      </c>
      <c r="H37" s="80">
        <v>0.33800000000000002</v>
      </c>
      <c r="I37" s="80">
        <v>0.374</v>
      </c>
      <c r="J37" s="80">
        <v>0.45</v>
      </c>
      <c r="K37" s="81">
        <v>0.48299999999999998</v>
      </c>
      <c r="L37" s="111"/>
      <c r="M37" s="111"/>
    </row>
    <row r="38" spans="2:13" x14ac:dyDescent="0.25">
      <c r="B38" s="1037" t="s">
        <v>37</v>
      </c>
      <c r="C38" s="694"/>
      <c r="D38" s="3">
        <v>4.4999999999999998E-2</v>
      </c>
      <c r="E38" s="3">
        <v>2.3E-2</v>
      </c>
      <c r="F38" s="3">
        <v>3.7999999999999999E-2</v>
      </c>
      <c r="G38" s="3">
        <v>0.02</v>
      </c>
      <c r="H38" s="3">
        <v>4.1000000000000002E-2</v>
      </c>
      <c r="I38" s="3">
        <v>0.03</v>
      </c>
      <c r="J38" s="3">
        <v>4.9000000000000002E-2</v>
      </c>
      <c r="K38" s="41">
        <v>0.03</v>
      </c>
      <c r="L38" s="24"/>
      <c r="M38" s="24"/>
    </row>
    <row r="39" spans="2:13" x14ac:dyDescent="0.25">
      <c r="B39" s="1037" t="s">
        <v>36</v>
      </c>
      <c r="C39" s="694"/>
      <c r="D39" s="3">
        <v>0.34300000000000003</v>
      </c>
      <c r="E39" s="3">
        <v>0.26200000000000001</v>
      </c>
      <c r="F39" s="3">
        <v>0.28000000000000003</v>
      </c>
      <c r="G39" s="3">
        <v>0.20399999999999999</v>
      </c>
      <c r="H39" s="3">
        <v>0.44</v>
      </c>
      <c r="I39" s="3">
        <v>0.33500000000000002</v>
      </c>
      <c r="J39" s="3">
        <v>0.34699999999999998</v>
      </c>
      <c r="K39" s="41">
        <v>0.24399999999999999</v>
      </c>
      <c r="L39" s="24"/>
      <c r="M39" s="24"/>
    </row>
    <row r="40" spans="2:13" x14ac:dyDescent="0.25">
      <c r="B40" s="1037" t="s">
        <v>86</v>
      </c>
      <c r="C40" s="694"/>
      <c r="D40" s="3">
        <v>0.126</v>
      </c>
      <c r="E40" s="3">
        <v>0.04</v>
      </c>
      <c r="F40" s="3">
        <v>7.5999999999999998E-2</v>
      </c>
      <c r="G40" s="3">
        <v>3.2000000000000001E-2</v>
      </c>
      <c r="H40" s="3">
        <v>0.121</v>
      </c>
      <c r="I40" s="3">
        <v>4.3999999999999997E-2</v>
      </c>
      <c r="J40" s="3">
        <v>9.9000000000000005E-2</v>
      </c>
      <c r="K40" s="41">
        <v>3.2000000000000001E-2</v>
      </c>
      <c r="L40" s="24"/>
      <c r="M40" s="24"/>
    </row>
    <row r="41" spans="2:13" x14ac:dyDescent="0.25">
      <c r="B41" s="1037" t="s">
        <v>226</v>
      </c>
      <c r="C41" s="657"/>
      <c r="D41" s="3">
        <v>6.5000000000000002E-2</v>
      </c>
      <c r="E41" s="3">
        <v>0.23499999999999999</v>
      </c>
      <c r="F41" s="3">
        <v>5.7000000000000002E-2</v>
      </c>
      <c r="G41" s="3">
        <v>0.19800000000000001</v>
      </c>
      <c r="H41" s="3">
        <v>0.06</v>
      </c>
      <c r="I41" s="3">
        <v>0.217</v>
      </c>
      <c r="J41" s="3">
        <v>5.5E-2</v>
      </c>
      <c r="K41" s="41">
        <v>0.21099999999999999</v>
      </c>
      <c r="L41" s="24"/>
      <c r="M41" s="24"/>
    </row>
    <row r="42" spans="2:13" x14ac:dyDescent="0.25">
      <c r="B42" s="1148" t="s">
        <v>225</v>
      </c>
      <c r="C42" s="737"/>
      <c r="D42" s="737"/>
      <c r="E42" s="737"/>
      <c r="F42" s="737"/>
      <c r="G42" s="737"/>
      <c r="H42" s="737"/>
      <c r="I42" s="737"/>
      <c r="J42" s="737"/>
      <c r="K42" s="737"/>
      <c r="L42" s="24"/>
      <c r="M42" s="24"/>
    </row>
    <row r="43" spans="2:13" ht="13" x14ac:dyDescent="0.3">
      <c r="B43" s="870" t="s">
        <v>46</v>
      </c>
      <c r="C43" s="773"/>
      <c r="D43" s="497" t="s">
        <v>45</v>
      </c>
      <c r="E43" s="455"/>
      <c r="F43" s="455"/>
      <c r="G43" s="455"/>
      <c r="H43" s="455"/>
      <c r="I43" s="455"/>
      <c r="J43" s="455"/>
      <c r="K43" s="509"/>
    </row>
    <row r="44" spans="2:13" ht="13" x14ac:dyDescent="0.3">
      <c r="B44" s="775"/>
      <c r="C44" s="774"/>
      <c r="D44" s="498" t="s">
        <v>70</v>
      </c>
      <c r="E44" s="499"/>
      <c r="F44" s="497" t="s">
        <v>384</v>
      </c>
      <c r="G44" s="497"/>
      <c r="H44" s="497" t="s">
        <v>71</v>
      </c>
      <c r="I44" s="497"/>
      <c r="J44" s="497" t="s">
        <v>72</v>
      </c>
      <c r="K44" s="498"/>
      <c r="L44" s="1"/>
      <c r="M44" s="1"/>
    </row>
    <row r="45" spans="2:13" ht="13" x14ac:dyDescent="0.3">
      <c r="B45" s="707"/>
      <c r="C45" s="1126"/>
      <c r="D45" s="74" t="s">
        <v>224</v>
      </c>
      <c r="E45" s="74" t="s">
        <v>88</v>
      </c>
      <c r="F45" s="74" t="s">
        <v>224</v>
      </c>
      <c r="G45" s="74" t="s">
        <v>88</v>
      </c>
      <c r="H45" s="74" t="s">
        <v>224</v>
      </c>
      <c r="I45" s="74" t="s">
        <v>88</v>
      </c>
      <c r="J45" s="74" t="s">
        <v>224</v>
      </c>
      <c r="K45" s="105" t="s">
        <v>88</v>
      </c>
      <c r="L45" s="432"/>
      <c r="M45" s="432"/>
    </row>
    <row r="46" spans="2:13" ht="13" x14ac:dyDescent="0.3">
      <c r="B46" s="905" t="s">
        <v>38</v>
      </c>
      <c r="C46" s="694"/>
      <c r="D46" s="142">
        <v>0.5</v>
      </c>
      <c r="E46" s="142">
        <v>0.1</v>
      </c>
      <c r="F46" s="142"/>
      <c r="G46" s="142"/>
      <c r="H46" s="142">
        <v>0.75</v>
      </c>
      <c r="I46" s="142"/>
      <c r="J46" s="142"/>
      <c r="K46" s="143"/>
      <c r="L46" s="91"/>
      <c r="M46" s="91"/>
    </row>
    <row r="47" spans="2:13" x14ac:dyDescent="0.25">
      <c r="B47" s="1037" t="s">
        <v>37</v>
      </c>
      <c r="C47" s="694"/>
      <c r="D47" s="142">
        <v>0.51</v>
      </c>
      <c r="E47" s="142">
        <v>0.11</v>
      </c>
      <c r="F47" s="142"/>
      <c r="G47" s="142"/>
      <c r="H47" s="142">
        <v>0.65</v>
      </c>
      <c r="I47" s="142"/>
      <c r="J47" s="142"/>
      <c r="K47" s="143"/>
    </row>
    <row r="48" spans="2:13" x14ac:dyDescent="0.25">
      <c r="B48" s="1037" t="s">
        <v>36</v>
      </c>
      <c r="C48" s="694"/>
      <c r="D48" s="142">
        <v>0.52</v>
      </c>
      <c r="E48" s="142">
        <v>0.12</v>
      </c>
      <c r="F48" s="142"/>
      <c r="G48" s="142"/>
      <c r="H48" s="142">
        <v>0.55000000000000004</v>
      </c>
      <c r="I48" s="142"/>
      <c r="J48" s="142"/>
      <c r="K48" s="143"/>
    </row>
    <row r="49" spans="2:13" x14ac:dyDescent="0.25">
      <c r="B49" s="1037" t="s">
        <v>86</v>
      </c>
      <c r="C49" s="694"/>
      <c r="D49" s="144">
        <v>0.53</v>
      </c>
      <c r="E49" s="144">
        <v>0.13</v>
      </c>
      <c r="F49" s="144"/>
      <c r="G49" s="144"/>
      <c r="H49" s="144">
        <v>0.45</v>
      </c>
      <c r="I49" s="144"/>
      <c r="J49" s="144"/>
      <c r="K49" s="145"/>
    </row>
    <row r="50" spans="2:13" ht="13" thickBot="1" x14ac:dyDescent="0.3">
      <c r="B50" s="1075" t="s">
        <v>226</v>
      </c>
      <c r="C50" s="723"/>
      <c r="D50" s="146">
        <v>0.55000000000000004</v>
      </c>
      <c r="E50" s="146">
        <v>0.15</v>
      </c>
      <c r="F50" s="146"/>
      <c r="G50" s="146"/>
      <c r="H50" s="146">
        <v>0.25</v>
      </c>
      <c r="I50" s="146"/>
      <c r="J50" s="146"/>
      <c r="K50" s="147"/>
      <c r="L50" s="36"/>
      <c r="M50" s="36"/>
    </row>
    <row r="51" spans="2:13" x14ac:dyDescent="0.25">
      <c r="B51" s="58" t="s">
        <v>490</v>
      </c>
      <c r="L51" s="36"/>
      <c r="M51" s="36"/>
    </row>
    <row r="52" spans="2:13" x14ac:dyDescent="0.25">
      <c r="L52" s="36"/>
      <c r="M52" s="36"/>
    </row>
    <row r="53" spans="2:13" ht="13" thickBot="1" x14ac:dyDescent="0.3"/>
    <row r="54" spans="2:13" ht="13" thickTop="1" x14ac:dyDescent="0.25">
      <c r="B54" s="1050" t="s">
        <v>494</v>
      </c>
      <c r="C54" s="1051"/>
      <c r="D54" s="1051"/>
      <c r="E54" s="1051"/>
      <c r="F54" s="1051"/>
      <c r="G54" s="1051"/>
      <c r="H54" s="1051"/>
      <c r="I54" s="1051"/>
      <c r="J54" s="1051"/>
      <c r="K54" s="1051"/>
    </row>
    <row r="55" spans="2:13" ht="13" thickBot="1" x14ac:dyDescent="0.3">
      <c r="B55" s="1053"/>
      <c r="C55" s="1053"/>
      <c r="D55" s="1053"/>
      <c r="E55" s="1053"/>
      <c r="F55" s="1053"/>
      <c r="G55" s="1053"/>
      <c r="H55" s="1053"/>
      <c r="I55" s="1053"/>
      <c r="J55" s="1053"/>
      <c r="K55" s="1053"/>
    </row>
    <row r="56" spans="2:13" ht="13" x14ac:dyDescent="0.3">
      <c r="B56" s="1032" t="s">
        <v>66</v>
      </c>
      <c r="C56" s="1033" t="s">
        <v>65</v>
      </c>
      <c r="D56" s="593" t="s">
        <v>396</v>
      </c>
      <c r="E56" s="1128"/>
      <c r="F56" s="1128"/>
      <c r="G56" s="1128"/>
      <c r="H56" s="1128"/>
      <c r="I56" s="1128"/>
      <c r="J56" s="1128"/>
      <c r="K56" s="1128"/>
    </row>
    <row r="57" spans="2:13" ht="13" x14ac:dyDescent="0.3">
      <c r="B57" s="988"/>
      <c r="C57" s="1034"/>
      <c r="D57" s="498" t="s">
        <v>44</v>
      </c>
      <c r="E57" s="648"/>
      <c r="F57" s="648"/>
      <c r="G57" s="648"/>
      <c r="H57" s="648"/>
      <c r="I57" s="648"/>
      <c r="J57" s="648"/>
      <c r="K57" s="648"/>
    </row>
    <row r="58" spans="2:13" ht="13" x14ac:dyDescent="0.3">
      <c r="B58" s="870" t="s">
        <v>46</v>
      </c>
      <c r="C58" s="773"/>
      <c r="D58" s="498" t="s">
        <v>70</v>
      </c>
      <c r="E58" s="499"/>
      <c r="F58" s="497" t="s">
        <v>384</v>
      </c>
      <c r="G58" s="497"/>
      <c r="H58" s="497" t="s">
        <v>71</v>
      </c>
      <c r="I58" s="497"/>
      <c r="J58" s="497" t="s">
        <v>72</v>
      </c>
      <c r="K58" s="498"/>
    </row>
    <row r="59" spans="2:13" ht="13" x14ac:dyDescent="0.3">
      <c r="B59" s="776"/>
      <c r="C59" s="777"/>
      <c r="D59" s="74" t="s">
        <v>224</v>
      </c>
      <c r="E59" s="74" t="s">
        <v>88</v>
      </c>
      <c r="F59" s="74" t="s">
        <v>224</v>
      </c>
      <c r="G59" s="74" t="s">
        <v>88</v>
      </c>
      <c r="H59" s="74" t="s">
        <v>224</v>
      </c>
      <c r="I59" s="74" t="s">
        <v>88</v>
      </c>
      <c r="J59" s="74" t="s">
        <v>224</v>
      </c>
      <c r="K59" s="105" t="s">
        <v>88</v>
      </c>
    </row>
    <row r="60" spans="2:13" x14ac:dyDescent="0.25">
      <c r="B60" s="905" t="s">
        <v>350</v>
      </c>
      <c r="C60" s="694"/>
      <c r="D60" s="80">
        <v>1E-3</v>
      </c>
      <c r="E60" s="80">
        <v>3.0000000000000001E-3</v>
      </c>
      <c r="F60" s="80">
        <v>1E-3</v>
      </c>
      <c r="G60" s="80">
        <v>1E-3</v>
      </c>
      <c r="H60" s="80">
        <v>1E-3</v>
      </c>
      <c r="I60" s="80">
        <v>1E-3</v>
      </c>
      <c r="J60" s="80">
        <v>1E-3</v>
      </c>
      <c r="K60" s="81">
        <v>1E-3</v>
      </c>
    </row>
    <row r="61" spans="2:13" x14ac:dyDescent="0.25">
      <c r="B61" s="1037" t="s">
        <v>235</v>
      </c>
      <c r="C61" s="694"/>
      <c r="D61" s="3">
        <v>3.0000000000000001E-3</v>
      </c>
      <c r="E61" s="3">
        <v>1.7999999999999999E-2</v>
      </c>
      <c r="F61" s="3">
        <v>1E-3</v>
      </c>
      <c r="G61" s="3">
        <v>3.0000000000000001E-3</v>
      </c>
      <c r="H61" s="3">
        <v>1E-3</v>
      </c>
      <c r="I61" s="3">
        <v>2.5999999999999999E-2</v>
      </c>
      <c r="J61" s="3">
        <v>2E-3</v>
      </c>
      <c r="K61" s="41">
        <v>2E-3</v>
      </c>
    </row>
    <row r="62" spans="2:13" x14ac:dyDescent="0.25">
      <c r="B62" s="1037" t="s">
        <v>236</v>
      </c>
      <c r="C62" s="694"/>
      <c r="D62" s="3">
        <v>0.76200000000000001</v>
      </c>
      <c r="E62" s="3">
        <v>0.83409999999999995</v>
      </c>
      <c r="F62" s="3">
        <v>0.65300000000000002</v>
      </c>
      <c r="G62" s="3">
        <v>0.89500000000000002</v>
      </c>
      <c r="H62" s="3">
        <v>0.67900000000000005</v>
      </c>
      <c r="I62" s="3">
        <v>0.84699999999999998</v>
      </c>
      <c r="J62" s="3">
        <v>0.74399999999999999</v>
      </c>
      <c r="K62" s="41">
        <v>0.87</v>
      </c>
    </row>
    <row r="63" spans="2:13" x14ac:dyDescent="0.25">
      <c r="B63" s="1037" t="s">
        <v>237</v>
      </c>
      <c r="C63" s="694"/>
      <c r="D63" s="3">
        <v>0.09</v>
      </c>
      <c r="E63" s="3">
        <v>9.1999999999999998E-2</v>
      </c>
      <c r="F63" s="3">
        <v>9.0999999999999998E-2</v>
      </c>
      <c r="G63" s="3">
        <v>6.9000000000000006E-2</v>
      </c>
      <c r="H63" s="3">
        <v>8.8999999999999996E-2</v>
      </c>
      <c r="I63" s="3">
        <v>7.0000000000000007E-2</v>
      </c>
      <c r="J63" s="3">
        <v>7.1999999999999995E-2</v>
      </c>
      <c r="K63" s="41">
        <v>7.0000000000000007E-2</v>
      </c>
    </row>
    <row r="64" spans="2:13" x14ac:dyDescent="0.25">
      <c r="B64" s="1037" t="s">
        <v>238</v>
      </c>
      <c r="C64" s="694"/>
      <c r="D64" s="3">
        <v>3.9E-2</v>
      </c>
      <c r="E64" s="3">
        <v>2.3E-2</v>
      </c>
      <c r="F64" s="3">
        <v>4.4999999999999998E-2</v>
      </c>
      <c r="G64" s="3">
        <v>1.7999999999999999E-2</v>
      </c>
      <c r="H64" s="3">
        <v>5.0999999999999997E-2</v>
      </c>
      <c r="I64" s="3">
        <v>7.0000000000000001E-3</v>
      </c>
      <c r="J64" s="3">
        <v>0.04</v>
      </c>
      <c r="K64" s="41">
        <v>2.3E-2</v>
      </c>
    </row>
    <row r="65" spans="2:11" x14ac:dyDescent="0.25">
      <c r="B65" s="1037" t="s">
        <v>398</v>
      </c>
      <c r="C65" s="657"/>
      <c r="D65" s="3">
        <v>0.105</v>
      </c>
      <c r="E65" s="3">
        <v>0.03</v>
      </c>
      <c r="F65" s="3">
        <v>0.20899999999999999</v>
      </c>
      <c r="G65" s="3">
        <v>1.4E-2</v>
      </c>
      <c r="H65" s="3">
        <v>0.17899999999999999</v>
      </c>
      <c r="I65" s="3">
        <v>4.9000000000000002E-2</v>
      </c>
      <c r="J65" s="3">
        <v>0.14099999999999999</v>
      </c>
      <c r="K65" s="41">
        <v>3.4000000000000002E-2</v>
      </c>
    </row>
    <row r="66" spans="2:11" x14ac:dyDescent="0.25">
      <c r="B66" s="1148" t="s">
        <v>493</v>
      </c>
      <c r="C66" s="737"/>
      <c r="D66" s="737"/>
      <c r="E66" s="737"/>
      <c r="F66" s="737"/>
      <c r="G66" s="737"/>
      <c r="H66" s="737"/>
      <c r="I66" s="737"/>
      <c r="J66" s="737"/>
      <c r="K66" s="737"/>
    </row>
    <row r="67" spans="2:11" ht="13" x14ac:dyDescent="0.3">
      <c r="B67" s="870" t="s">
        <v>46</v>
      </c>
      <c r="C67" s="773"/>
      <c r="D67" s="497" t="s">
        <v>45</v>
      </c>
      <c r="E67" s="455"/>
      <c r="F67" s="455"/>
      <c r="G67" s="455"/>
      <c r="H67" s="455"/>
      <c r="I67" s="455"/>
      <c r="J67" s="455"/>
      <c r="K67" s="509"/>
    </row>
    <row r="68" spans="2:11" ht="13" x14ac:dyDescent="0.3">
      <c r="B68" s="775"/>
      <c r="C68" s="774"/>
      <c r="D68" s="498" t="s">
        <v>70</v>
      </c>
      <c r="E68" s="499"/>
      <c r="F68" s="497" t="s">
        <v>384</v>
      </c>
      <c r="G68" s="497"/>
      <c r="H68" s="497" t="s">
        <v>71</v>
      </c>
      <c r="I68" s="497"/>
      <c r="J68" s="497" t="s">
        <v>72</v>
      </c>
      <c r="K68" s="498"/>
    </row>
    <row r="69" spans="2:11" ht="13" x14ac:dyDescent="0.3">
      <c r="B69" s="707"/>
      <c r="C69" s="1126"/>
      <c r="D69" s="74" t="s">
        <v>224</v>
      </c>
      <c r="E69" s="74" t="s">
        <v>88</v>
      </c>
      <c r="F69" s="74" t="s">
        <v>224</v>
      </c>
      <c r="G69" s="74" t="s">
        <v>88</v>
      </c>
      <c r="H69" s="74" t="s">
        <v>224</v>
      </c>
      <c r="I69" s="74" t="s">
        <v>88</v>
      </c>
      <c r="J69" s="74" t="s">
        <v>224</v>
      </c>
      <c r="K69" s="105" t="s">
        <v>88</v>
      </c>
    </row>
    <row r="70" spans="2:11" x14ac:dyDescent="0.25">
      <c r="B70" s="905" t="s">
        <v>350</v>
      </c>
      <c r="C70" s="694"/>
      <c r="D70" s="142">
        <v>0.5</v>
      </c>
      <c r="E70" s="142">
        <v>0.1</v>
      </c>
      <c r="F70" s="142"/>
      <c r="G70" s="142"/>
      <c r="H70" s="142">
        <v>0.75</v>
      </c>
      <c r="I70" s="142"/>
      <c r="J70" s="142"/>
      <c r="K70" s="143"/>
    </row>
    <row r="71" spans="2:11" x14ac:dyDescent="0.25">
      <c r="B71" s="1037" t="s">
        <v>235</v>
      </c>
      <c r="C71" s="694"/>
      <c r="D71" s="142">
        <v>0.51</v>
      </c>
      <c r="E71" s="142">
        <v>0.11</v>
      </c>
      <c r="F71" s="142"/>
      <c r="G71" s="142"/>
      <c r="H71" s="142">
        <v>0.65</v>
      </c>
      <c r="I71" s="142"/>
      <c r="J71" s="142"/>
      <c r="K71" s="143"/>
    </row>
    <row r="72" spans="2:11" x14ac:dyDescent="0.25">
      <c r="B72" s="1037" t="s">
        <v>236</v>
      </c>
      <c r="C72" s="694"/>
      <c r="D72" s="142">
        <v>0.52</v>
      </c>
      <c r="E72" s="142">
        <v>0.12</v>
      </c>
      <c r="F72" s="142"/>
      <c r="G72" s="142"/>
      <c r="H72" s="142">
        <v>0.55000000000000004</v>
      </c>
      <c r="I72" s="142"/>
      <c r="J72" s="142"/>
      <c r="K72" s="143"/>
    </row>
    <row r="73" spans="2:11" x14ac:dyDescent="0.25">
      <c r="B73" s="1037" t="s">
        <v>237</v>
      </c>
      <c r="C73" s="694"/>
      <c r="D73" s="144">
        <v>0.53</v>
      </c>
      <c r="E73" s="144">
        <v>0.13</v>
      </c>
      <c r="F73" s="144"/>
      <c r="G73" s="144"/>
      <c r="H73" s="144">
        <v>0.45</v>
      </c>
      <c r="I73" s="144"/>
      <c r="J73" s="144"/>
      <c r="K73" s="145"/>
    </row>
    <row r="74" spans="2:11" x14ac:dyDescent="0.25">
      <c r="B74" s="1037" t="s">
        <v>238</v>
      </c>
      <c r="C74" s="694"/>
      <c r="D74" s="144">
        <v>0.54</v>
      </c>
      <c r="E74" s="144">
        <v>0.14000000000000001</v>
      </c>
      <c r="F74" s="144"/>
      <c r="G74" s="144"/>
      <c r="H74" s="144">
        <v>0.35</v>
      </c>
      <c r="I74" s="144"/>
      <c r="J74" s="144"/>
      <c r="K74" s="145"/>
    </row>
    <row r="75" spans="2:11" ht="13" thickBot="1" x14ac:dyDescent="0.3">
      <c r="B75" s="1037" t="s">
        <v>398</v>
      </c>
      <c r="C75" s="657"/>
      <c r="D75" s="146">
        <v>0.55000000000000004</v>
      </c>
      <c r="E75" s="146">
        <v>0.15</v>
      </c>
      <c r="F75" s="146"/>
      <c r="G75" s="146"/>
      <c r="H75" s="146">
        <v>0.25</v>
      </c>
      <c r="I75" s="146"/>
      <c r="J75" s="146"/>
      <c r="K75" s="147"/>
    </row>
    <row r="78" spans="2:11" ht="13" thickBot="1" x14ac:dyDescent="0.3"/>
    <row r="79" spans="2:11" ht="13" thickTop="1" x14ac:dyDescent="0.25">
      <c r="B79" s="1050" t="s">
        <v>503</v>
      </c>
      <c r="C79" s="1017"/>
      <c r="D79" s="1017"/>
      <c r="E79" s="1017"/>
      <c r="F79" s="1017"/>
      <c r="G79" s="1017"/>
      <c r="H79" s="49"/>
      <c r="I79" s="49"/>
      <c r="J79" s="49"/>
      <c r="K79" s="49"/>
    </row>
    <row r="80" spans="2:11" ht="13" thickBot="1" x14ac:dyDescent="0.3">
      <c r="B80" s="1018"/>
      <c r="C80" s="1018"/>
      <c r="D80" s="1018"/>
      <c r="E80" s="1018"/>
      <c r="F80" s="1018"/>
      <c r="G80" s="1018"/>
      <c r="H80" s="49"/>
      <c r="I80" s="49"/>
      <c r="J80" s="49"/>
      <c r="K80" s="49"/>
    </row>
    <row r="81" spans="2:7" ht="15" x14ac:dyDescent="0.25">
      <c r="B81" s="1157" t="s">
        <v>66</v>
      </c>
      <c r="C81" s="1158" t="s">
        <v>65</v>
      </c>
      <c r="D81" s="1149" t="s">
        <v>400</v>
      </c>
      <c r="E81" s="1149"/>
      <c r="F81" s="1149"/>
      <c r="G81" s="1150"/>
    </row>
    <row r="82" spans="2:7" x14ac:dyDescent="0.25">
      <c r="B82" s="988"/>
      <c r="C82" s="1034"/>
      <c r="D82" s="892" t="s">
        <v>44</v>
      </c>
      <c r="E82" s="892"/>
      <c r="F82" s="892" t="s">
        <v>45</v>
      </c>
      <c r="G82" s="1151"/>
    </row>
    <row r="83" spans="2:7" ht="13" x14ac:dyDescent="0.3">
      <c r="B83" s="1127" t="s">
        <v>399</v>
      </c>
      <c r="C83" s="1159"/>
      <c r="D83" s="892"/>
      <c r="E83" s="892"/>
      <c r="F83" s="501"/>
      <c r="G83" s="661"/>
    </row>
    <row r="84" spans="2:7" x14ac:dyDescent="0.25">
      <c r="B84" s="471" t="s">
        <v>70</v>
      </c>
      <c r="C84" s="457"/>
      <c r="D84" s="455">
        <v>0.23799999999999999</v>
      </c>
      <c r="E84" s="455"/>
      <c r="F84" s="1066">
        <v>0.3</v>
      </c>
      <c r="G84" s="1044"/>
    </row>
    <row r="85" spans="2:7" x14ac:dyDescent="0.25">
      <c r="B85" s="471" t="s">
        <v>71</v>
      </c>
      <c r="C85" s="457"/>
      <c r="D85" s="455">
        <v>0.22900000000000001</v>
      </c>
      <c r="E85" s="455"/>
      <c r="F85" s="1066">
        <v>0.31</v>
      </c>
      <c r="G85" s="1044"/>
    </row>
    <row r="86" spans="2:7" x14ac:dyDescent="0.25">
      <c r="B86" s="471" t="s">
        <v>384</v>
      </c>
      <c r="C86" s="457"/>
      <c r="D86" s="455">
        <v>0.23499999999999999</v>
      </c>
      <c r="E86" s="455"/>
      <c r="F86" s="1066">
        <v>0.32</v>
      </c>
      <c r="G86" s="1044"/>
    </row>
    <row r="87" spans="2:7" ht="13" thickBot="1" x14ac:dyDescent="0.3">
      <c r="B87" s="525" t="s">
        <v>72</v>
      </c>
      <c r="C87" s="546"/>
      <c r="D87" s="477">
        <v>0.23499999999999999</v>
      </c>
      <c r="E87" s="477"/>
      <c r="F87" s="1072">
        <v>0.33</v>
      </c>
      <c r="G87" s="1058"/>
    </row>
    <row r="91" spans="2:7" x14ac:dyDescent="0.25">
      <c r="B91" s="20" t="s">
        <v>966</v>
      </c>
    </row>
    <row r="92" spans="2:7" x14ac:dyDescent="0.25">
      <c r="B92" s="20" t="s">
        <v>70</v>
      </c>
    </row>
    <row r="93" spans="2:7" x14ac:dyDescent="0.25">
      <c r="B93" s="20" t="s">
        <v>71</v>
      </c>
    </row>
    <row r="94" spans="2:7" x14ac:dyDescent="0.25">
      <c r="B94" s="20" t="s">
        <v>384</v>
      </c>
    </row>
    <row r="95" spans="2:7" x14ac:dyDescent="0.25">
      <c r="B95" s="20" t="s">
        <v>72</v>
      </c>
    </row>
    <row r="96" spans="2:7" x14ac:dyDescent="0.25">
      <c r="B96" s="20" t="s">
        <v>967</v>
      </c>
    </row>
    <row r="99" spans="2:13" ht="13" thickBot="1" x14ac:dyDescent="0.3">
      <c r="B99" s="243"/>
      <c r="C99" s="243"/>
      <c r="D99" s="243"/>
      <c r="E99" s="243"/>
      <c r="F99" s="243"/>
      <c r="I99" s="243"/>
      <c r="J99" s="243"/>
      <c r="K99" s="243"/>
      <c r="L99" s="243"/>
      <c r="M99" s="243"/>
    </row>
    <row r="100" spans="2:13" ht="13.5" thickBot="1" x14ac:dyDescent="0.35">
      <c r="B100" s="1042" t="s">
        <v>968</v>
      </c>
      <c r="C100" s="1042"/>
      <c r="D100" s="1042"/>
      <c r="E100" s="1042"/>
      <c r="F100" s="1042"/>
      <c r="I100" s="1043" t="s">
        <v>973</v>
      </c>
      <c r="J100" s="1043"/>
      <c r="K100" s="1043"/>
      <c r="L100" s="1043"/>
      <c r="M100" s="1043"/>
    </row>
    <row r="101" spans="2:13" ht="13" x14ac:dyDescent="0.3">
      <c r="B101" s="1041" t="s">
        <v>399</v>
      </c>
      <c r="C101" s="1035" t="s">
        <v>389</v>
      </c>
      <c r="D101" s="1035"/>
      <c r="E101" s="1035"/>
      <c r="F101" s="942" t="s">
        <v>974</v>
      </c>
      <c r="I101" s="1026" t="s">
        <v>399</v>
      </c>
      <c r="J101" s="1027" t="s">
        <v>972</v>
      </c>
      <c r="K101" s="1028"/>
      <c r="L101" s="1028"/>
      <c r="M101" s="942" t="s">
        <v>975</v>
      </c>
    </row>
    <row r="102" spans="2:13" ht="15" x14ac:dyDescent="0.4">
      <c r="B102" s="494"/>
      <c r="C102" s="194" t="s">
        <v>206</v>
      </c>
      <c r="D102" s="194" t="s">
        <v>969</v>
      </c>
      <c r="E102" s="194" t="s">
        <v>970</v>
      </c>
      <c r="F102" s="549"/>
      <c r="I102" s="892"/>
      <c r="J102" s="194" t="s">
        <v>206</v>
      </c>
      <c r="K102" s="194" t="s">
        <v>969</v>
      </c>
      <c r="L102" s="194" t="s">
        <v>971</v>
      </c>
      <c r="M102" s="549"/>
    </row>
    <row r="103" spans="2:13" ht="13" x14ac:dyDescent="0.3">
      <c r="B103" s="494"/>
      <c r="C103" s="194" t="s">
        <v>204</v>
      </c>
      <c r="D103" s="194" t="s">
        <v>205</v>
      </c>
      <c r="E103" s="194" t="s">
        <v>379</v>
      </c>
      <c r="F103" s="549"/>
      <c r="I103" s="892"/>
      <c r="J103" s="194" t="s">
        <v>204</v>
      </c>
      <c r="K103" s="194" t="s">
        <v>205</v>
      </c>
      <c r="L103" s="194" t="s">
        <v>379</v>
      </c>
      <c r="M103" s="549"/>
    </row>
    <row r="104" spans="2:13" x14ac:dyDescent="0.25">
      <c r="B104" s="906" t="s">
        <v>208</v>
      </c>
      <c r="C104" s="578"/>
      <c r="D104" s="578"/>
      <c r="E104" s="578"/>
      <c r="F104" s="272"/>
      <c r="I104" s="578" t="s">
        <v>208</v>
      </c>
      <c r="J104" s="578"/>
      <c r="K104" s="578"/>
      <c r="L104" s="578"/>
      <c r="M104" s="578"/>
    </row>
    <row r="105" spans="2:13" x14ac:dyDescent="0.25">
      <c r="B105" s="319" t="s">
        <v>70</v>
      </c>
      <c r="C105" s="244"/>
      <c r="D105" s="244"/>
      <c r="E105" s="244"/>
      <c r="F105" s="273"/>
      <c r="I105" s="195" t="s">
        <v>70</v>
      </c>
      <c r="J105" s="244">
        <v>-38.442999999999998</v>
      </c>
      <c r="K105" s="244">
        <v>1.577</v>
      </c>
      <c r="L105" s="244">
        <v>3.1789999999999998</v>
      </c>
      <c r="M105" s="273">
        <v>8.8200000000000003E-5</v>
      </c>
    </row>
    <row r="106" spans="2:13" x14ac:dyDescent="0.25">
      <c r="B106" s="319" t="s">
        <v>384</v>
      </c>
      <c r="C106" s="244">
        <v>-12.75</v>
      </c>
      <c r="D106" s="244">
        <v>0.96099999999999997</v>
      </c>
      <c r="E106" s="244">
        <v>0.112</v>
      </c>
      <c r="F106" s="244">
        <v>0.44600000000000001</v>
      </c>
      <c r="I106" s="195" t="s">
        <v>384</v>
      </c>
      <c r="J106" s="244">
        <v>-8.6440000000000001</v>
      </c>
      <c r="K106" s="244">
        <v>0.379</v>
      </c>
      <c r="L106" s="244">
        <v>0.34200000000000003</v>
      </c>
      <c r="M106" s="244">
        <v>0.64500000000000002</v>
      </c>
    </row>
    <row r="107" spans="2:13" x14ac:dyDescent="0.25">
      <c r="B107" s="319" t="s">
        <v>71</v>
      </c>
      <c r="C107" s="244"/>
      <c r="D107" s="244"/>
      <c r="E107" s="244"/>
      <c r="F107" s="273"/>
      <c r="I107" s="195" t="s">
        <v>71</v>
      </c>
      <c r="J107" s="244">
        <v>-38.442999999999998</v>
      </c>
      <c r="K107" s="244">
        <v>1.577</v>
      </c>
      <c r="L107" s="244">
        <v>3.1789999999999998</v>
      </c>
      <c r="M107" s="273">
        <v>8.8200000000000003E-5</v>
      </c>
    </row>
    <row r="108" spans="2:13" x14ac:dyDescent="0.25">
      <c r="B108" s="319" t="s">
        <v>72</v>
      </c>
      <c r="C108" s="244">
        <v>-19.085000000000001</v>
      </c>
      <c r="D108" s="244">
        <v>1.518</v>
      </c>
      <c r="E108" s="244">
        <v>0.39500000000000002</v>
      </c>
      <c r="F108" s="244">
        <v>0.52</v>
      </c>
      <c r="I108" s="195" t="s">
        <v>72</v>
      </c>
      <c r="J108" s="244">
        <v>-13.887</v>
      </c>
      <c r="K108" s="244">
        <v>0.92400000000000004</v>
      </c>
      <c r="L108" s="244">
        <v>0.498</v>
      </c>
      <c r="M108" s="244">
        <v>5.5E-2</v>
      </c>
    </row>
    <row r="109" spans="2:13" x14ac:dyDescent="0.25">
      <c r="B109" s="319" t="s">
        <v>967</v>
      </c>
      <c r="C109" s="244">
        <v>-11.750999999999999</v>
      </c>
      <c r="D109" s="244">
        <v>0.96099999999999997</v>
      </c>
      <c r="E109" s="244">
        <v>0.112</v>
      </c>
      <c r="F109" s="244">
        <v>0.44600000000000001</v>
      </c>
      <c r="I109" s="195" t="s">
        <v>967</v>
      </c>
      <c r="J109" s="244">
        <v>-8.1940000000000008</v>
      </c>
      <c r="K109" s="244">
        <v>0.379</v>
      </c>
      <c r="L109" s="244">
        <v>0.34200000000000003</v>
      </c>
      <c r="M109" s="244">
        <v>0.64500000000000002</v>
      </c>
    </row>
    <row r="112" spans="2:13" ht="13" thickBot="1" x14ac:dyDescent="0.3">
      <c r="B112" s="243"/>
      <c r="C112" s="243"/>
      <c r="D112" s="243"/>
      <c r="I112" s="243"/>
      <c r="J112" s="243"/>
      <c r="K112" s="243"/>
    </row>
    <row r="113" spans="2:11" ht="13" thickBot="1" x14ac:dyDescent="0.3">
      <c r="B113" s="1038" t="s">
        <v>1113</v>
      </c>
      <c r="C113" s="1039"/>
      <c r="D113" s="1040"/>
      <c r="I113" s="1021" t="s">
        <v>984</v>
      </c>
      <c r="J113" s="1022"/>
      <c r="K113" s="1023"/>
    </row>
    <row r="114" spans="2:11" ht="42" customHeight="1" x14ac:dyDescent="0.25">
      <c r="B114" s="193" t="s">
        <v>399</v>
      </c>
      <c r="C114" s="274" t="s">
        <v>976</v>
      </c>
      <c r="D114" s="275" t="s">
        <v>977</v>
      </c>
      <c r="I114" s="193" t="s">
        <v>399</v>
      </c>
      <c r="J114" s="241" t="s">
        <v>985</v>
      </c>
      <c r="K114" s="242" t="s">
        <v>986</v>
      </c>
    </row>
    <row r="115" spans="2:11" ht="21" customHeight="1" x14ac:dyDescent="0.25">
      <c r="B115" s="731" t="s">
        <v>72</v>
      </c>
      <c r="C115" s="240" t="s">
        <v>978</v>
      </c>
      <c r="D115" s="240">
        <v>1</v>
      </c>
      <c r="I115" s="553" t="s">
        <v>72</v>
      </c>
      <c r="J115" s="240" t="s">
        <v>65</v>
      </c>
      <c r="K115" s="240">
        <v>1</v>
      </c>
    </row>
    <row r="116" spans="2:11" ht="22.5" customHeight="1" x14ac:dyDescent="0.25">
      <c r="B116" s="509"/>
      <c r="C116" s="240" t="s">
        <v>979</v>
      </c>
      <c r="D116" s="240">
        <v>0.78700000000000003</v>
      </c>
      <c r="I116" s="455"/>
      <c r="J116" s="240" t="s">
        <v>64</v>
      </c>
      <c r="K116" s="240">
        <v>0.61099999999999999</v>
      </c>
    </row>
    <row r="119" spans="2:11" ht="13" thickBot="1" x14ac:dyDescent="0.3">
      <c r="B119" s="243"/>
      <c r="C119" s="243"/>
      <c r="D119" s="243"/>
      <c r="I119" s="243"/>
      <c r="J119" s="243"/>
      <c r="K119" s="243"/>
    </row>
    <row r="120" spans="2:11" ht="13" thickBot="1" x14ac:dyDescent="0.3">
      <c r="B120" s="1038" t="s">
        <v>1114</v>
      </c>
      <c r="C120" s="1039"/>
      <c r="D120" s="1040"/>
      <c r="I120" s="1038" t="s">
        <v>988</v>
      </c>
      <c r="J120" s="1039"/>
      <c r="K120" s="1040"/>
    </row>
    <row r="121" spans="2:11" ht="23" x14ac:dyDescent="0.25">
      <c r="B121" s="193" t="s">
        <v>399</v>
      </c>
      <c r="C121" s="274" t="s">
        <v>980</v>
      </c>
      <c r="D121" s="275" t="s">
        <v>981</v>
      </c>
      <c r="I121" s="193" t="s">
        <v>399</v>
      </c>
      <c r="J121" s="274" t="s">
        <v>980</v>
      </c>
      <c r="K121" s="275" t="s">
        <v>987</v>
      </c>
    </row>
    <row r="122" spans="2:11" x14ac:dyDescent="0.25">
      <c r="B122" s="731" t="s">
        <v>72</v>
      </c>
      <c r="C122" s="240" t="s">
        <v>982</v>
      </c>
      <c r="D122" s="240">
        <v>1</v>
      </c>
      <c r="I122" s="731" t="s">
        <v>72</v>
      </c>
      <c r="J122" s="240" t="s">
        <v>982</v>
      </c>
      <c r="K122" s="240">
        <v>1</v>
      </c>
    </row>
    <row r="123" spans="2:11" ht="23" x14ac:dyDescent="0.25">
      <c r="B123" s="509"/>
      <c r="C123" s="240" t="s">
        <v>983</v>
      </c>
      <c r="D123" s="240">
        <v>0.55200000000000005</v>
      </c>
      <c r="I123" s="509"/>
      <c r="J123" s="240" t="s">
        <v>983</v>
      </c>
      <c r="K123" s="240">
        <v>0.58299999999999996</v>
      </c>
    </row>
  </sheetData>
  <mergeCells count="141">
    <mergeCell ref="B113:D113"/>
    <mergeCell ref="B115:B116"/>
    <mergeCell ref="B120:D120"/>
    <mergeCell ref="B122:B123"/>
    <mergeCell ref="I113:K113"/>
    <mergeCell ref="I115:I116"/>
    <mergeCell ref="I120:K120"/>
    <mergeCell ref="I122:I123"/>
    <mergeCell ref="B100:F100"/>
    <mergeCell ref="I100:M100"/>
    <mergeCell ref="B101:B103"/>
    <mergeCell ref="C101:E101"/>
    <mergeCell ref="F101:F103"/>
    <mergeCell ref="I101:I103"/>
    <mergeCell ref="J101:L101"/>
    <mergeCell ref="M101:M103"/>
    <mergeCell ref="B104:E104"/>
    <mergeCell ref="I104:M104"/>
    <mergeCell ref="AE7:AE8"/>
    <mergeCell ref="AB5:AE6"/>
    <mergeCell ref="Y3:AE4"/>
    <mergeCell ref="Y13:AE13"/>
    <mergeCell ref="Y14:AE14"/>
    <mergeCell ref="Y18:AE19"/>
    <mergeCell ref="Y20:Y23"/>
    <mergeCell ref="Z20:AA23"/>
    <mergeCell ref="AB20:AE21"/>
    <mergeCell ref="AB22:AB23"/>
    <mergeCell ref="AC22:AC23"/>
    <mergeCell ref="AD22:AD23"/>
    <mergeCell ref="Z9:AA9"/>
    <mergeCell ref="Z10:AA10"/>
    <mergeCell ref="Z11:AA11"/>
    <mergeCell ref="Z12:AA12"/>
    <mergeCell ref="Y5:Y8"/>
    <mergeCell ref="Z5:AA8"/>
    <mergeCell ref="AB7:AB8"/>
    <mergeCell ref="AC7:AC8"/>
    <mergeCell ref="AD7:AD8"/>
    <mergeCell ref="D86:E86"/>
    <mergeCell ref="D82:E83"/>
    <mergeCell ref="F82:G83"/>
    <mergeCell ref="F84:G84"/>
    <mergeCell ref="F85:G85"/>
    <mergeCell ref="F86:G86"/>
    <mergeCell ref="B85:C85"/>
    <mergeCell ref="B86:C86"/>
    <mergeCell ref="AE22:AE23"/>
    <mergeCell ref="Z24:AA24"/>
    <mergeCell ref="Z25:AA25"/>
    <mergeCell ref="Z26:AA26"/>
    <mergeCell ref="Z27:AA27"/>
    <mergeCell ref="Y28:AE28"/>
    <mergeCell ref="Y29:AE29"/>
    <mergeCell ref="B81:B82"/>
    <mergeCell ref="C81:C82"/>
    <mergeCell ref="B83:C83"/>
    <mergeCell ref="B70:C70"/>
    <mergeCell ref="B71:C71"/>
    <mergeCell ref="B72:C72"/>
    <mergeCell ref="B73:C73"/>
    <mergeCell ref="D84:E84"/>
    <mergeCell ref="D85:E85"/>
    <mergeCell ref="B74:C74"/>
    <mergeCell ref="B54:K55"/>
    <mergeCell ref="B67:C69"/>
    <mergeCell ref="D67:K67"/>
    <mergeCell ref="D68:E68"/>
    <mergeCell ref="F68:G68"/>
    <mergeCell ref="D81:G81"/>
    <mergeCell ref="B84:C84"/>
    <mergeCell ref="H68:I68"/>
    <mergeCell ref="J68:K68"/>
    <mergeCell ref="B61:C61"/>
    <mergeCell ref="B62:C62"/>
    <mergeCell ref="B63:C63"/>
    <mergeCell ref="B65:C65"/>
    <mergeCell ref="B66:K66"/>
    <mergeCell ref="B75:C75"/>
    <mergeCell ref="B79:G80"/>
    <mergeCell ref="B31:K32"/>
    <mergeCell ref="B64:C64"/>
    <mergeCell ref="B58:C59"/>
    <mergeCell ref="D58:E58"/>
    <mergeCell ref="F58:G58"/>
    <mergeCell ref="H58:I58"/>
    <mergeCell ref="J58:K58"/>
    <mergeCell ref="B60:C60"/>
    <mergeCell ref="B47:C47"/>
    <mergeCell ref="D44:E44"/>
    <mergeCell ref="B42:K42"/>
    <mergeCell ref="B33:B34"/>
    <mergeCell ref="C33:C34"/>
    <mergeCell ref="J35:K35"/>
    <mergeCell ref="F44:G44"/>
    <mergeCell ref="H44:I44"/>
    <mergeCell ref="J44:K44"/>
    <mergeCell ref="D57:K57"/>
    <mergeCell ref="B50:C50"/>
    <mergeCell ref="B56:B57"/>
    <mergeCell ref="C56:C57"/>
    <mergeCell ref="B46:C46"/>
    <mergeCell ref="D56:K56"/>
    <mergeCell ref="B48:C48"/>
    <mergeCell ref="B3:F4"/>
    <mergeCell ref="B5:B7"/>
    <mergeCell ref="F5:F7"/>
    <mergeCell ref="B8:F8"/>
    <mergeCell ref="B13:F13"/>
    <mergeCell ref="B18:F18"/>
    <mergeCell ref="P3:V4"/>
    <mergeCell ref="P5:P7"/>
    <mergeCell ref="V5:V7"/>
    <mergeCell ref="P8:V8"/>
    <mergeCell ref="I3:M4"/>
    <mergeCell ref="I5:I7"/>
    <mergeCell ref="M5:M7"/>
    <mergeCell ref="B87:C87"/>
    <mergeCell ref="D87:E87"/>
    <mergeCell ref="F87:G87"/>
    <mergeCell ref="I8:M8"/>
    <mergeCell ref="I13:M13"/>
    <mergeCell ref="I18:M18"/>
    <mergeCell ref="B49:C49"/>
    <mergeCell ref="I25:M25"/>
    <mergeCell ref="I24:M24"/>
    <mergeCell ref="L45:M45"/>
    <mergeCell ref="L35:M35"/>
    <mergeCell ref="B37:C37"/>
    <mergeCell ref="B38:C38"/>
    <mergeCell ref="B39:C39"/>
    <mergeCell ref="B40:C40"/>
    <mergeCell ref="B35:C36"/>
    <mergeCell ref="D35:E35"/>
    <mergeCell ref="F35:G35"/>
    <mergeCell ref="H35:I35"/>
    <mergeCell ref="B41:C41"/>
    <mergeCell ref="B43:C45"/>
    <mergeCell ref="D33:K33"/>
    <mergeCell ref="D34:K34"/>
    <mergeCell ref="D43:K43"/>
  </mergeCells>
  <dataValidations disablePrompts="1" count="1">
    <dataValidation type="list" allowBlank="1" showInputMessage="1" showErrorMessage="1" sqref="C33 C81 C56" xr:uid="{00000000-0002-0000-0E00-000000000000}">
      <formula1>Local</formula1>
    </dataValidation>
  </dataValidation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N75"/>
  <sheetViews>
    <sheetView topLeftCell="E45" workbookViewId="0">
      <selection activeCell="I62" sqref="I62"/>
    </sheetView>
  </sheetViews>
  <sheetFormatPr defaultRowHeight="12.5" x14ac:dyDescent="0.25"/>
  <cols>
    <col min="2" max="2" width="11.453125" bestFit="1" customWidth="1"/>
    <col min="4" max="4" width="15.26953125" bestFit="1" customWidth="1"/>
    <col min="6" max="6" width="10.81640625" customWidth="1"/>
    <col min="8" max="8" width="20" bestFit="1" customWidth="1"/>
    <col min="10" max="10" width="17.81640625" customWidth="1"/>
    <col min="12" max="12" width="20" bestFit="1" customWidth="1"/>
  </cols>
  <sheetData>
    <row r="3" spans="2:12" ht="13" x14ac:dyDescent="0.3">
      <c r="B3" s="8" t="s">
        <v>41</v>
      </c>
      <c r="D3" s="8" t="s">
        <v>47</v>
      </c>
      <c r="F3" s="5" t="s">
        <v>48</v>
      </c>
    </row>
    <row r="4" spans="2:12" x14ac:dyDescent="0.25">
      <c r="B4" s="9">
        <v>9</v>
      </c>
      <c r="D4" s="9">
        <v>0</v>
      </c>
      <c r="F4" s="1">
        <v>1</v>
      </c>
    </row>
    <row r="5" spans="2:12" x14ac:dyDescent="0.25">
      <c r="B5" s="9">
        <v>9.5</v>
      </c>
      <c r="D5" s="9">
        <v>1</v>
      </c>
      <c r="F5" s="1">
        <v>2</v>
      </c>
    </row>
    <row r="6" spans="2:12" x14ac:dyDescent="0.25">
      <c r="B6" s="9">
        <v>10</v>
      </c>
      <c r="D6" s="9">
        <v>2</v>
      </c>
      <c r="F6" s="1">
        <v>3</v>
      </c>
    </row>
    <row r="7" spans="2:12" x14ac:dyDescent="0.25">
      <c r="B7" s="9">
        <v>10.5</v>
      </c>
      <c r="D7" s="9">
        <v>3</v>
      </c>
      <c r="F7" s="1">
        <v>4</v>
      </c>
    </row>
    <row r="8" spans="2:12" x14ac:dyDescent="0.25">
      <c r="B8" s="9">
        <v>11</v>
      </c>
      <c r="D8" s="9">
        <v>4</v>
      </c>
      <c r="F8" s="1">
        <v>5</v>
      </c>
    </row>
    <row r="9" spans="2:12" x14ac:dyDescent="0.25">
      <c r="B9" s="9">
        <v>11.5</v>
      </c>
      <c r="D9" s="9">
        <v>5</v>
      </c>
      <c r="F9" s="1">
        <v>6</v>
      </c>
    </row>
    <row r="10" spans="2:12" x14ac:dyDescent="0.25">
      <c r="B10" s="9">
        <v>12</v>
      </c>
      <c r="D10" s="9">
        <v>6</v>
      </c>
      <c r="F10" s="1">
        <v>7</v>
      </c>
    </row>
    <row r="11" spans="2:12" x14ac:dyDescent="0.25">
      <c r="D11" s="9">
        <v>7</v>
      </c>
    </row>
    <row r="12" spans="2:12" x14ac:dyDescent="0.25">
      <c r="D12" s="9">
        <v>8</v>
      </c>
    </row>
    <row r="15" spans="2:12" ht="13" x14ac:dyDescent="0.3">
      <c r="H15" s="5" t="s">
        <v>56</v>
      </c>
      <c r="J15" s="5" t="s">
        <v>58</v>
      </c>
      <c r="L15" s="5" t="s">
        <v>63</v>
      </c>
    </row>
    <row r="16" spans="2:12" ht="13" x14ac:dyDescent="0.3">
      <c r="D16" s="5" t="s">
        <v>40</v>
      </c>
      <c r="F16" s="5" t="s">
        <v>53</v>
      </c>
      <c r="H16" s="5" t="s">
        <v>57</v>
      </c>
      <c r="J16" s="5" t="s">
        <v>59</v>
      </c>
      <c r="L16" s="21" t="s">
        <v>64</v>
      </c>
    </row>
    <row r="17" spans="4:12" x14ac:dyDescent="0.25">
      <c r="D17" s="9" t="s">
        <v>49</v>
      </c>
      <c r="F17" s="9" t="s">
        <v>54</v>
      </c>
      <c r="H17" s="9" t="s">
        <v>54</v>
      </c>
      <c r="J17" s="9" t="s">
        <v>54</v>
      </c>
      <c r="L17" s="21" t="s">
        <v>65</v>
      </c>
    </row>
    <row r="18" spans="4:12" x14ac:dyDescent="0.25">
      <c r="D18" s="9" t="s">
        <v>50</v>
      </c>
      <c r="F18" s="9" t="s">
        <v>55</v>
      </c>
      <c r="H18" s="9" t="s">
        <v>55</v>
      </c>
      <c r="J18" s="9" t="s">
        <v>61</v>
      </c>
    </row>
    <row r="19" spans="4:12" x14ac:dyDescent="0.25">
      <c r="D19" s="21" t="s">
        <v>51</v>
      </c>
      <c r="J19" s="9" t="s">
        <v>62</v>
      </c>
    </row>
    <row r="20" spans="4:12" x14ac:dyDescent="0.25">
      <c r="D20" s="9" t="s">
        <v>52</v>
      </c>
    </row>
    <row r="22" spans="4:12" ht="13" x14ac:dyDescent="0.3">
      <c r="F22" s="5" t="s">
        <v>42</v>
      </c>
      <c r="H22" s="5" t="s">
        <v>43</v>
      </c>
      <c r="J22" s="5" t="s">
        <v>60</v>
      </c>
    </row>
    <row r="23" spans="4:12" x14ac:dyDescent="0.25">
      <c r="F23" s="9" t="s">
        <v>54</v>
      </c>
      <c r="H23" s="9" t="s">
        <v>54</v>
      </c>
      <c r="J23" s="9" t="s">
        <v>54</v>
      </c>
    </row>
    <row r="24" spans="4:12" x14ac:dyDescent="0.25">
      <c r="F24" s="9" t="s">
        <v>55</v>
      </c>
      <c r="H24" s="9" t="s">
        <v>55</v>
      </c>
      <c r="J24" s="9" t="s">
        <v>55</v>
      </c>
    </row>
    <row r="28" spans="4:12" ht="13" x14ac:dyDescent="0.3">
      <c r="D28" s="21" t="s">
        <v>69</v>
      </c>
      <c r="F28" s="21" t="s">
        <v>73</v>
      </c>
      <c r="H28" s="21" t="s">
        <v>74</v>
      </c>
      <c r="J28" s="21" t="s">
        <v>75</v>
      </c>
      <c r="L28" s="5" t="s">
        <v>76</v>
      </c>
    </row>
    <row r="29" spans="4:12" x14ac:dyDescent="0.25">
      <c r="D29" s="21" t="s">
        <v>70</v>
      </c>
      <c r="F29" s="1">
        <v>0</v>
      </c>
      <c r="H29" s="1">
        <v>0</v>
      </c>
      <c r="J29" s="21" t="s">
        <v>54</v>
      </c>
      <c r="L29" s="21" t="s">
        <v>64</v>
      </c>
    </row>
    <row r="30" spans="4:12" x14ac:dyDescent="0.25">
      <c r="D30" s="21" t="s">
        <v>71</v>
      </c>
      <c r="F30" s="1">
        <v>1</v>
      </c>
      <c r="H30" s="1">
        <v>1</v>
      </c>
      <c r="J30" s="21" t="s">
        <v>55</v>
      </c>
      <c r="L30" s="21" t="s">
        <v>65</v>
      </c>
    </row>
    <row r="31" spans="4:12" x14ac:dyDescent="0.25">
      <c r="D31" s="21" t="s">
        <v>72</v>
      </c>
      <c r="F31" s="1">
        <v>2</v>
      </c>
      <c r="H31" s="1">
        <v>2</v>
      </c>
    </row>
    <row r="32" spans="4:12" x14ac:dyDescent="0.25">
      <c r="F32" s="1">
        <v>3</v>
      </c>
      <c r="H32" s="1">
        <v>3</v>
      </c>
    </row>
    <row r="33" spans="4:12" x14ac:dyDescent="0.25">
      <c r="F33" s="1">
        <v>4</v>
      </c>
      <c r="H33" s="1">
        <v>4</v>
      </c>
    </row>
    <row r="36" spans="4:12" ht="13" x14ac:dyDescent="0.3">
      <c r="D36" s="5" t="s">
        <v>82</v>
      </c>
      <c r="F36" s="5" t="s">
        <v>85</v>
      </c>
      <c r="H36" s="5" t="s">
        <v>89</v>
      </c>
      <c r="J36" s="5" t="s">
        <v>96</v>
      </c>
      <c r="L36" s="5" t="s">
        <v>100</v>
      </c>
    </row>
    <row r="37" spans="4:12" x14ac:dyDescent="0.25">
      <c r="D37" s="1">
        <v>10</v>
      </c>
      <c r="F37" s="21" t="s">
        <v>83</v>
      </c>
      <c r="H37" s="21" t="s">
        <v>90</v>
      </c>
      <c r="J37" s="9">
        <v>0</v>
      </c>
      <c r="L37" s="1">
        <v>0</v>
      </c>
    </row>
    <row r="38" spans="4:12" x14ac:dyDescent="0.25">
      <c r="D38" s="1">
        <v>20</v>
      </c>
      <c r="F38" s="21" t="s">
        <v>84</v>
      </c>
      <c r="H38" s="56" t="s">
        <v>91</v>
      </c>
      <c r="J38" s="9">
        <v>1</v>
      </c>
      <c r="L38" s="1">
        <v>1</v>
      </c>
    </row>
    <row r="39" spans="4:12" x14ac:dyDescent="0.25">
      <c r="D39" s="1">
        <v>30</v>
      </c>
      <c r="F39" s="1"/>
      <c r="H39" s="28" t="s">
        <v>92</v>
      </c>
      <c r="J39" s="9">
        <v>2</v>
      </c>
      <c r="L39" s="1">
        <v>2</v>
      </c>
    </row>
    <row r="40" spans="4:12" x14ac:dyDescent="0.25">
      <c r="D40" s="1">
        <v>40</v>
      </c>
      <c r="F40" s="1"/>
      <c r="H40" s="28" t="s">
        <v>93</v>
      </c>
      <c r="J40" s="9">
        <v>3</v>
      </c>
    </row>
    <row r="41" spans="4:12" x14ac:dyDescent="0.25">
      <c r="D41" s="1">
        <v>50</v>
      </c>
      <c r="F41" s="1"/>
      <c r="H41" s="28" t="s">
        <v>94</v>
      </c>
      <c r="J41" s="9">
        <v>4</v>
      </c>
    </row>
    <row r="42" spans="4:12" x14ac:dyDescent="0.25">
      <c r="D42" s="1">
        <v>60</v>
      </c>
      <c r="F42" s="1"/>
      <c r="J42" s="9">
        <v>5</v>
      </c>
    </row>
    <row r="43" spans="4:12" x14ac:dyDescent="0.25">
      <c r="D43" s="1">
        <v>70</v>
      </c>
      <c r="F43" s="1"/>
      <c r="J43" s="9">
        <v>6</v>
      </c>
    </row>
    <row r="44" spans="4:12" x14ac:dyDescent="0.25">
      <c r="D44" s="1">
        <v>80</v>
      </c>
      <c r="F44" s="1"/>
      <c r="J44" s="9">
        <v>7</v>
      </c>
    </row>
    <row r="45" spans="4:12" x14ac:dyDescent="0.25">
      <c r="D45" s="1">
        <v>90</v>
      </c>
      <c r="F45" s="1"/>
      <c r="J45" s="9">
        <v>8</v>
      </c>
    </row>
    <row r="46" spans="4:12" x14ac:dyDescent="0.25">
      <c r="D46" s="1">
        <v>100</v>
      </c>
      <c r="J46" s="21">
        <v>9</v>
      </c>
    </row>
    <row r="47" spans="4:12" x14ac:dyDescent="0.25">
      <c r="J47" s="21">
        <v>10</v>
      </c>
    </row>
    <row r="51" spans="4:14" ht="13" x14ac:dyDescent="0.3">
      <c r="D51" s="70" t="s">
        <v>150</v>
      </c>
    </row>
    <row r="54" spans="4:14" ht="13" x14ac:dyDescent="0.3">
      <c r="D54" s="5" t="s">
        <v>151</v>
      </c>
      <c r="F54" s="5" t="s">
        <v>154</v>
      </c>
      <c r="H54" s="5" t="s">
        <v>155</v>
      </c>
      <c r="J54" s="5" t="s">
        <v>169</v>
      </c>
      <c r="L54" s="5" t="s">
        <v>175</v>
      </c>
      <c r="N54" s="8" t="s">
        <v>313</v>
      </c>
    </row>
    <row r="55" spans="4:14" x14ac:dyDescent="0.25">
      <c r="D55" s="21" t="s">
        <v>153</v>
      </c>
      <c r="F55" s="21" t="s">
        <v>54</v>
      </c>
      <c r="H55" s="9" t="s">
        <v>54</v>
      </c>
      <c r="J55" s="21" t="s">
        <v>156</v>
      </c>
      <c r="L55" s="1">
        <v>2</v>
      </c>
      <c r="N55" t="s">
        <v>311</v>
      </c>
    </row>
    <row r="56" spans="4:14" x14ac:dyDescent="0.25">
      <c r="D56" s="21" t="s">
        <v>152</v>
      </c>
      <c r="F56" s="1">
        <v>10</v>
      </c>
      <c r="H56" s="9" t="s">
        <v>55</v>
      </c>
      <c r="J56" s="21" t="s">
        <v>165</v>
      </c>
      <c r="L56" s="1">
        <v>5</v>
      </c>
      <c r="N56" t="s">
        <v>312</v>
      </c>
    </row>
    <row r="57" spans="4:14" x14ac:dyDescent="0.25">
      <c r="D57" s="21" t="s">
        <v>95</v>
      </c>
      <c r="F57" s="1">
        <v>15</v>
      </c>
      <c r="J57" s="20" t="s">
        <v>166</v>
      </c>
      <c r="L57" s="1">
        <v>10</v>
      </c>
    </row>
    <row r="58" spans="4:14" x14ac:dyDescent="0.25">
      <c r="D58" s="21" t="s">
        <v>98</v>
      </c>
      <c r="F58" s="1">
        <v>20</v>
      </c>
      <c r="J58" s="21" t="s">
        <v>167</v>
      </c>
      <c r="L58" s="1">
        <v>15</v>
      </c>
    </row>
    <row r="59" spans="4:14" x14ac:dyDescent="0.25">
      <c r="D59" s="21" t="s">
        <v>164</v>
      </c>
      <c r="F59" s="1">
        <v>30</v>
      </c>
      <c r="J59" s="21" t="s">
        <v>168</v>
      </c>
      <c r="L59" s="1">
        <v>20</v>
      </c>
    </row>
    <row r="60" spans="4:14" x14ac:dyDescent="0.25">
      <c r="F60" s="1">
        <v>40</v>
      </c>
      <c r="L60" s="1">
        <v>25</v>
      </c>
    </row>
    <row r="61" spans="4:14" ht="13" x14ac:dyDescent="0.3">
      <c r="F61" s="1">
        <v>50</v>
      </c>
      <c r="L61" s="21" t="s">
        <v>176</v>
      </c>
    </row>
    <row r="62" spans="4:14" x14ac:dyDescent="0.25">
      <c r="F62" s="1">
        <v>60</v>
      </c>
    </row>
    <row r="63" spans="4:14" x14ac:dyDescent="0.25">
      <c r="F63" s="1">
        <v>70</v>
      </c>
    </row>
    <row r="64" spans="4:14" x14ac:dyDescent="0.25">
      <c r="F64" s="1">
        <v>80</v>
      </c>
    </row>
    <row r="65" spans="4:12" x14ac:dyDescent="0.25">
      <c r="F65" s="1">
        <v>90</v>
      </c>
    </row>
    <row r="66" spans="4:12" x14ac:dyDescent="0.25">
      <c r="F66" s="1">
        <v>100</v>
      </c>
    </row>
    <row r="70" spans="4:12" ht="13" x14ac:dyDescent="0.3">
      <c r="D70" s="5" t="s">
        <v>330</v>
      </c>
      <c r="F70" s="5" t="s">
        <v>415</v>
      </c>
      <c r="H70" s="5" t="s">
        <v>416</v>
      </c>
      <c r="J70" s="5" t="s">
        <v>423</v>
      </c>
      <c r="L70" s="5" t="s">
        <v>424</v>
      </c>
    </row>
    <row r="71" spans="4:12" x14ac:dyDescent="0.25">
      <c r="D71" s="1">
        <v>0</v>
      </c>
      <c r="F71" s="21" t="s">
        <v>70</v>
      </c>
      <c r="H71" s="20" t="s">
        <v>329</v>
      </c>
      <c r="J71" s="1">
        <v>0</v>
      </c>
      <c r="L71" s="20" t="s">
        <v>425</v>
      </c>
    </row>
    <row r="72" spans="4:12" x14ac:dyDescent="0.25">
      <c r="D72" s="1">
        <v>1</v>
      </c>
      <c r="F72" s="21" t="s">
        <v>384</v>
      </c>
      <c r="H72" s="20" t="s">
        <v>417</v>
      </c>
      <c r="J72" s="1">
        <v>1</v>
      </c>
      <c r="L72" s="20" t="s">
        <v>329</v>
      </c>
    </row>
    <row r="73" spans="4:12" x14ac:dyDescent="0.25">
      <c r="D73" s="1">
        <v>2</v>
      </c>
      <c r="F73" s="21" t="s">
        <v>71</v>
      </c>
      <c r="H73" s="20" t="s">
        <v>418</v>
      </c>
      <c r="J73" s="1">
        <v>2</v>
      </c>
      <c r="L73" s="20" t="s">
        <v>417</v>
      </c>
    </row>
    <row r="74" spans="4:12" x14ac:dyDescent="0.25">
      <c r="D74" s="1">
        <v>3</v>
      </c>
      <c r="F74" s="21" t="s">
        <v>72</v>
      </c>
      <c r="H74" s="20" t="s">
        <v>419</v>
      </c>
      <c r="L74" s="20" t="s">
        <v>418</v>
      </c>
    </row>
    <row r="75" spans="4:12" x14ac:dyDescent="0.25">
      <c r="D75" s="1">
        <v>4</v>
      </c>
      <c r="L75" s="20" t="s">
        <v>419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R150"/>
  <sheetViews>
    <sheetView showGridLines="0" workbookViewId="0">
      <selection activeCell="B7" sqref="B7"/>
    </sheetView>
  </sheetViews>
  <sheetFormatPr defaultRowHeight="12.5" x14ac:dyDescent="0.25"/>
  <sheetData>
    <row r="2" spans="2:18" ht="13" x14ac:dyDescent="0.3">
      <c r="B2" s="432" t="s">
        <v>480</v>
      </c>
      <c r="C2" s="432"/>
      <c r="D2" s="432"/>
      <c r="E2" s="432"/>
      <c r="F2" s="432"/>
      <c r="G2" s="432"/>
      <c r="H2" s="432"/>
      <c r="I2" s="432"/>
      <c r="J2" s="432"/>
      <c r="K2" s="432"/>
      <c r="L2" s="432"/>
      <c r="M2" s="432"/>
      <c r="N2" s="432"/>
      <c r="O2" s="432"/>
      <c r="P2" s="432"/>
    </row>
    <row r="4" spans="2:18" ht="15.5" x14ac:dyDescent="0.35">
      <c r="B4" s="286" t="s">
        <v>1070</v>
      </c>
      <c r="C4" s="287"/>
      <c r="D4" s="288"/>
      <c r="E4" s="288"/>
      <c r="F4" s="288"/>
      <c r="G4" s="288"/>
      <c r="H4" s="288"/>
      <c r="I4" s="288"/>
      <c r="J4" s="288"/>
      <c r="K4" s="288"/>
      <c r="L4" s="288"/>
      <c r="M4" s="288"/>
      <c r="N4" s="288"/>
      <c r="O4" s="288"/>
      <c r="P4" s="288"/>
      <c r="Q4" s="287"/>
      <c r="R4" s="287"/>
    </row>
    <row r="6" spans="2:18" ht="76" customHeight="1" x14ac:dyDescent="0.25">
      <c r="B6" s="436" t="s">
        <v>1339</v>
      </c>
      <c r="C6" s="436"/>
      <c r="D6" s="436"/>
      <c r="E6" s="436"/>
      <c r="F6" s="436"/>
      <c r="G6" s="436"/>
      <c r="H6" s="436"/>
      <c r="I6" s="436"/>
      <c r="J6" s="436"/>
      <c r="K6" s="436"/>
      <c r="L6" s="436"/>
      <c r="M6" s="436"/>
      <c r="N6" s="436"/>
      <c r="O6" s="436"/>
      <c r="P6" s="436"/>
      <c r="Q6" s="436"/>
    </row>
    <row r="8" spans="2:18" ht="13" x14ac:dyDescent="0.3">
      <c r="B8" s="70" t="s">
        <v>131</v>
      </c>
      <c r="K8" s="70" t="s">
        <v>133</v>
      </c>
    </row>
    <row r="10" spans="2:18" x14ac:dyDescent="0.25">
      <c r="B10" s="441" t="s">
        <v>544</v>
      </c>
      <c r="C10" s="441"/>
      <c r="D10" s="441"/>
      <c r="E10" s="441"/>
      <c r="F10" s="441"/>
      <c r="G10" s="441"/>
      <c r="H10" s="441"/>
      <c r="I10" s="441"/>
      <c r="K10" s="441" t="s">
        <v>545</v>
      </c>
      <c r="L10" s="441"/>
      <c r="M10" s="441"/>
      <c r="N10" s="441"/>
      <c r="O10" s="441"/>
      <c r="P10" s="441"/>
    </row>
    <row r="11" spans="2:18" x14ac:dyDescent="0.25">
      <c r="B11" s="441"/>
      <c r="C11" s="441"/>
      <c r="D11" s="441"/>
      <c r="E11" s="441"/>
      <c r="F11" s="441"/>
      <c r="G11" s="441"/>
      <c r="H11" s="441"/>
      <c r="I11" s="441"/>
      <c r="K11" s="441"/>
      <c r="L11" s="441"/>
      <c r="M11" s="441"/>
      <c r="N11" s="441"/>
      <c r="O11" s="441"/>
      <c r="P11" s="441"/>
    </row>
    <row r="12" spans="2:18" x14ac:dyDescent="0.25">
      <c r="B12" s="441"/>
      <c r="C12" s="441"/>
      <c r="D12" s="441"/>
      <c r="E12" s="441"/>
      <c r="F12" s="441"/>
      <c r="G12" s="441"/>
      <c r="H12" s="441"/>
      <c r="I12" s="441"/>
      <c r="K12" s="441"/>
      <c r="L12" s="441"/>
      <c r="M12" s="441"/>
      <c r="N12" s="441"/>
      <c r="O12" s="441"/>
      <c r="P12" s="441"/>
    </row>
    <row r="13" spans="2:18" x14ac:dyDescent="0.25">
      <c r="B13" s="441"/>
      <c r="C13" s="441"/>
      <c r="D13" s="441"/>
      <c r="E13" s="441"/>
      <c r="F13" s="441"/>
      <c r="G13" s="441"/>
      <c r="H13" s="441"/>
      <c r="I13" s="441"/>
      <c r="K13" s="441"/>
      <c r="L13" s="441"/>
      <c r="M13" s="441"/>
      <c r="N13" s="441"/>
      <c r="O13" s="441"/>
      <c r="P13" s="441"/>
    </row>
    <row r="14" spans="2:18" x14ac:dyDescent="0.25">
      <c r="B14" s="441"/>
      <c r="C14" s="441"/>
      <c r="D14" s="441"/>
      <c r="E14" s="441"/>
      <c r="F14" s="441"/>
      <c r="G14" s="441"/>
      <c r="H14" s="441"/>
      <c r="I14" s="441"/>
      <c r="K14" s="441"/>
      <c r="L14" s="441"/>
      <c r="M14" s="441"/>
      <c r="N14" s="441"/>
      <c r="O14" s="441"/>
      <c r="P14" s="441"/>
    </row>
    <row r="15" spans="2:18" x14ac:dyDescent="0.25">
      <c r="B15" s="441"/>
      <c r="C15" s="441"/>
      <c r="D15" s="441"/>
      <c r="E15" s="441"/>
      <c r="F15" s="441"/>
      <c r="G15" s="441"/>
      <c r="H15" s="441"/>
      <c r="I15" s="441"/>
      <c r="K15" s="441"/>
      <c r="L15" s="441"/>
      <c r="M15" s="441"/>
      <c r="N15" s="441"/>
      <c r="O15" s="441"/>
      <c r="P15" s="441"/>
    </row>
    <row r="17" spans="2:16" ht="13.15" customHeight="1" x14ac:dyDescent="0.3">
      <c r="B17" s="434" t="s">
        <v>578</v>
      </c>
      <c r="C17" s="434"/>
      <c r="D17" s="434"/>
      <c r="E17" s="434"/>
      <c r="F17" s="434"/>
      <c r="G17" s="434"/>
      <c r="H17" s="434"/>
      <c r="I17" s="434"/>
      <c r="K17" s="70" t="s">
        <v>134</v>
      </c>
      <c r="M17" s="70" t="s">
        <v>135</v>
      </c>
    </row>
    <row r="18" spans="2:16" x14ac:dyDescent="0.25">
      <c r="B18" s="434"/>
      <c r="C18" s="434"/>
      <c r="D18" s="434"/>
      <c r="E18" s="434"/>
      <c r="F18" s="434"/>
      <c r="G18" s="434"/>
      <c r="H18" s="434"/>
      <c r="I18" s="434"/>
    </row>
    <row r="19" spans="2:16" ht="13.15" customHeight="1" x14ac:dyDescent="0.25">
      <c r="B19" s="434"/>
      <c r="C19" s="434"/>
      <c r="D19" s="434"/>
      <c r="E19" s="434"/>
      <c r="F19" s="434"/>
      <c r="G19" s="434"/>
      <c r="H19" s="434"/>
      <c r="I19" s="434"/>
      <c r="K19" s="136"/>
      <c r="M19" s="434" t="s">
        <v>546</v>
      </c>
      <c r="N19" s="434"/>
      <c r="O19" s="434"/>
      <c r="P19" s="434"/>
    </row>
    <row r="20" spans="2:16" x14ac:dyDescent="0.25">
      <c r="B20" s="434"/>
      <c r="C20" s="434"/>
      <c r="D20" s="434"/>
      <c r="E20" s="434"/>
      <c r="F20" s="434"/>
      <c r="G20" s="434"/>
      <c r="H20" s="434"/>
      <c r="I20" s="434"/>
      <c r="K20" s="137"/>
      <c r="M20" s="434"/>
      <c r="N20" s="434"/>
      <c r="O20" s="434"/>
      <c r="P20" s="434"/>
    </row>
    <row r="21" spans="2:16" x14ac:dyDescent="0.25">
      <c r="B21" s="434"/>
      <c r="C21" s="434"/>
      <c r="D21" s="434"/>
      <c r="E21" s="434"/>
      <c r="F21" s="434"/>
      <c r="G21" s="434"/>
      <c r="H21" s="434"/>
      <c r="I21" s="434"/>
    </row>
    <row r="22" spans="2:16" ht="13.15" customHeight="1" x14ac:dyDescent="0.25">
      <c r="B22" s="434"/>
      <c r="C22" s="434"/>
      <c r="D22" s="434"/>
      <c r="E22" s="434"/>
      <c r="F22" s="434"/>
      <c r="G22" s="434"/>
      <c r="H22" s="434"/>
      <c r="I22" s="434"/>
      <c r="K22" s="138"/>
      <c r="M22" s="441" t="s">
        <v>547</v>
      </c>
      <c r="N22" s="441"/>
      <c r="O22" s="441"/>
      <c r="P22" s="441"/>
    </row>
    <row r="23" spans="2:16" x14ac:dyDescent="0.25">
      <c r="B23" s="434"/>
      <c r="C23" s="434"/>
      <c r="D23" s="434"/>
      <c r="E23" s="434"/>
      <c r="F23" s="434"/>
      <c r="G23" s="434"/>
      <c r="H23" s="434"/>
      <c r="I23" s="434"/>
      <c r="K23" s="139"/>
      <c r="M23" s="441"/>
      <c r="N23" s="441"/>
      <c r="O23" s="441"/>
      <c r="P23" s="441"/>
    </row>
    <row r="24" spans="2:16" x14ac:dyDescent="0.25">
      <c r="B24" s="434"/>
      <c r="C24" s="434"/>
      <c r="D24" s="434"/>
      <c r="E24" s="434"/>
      <c r="F24" s="434"/>
      <c r="G24" s="434"/>
      <c r="H24" s="434"/>
      <c r="I24" s="434"/>
      <c r="M24" s="441"/>
      <c r="N24" s="441"/>
      <c r="O24" s="441"/>
      <c r="P24" s="441"/>
    </row>
    <row r="25" spans="2:16" x14ac:dyDescent="0.25">
      <c r="B25" s="20" t="s">
        <v>128</v>
      </c>
    </row>
    <row r="26" spans="2:16" ht="13.15" customHeight="1" x14ac:dyDescent="0.25">
      <c r="K26" s="140"/>
      <c r="M26" s="434" t="s">
        <v>548</v>
      </c>
      <c r="N26" s="434"/>
      <c r="O26" s="434"/>
      <c r="P26" s="434"/>
    </row>
    <row r="27" spans="2:16" x14ac:dyDescent="0.25">
      <c r="K27" s="141"/>
      <c r="M27" s="434"/>
      <c r="N27" s="434"/>
      <c r="O27" s="434"/>
      <c r="P27" s="434"/>
    </row>
    <row r="28" spans="2:16" ht="13" x14ac:dyDescent="0.3">
      <c r="B28" s="70" t="s">
        <v>129</v>
      </c>
      <c r="E28" s="71" t="s">
        <v>130</v>
      </c>
      <c r="M28" s="434"/>
      <c r="N28" s="434"/>
      <c r="O28" s="434"/>
      <c r="P28" s="434"/>
    </row>
    <row r="29" spans="2:16" x14ac:dyDescent="0.25">
      <c r="M29" s="434"/>
      <c r="N29" s="434"/>
      <c r="O29" s="434"/>
      <c r="P29" s="434"/>
    </row>
    <row r="30" spans="2:16" x14ac:dyDescent="0.25">
      <c r="B30" s="20" t="s">
        <v>132</v>
      </c>
      <c r="E30" s="441" t="s">
        <v>549</v>
      </c>
      <c r="F30" s="441"/>
      <c r="G30" s="441"/>
      <c r="H30" s="441"/>
      <c r="I30" s="441"/>
      <c r="M30" s="434"/>
      <c r="N30" s="434"/>
      <c r="O30" s="434"/>
      <c r="P30" s="434"/>
    </row>
    <row r="31" spans="2:16" x14ac:dyDescent="0.25">
      <c r="E31" s="441"/>
      <c r="F31" s="441"/>
      <c r="G31" s="441"/>
      <c r="H31" s="441"/>
      <c r="I31" s="441"/>
      <c r="M31" s="434"/>
      <c r="N31" s="434"/>
      <c r="O31" s="434"/>
      <c r="P31" s="434"/>
    </row>
    <row r="32" spans="2:16" x14ac:dyDescent="0.25">
      <c r="E32" s="441"/>
      <c r="F32" s="441"/>
      <c r="G32" s="441"/>
      <c r="H32" s="441"/>
      <c r="I32" s="441"/>
      <c r="M32" s="434"/>
      <c r="N32" s="434"/>
      <c r="O32" s="434"/>
      <c r="P32" s="434"/>
    </row>
    <row r="33" spans="2:16" x14ac:dyDescent="0.25">
      <c r="M33" s="434"/>
      <c r="N33" s="434"/>
      <c r="O33" s="434"/>
      <c r="P33" s="434"/>
    </row>
    <row r="34" spans="2:16" x14ac:dyDescent="0.25">
      <c r="B34" s="20" t="s">
        <v>576</v>
      </c>
      <c r="E34" s="434" t="s">
        <v>1045</v>
      </c>
      <c r="F34" s="441"/>
      <c r="G34" s="441"/>
      <c r="H34" s="441"/>
      <c r="I34" s="441"/>
      <c r="M34" s="434"/>
      <c r="N34" s="434"/>
      <c r="O34" s="434"/>
      <c r="P34" s="434"/>
    </row>
    <row r="35" spans="2:16" x14ac:dyDescent="0.25">
      <c r="E35" s="441"/>
      <c r="F35" s="441"/>
      <c r="G35" s="441"/>
      <c r="H35" s="441"/>
      <c r="I35" s="441"/>
      <c r="M35" s="434"/>
      <c r="N35" s="434"/>
      <c r="O35" s="434"/>
      <c r="P35" s="434"/>
    </row>
    <row r="36" spans="2:16" x14ac:dyDescent="0.25">
      <c r="E36" s="441"/>
      <c r="F36" s="441"/>
      <c r="G36" s="441"/>
      <c r="H36" s="441"/>
      <c r="I36" s="441"/>
      <c r="M36" s="434"/>
      <c r="N36" s="434"/>
      <c r="O36" s="434"/>
      <c r="P36" s="434"/>
    </row>
    <row r="37" spans="2:16" ht="29.25" customHeight="1" x14ac:dyDescent="0.25">
      <c r="E37" s="441"/>
      <c r="F37" s="441"/>
      <c r="G37" s="441"/>
      <c r="H37" s="441"/>
      <c r="I37" s="441"/>
      <c r="M37" s="434"/>
      <c r="N37" s="434"/>
      <c r="O37" s="434"/>
      <c r="P37" s="434"/>
    </row>
    <row r="38" spans="2:16" ht="21.75" customHeight="1" x14ac:dyDescent="0.25">
      <c r="M38" s="434"/>
      <c r="N38" s="434"/>
      <c r="O38" s="434"/>
      <c r="P38" s="434"/>
    </row>
    <row r="39" spans="2:16" x14ac:dyDescent="0.25">
      <c r="M39" s="154"/>
    </row>
    <row r="40" spans="2:16" x14ac:dyDescent="0.25">
      <c r="B40" s="284" t="s">
        <v>1049</v>
      </c>
      <c r="C40" s="284"/>
      <c r="D40" s="284"/>
      <c r="E40" s="435" t="s">
        <v>1050</v>
      </c>
      <c r="F40" s="435"/>
      <c r="G40" s="435"/>
      <c r="H40" s="435"/>
      <c r="I40" s="435"/>
    </row>
    <row r="41" spans="2:16" x14ac:dyDescent="0.25">
      <c r="B41" s="284"/>
      <c r="C41" s="284"/>
      <c r="D41" s="284"/>
      <c r="E41" s="435"/>
      <c r="F41" s="435"/>
      <c r="G41" s="435"/>
      <c r="H41" s="435"/>
      <c r="I41" s="435"/>
      <c r="K41" s="154" t="s">
        <v>525</v>
      </c>
      <c r="L41" s="154"/>
    </row>
    <row r="42" spans="2:16" x14ac:dyDescent="0.25">
      <c r="B42" s="284"/>
      <c r="C42" s="284"/>
      <c r="D42" s="284"/>
      <c r="E42" s="435"/>
      <c r="F42" s="435"/>
      <c r="G42" s="435"/>
      <c r="H42" s="435"/>
      <c r="I42" s="435"/>
      <c r="L42" t="s">
        <v>526</v>
      </c>
    </row>
    <row r="43" spans="2:16" x14ac:dyDescent="0.25">
      <c r="B43" s="284"/>
      <c r="C43" s="284"/>
      <c r="D43" s="284"/>
      <c r="E43" s="435"/>
      <c r="F43" s="435"/>
      <c r="G43" s="435"/>
      <c r="H43" s="435"/>
      <c r="I43" s="435"/>
      <c r="L43" t="s">
        <v>527</v>
      </c>
    </row>
    <row r="44" spans="2:16" ht="88.5" customHeight="1" x14ac:dyDescent="0.25">
      <c r="B44" s="284"/>
      <c r="C44" s="284"/>
      <c r="D44" s="284"/>
      <c r="E44" s="435"/>
      <c r="F44" s="435"/>
      <c r="G44" s="435"/>
      <c r="H44" s="435"/>
      <c r="I44" s="435"/>
      <c r="L44" t="s">
        <v>528</v>
      </c>
    </row>
    <row r="45" spans="2:16" x14ac:dyDescent="0.25">
      <c r="L45" t="s">
        <v>529</v>
      </c>
    </row>
    <row r="47" spans="2:16" x14ac:dyDescent="0.25">
      <c r="L47" t="s">
        <v>530</v>
      </c>
    </row>
    <row r="48" spans="2:16" x14ac:dyDescent="0.25">
      <c r="L48" t="s">
        <v>531</v>
      </c>
    </row>
    <row r="49" spans="2:14" x14ac:dyDescent="0.25">
      <c r="B49" s="20" t="s">
        <v>577</v>
      </c>
      <c r="E49" s="434" t="s">
        <v>1046</v>
      </c>
      <c r="F49" s="434"/>
      <c r="G49" s="434"/>
      <c r="H49" s="434"/>
      <c r="I49" s="434"/>
    </row>
    <row r="50" spans="2:14" x14ac:dyDescent="0.25">
      <c r="E50" s="434"/>
      <c r="F50" s="434"/>
      <c r="G50" s="434"/>
      <c r="H50" s="434"/>
      <c r="I50" s="434"/>
      <c r="K50" s="154" t="s">
        <v>543</v>
      </c>
    </row>
    <row r="51" spans="2:14" ht="63" customHeight="1" x14ac:dyDescent="0.25">
      <c r="E51" s="434"/>
      <c r="F51" s="434"/>
      <c r="G51" s="434"/>
      <c r="H51" s="434"/>
      <c r="I51" s="434"/>
      <c r="L51" s="284" t="s">
        <v>1068</v>
      </c>
      <c r="M51" s="284"/>
      <c r="N51" s="284"/>
    </row>
    <row r="52" spans="2:14" ht="23.25" customHeight="1" x14ac:dyDescent="0.25">
      <c r="E52" s="434"/>
      <c r="F52" s="434"/>
      <c r="G52" s="434"/>
      <c r="H52" s="434"/>
      <c r="I52" s="434"/>
      <c r="L52" s="284" t="s">
        <v>1069</v>
      </c>
      <c r="M52" s="284"/>
      <c r="N52" s="284"/>
    </row>
    <row r="53" spans="2:14" x14ac:dyDescent="0.25">
      <c r="E53" s="434"/>
      <c r="F53" s="434"/>
      <c r="G53" s="434"/>
      <c r="H53" s="434"/>
      <c r="I53" s="434"/>
    </row>
    <row r="54" spans="2:14" x14ac:dyDescent="0.25">
      <c r="E54" s="434"/>
      <c r="F54" s="434"/>
      <c r="G54" s="434"/>
      <c r="H54" s="434"/>
      <c r="I54" s="434"/>
    </row>
    <row r="55" spans="2:14" x14ac:dyDescent="0.25">
      <c r="B55" s="284" t="s">
        <v>1051</v>
      </c>
      <c r="C55" s="284"/>
      <c r="D55" s="284"/>
      <c r="E55" s="435" t="s">
        <v>1052</v>
      </c>
      <c r="F55" s="435"/>
      <c r="G55" s="435"/>
      <c r="H55" s="435"/>
      <c r="I55" s="435"/>
    </row>
    <row r="56" spans="2:14" x14ac:dyDescent="0.25">
      <c r="B56" s="284"/>
      <c r="C56" s="284"/>
      <c r="D56" s="284"/>
      <c r="E56" s="435"/>
      <c r="F56" s="435"/>
      <c r="G56" s="435"/>
      <c r="H56" s="435"/>
      <c r="I56" s="435"/>
    </row>
    <row r="57" spans="2:14" x14ac:dyDescent="0.25">
      <c r="B57" s="284"/>
      <c r="C57" s="284"/>
      <c r="D57" s="284"/>
      <c r="E57" s="435"/>
      <c r="F57" s="435"/>
      <c r="G57" s="435"/>
      <c r="H57" s="435"/>
      <c r="I57" s="435"/>
    </row>
    <row r="58" spans="2:14" x14ac:dyDescent="0.25">
      <c r="B58" s="284"/>
      <c r="C58" s="284"/>
      <c r="D58" s="284"/>
      <c r="E58" s="435"/>
      <c r="F58" s="435"/>
      <c r="G58" s="435"/>
      <c r="H58" s="435"/>
      <c r="I58" s="435"/>
    </row>
    <row r="59" spans="2:14" ht="96.75" customHeight="1" x14ac:dyDescent="0.25">
      <c r="B59" s="284"/>
      <c r="C59" s="284"/>
      <c r="D59" s="284"/>
      <c r="E59" s="435"/>
      <c r="F59" s="435"/>
      <c r="G59" s="435"/>
      <c r="H59" s="435"/>
      <c r="I59" s="435"/>
    </row>
    <row r="62" spans="2:14" x14ac:dyDescent="0.25">
      <c r="B62" s="20" t="s">
        <v>579</v>
      </c>
      <c r="E62" s="434" t="s">
        <v>1047</v>
      </c>
      <c r="F62" s="441"/>
      <c r="G62" s="441"/>
      <c r="H62" s="441"/>
      <c r="I62" s="441"/>
    </row>
    <row r="63" spans="2:14" x14ac:dyDescent="0.25">
      <c r="E63" s="441"/>
      <c r="F63" s="441"/>
      <c r="G63" s="441"/>
      <c r="H63" s="441"/>
      <c r="I63" s="441"/>
    </row>
    <row r="64" spans="2:14" x14ac:dyDescent="0.25">
      <c r="E64" s="441"/>
      <c r="F64" s="441"/>
      <c r="G64" s="441"/>
      <c r="H64" s="441"/>
      <c r="I64" s="441"/>
    </row>
    <row r="65" spans="2:9" x14ac:dyDescent="0.25">
      <c r="E65" s="441"/>
      <c r="F65" s="441"/>
      <c r="G65" s="441"/>
      <c r="H65" s="441"/>
      <c r="I65" s="441"/>
    </row>
    <row r="66" spans="2:9" x14ac:dyDescent="0.25">
      <c r="E66" s="441"/>
      <c r="F66" s="441"/>
      <c r="G66" s="441"/>
      <c r="H66" s="441"/>
      <c r="I66" s="441"/>
    </row>
    <row r="67" spans="2:9" ht="57" customHeight="1" x14ac:dyDescent="0.25">
      <c r="E67" s="441"/>
      <c r="F67" s="441"/>
      <c r="G67" s="441"/>
      <c r="H67" s="441"/>
      <c r="I67" s="441"/>
    </row>
    <row r="71" spans="2:9" x14ac:dyDescent="0.25">
      <c r="B71" s="20" t="s">
        <v>580</v>
      </c>
      <c r="E71" s="434" t="s">
        <v>1048</v>
      </c>
      <c r="F71" s="441"/>
      <c r="G71" s="441"/>
      <c r="H71" s="441"/>
      <c r="I71" s="441"/>
    </row>
    <row r="72" spans="2:9" x14ac:dyDescent="0.25">
      <c r="E72" s="441"/>
      <c r="F72" s="441"/>
      <c r="G72" s="441"/>
      <c r="H72" s="441"/>
      <c r="I72" s="441"/>
    </row>
    <row r="73" spans="2:9" x14ac:dyDescent="0.25">
      <c r="E73" s="441"/>
      <c r="F73" s="441"/>
      <c r="G73" s="441"/>
      <c r="H73" s="441"/>
      <c r="I73" s="441"/>
    </row>
    <row r="74" spans="2:9" x14ac:dyDescent="0.25">
      <c r="E74" s="441"/>
      <c r="F74" s="441"/>
      <c r="G74" s="441"/>
      <c r="H74" s="441"/>
      <c r="I74" s="441"/>
    </row>
    <row r="75" spans="2:9" x14ac:dyDescent="0.25">
      <c r="E75" s="441"/>
      <c r="F75" s="441"/>
      <c r="G75" s="441"/>
      <c r="H75" s="441"/>
      <c r="I75" s="441"/>
    </row>
    <row r="76" spans="2:9" x14ac:dyDescent="0.25">
      <c r="E76" s="441"/>
      <c r="F76" s="441"/>
      <c r="G76" s="441"/>
      <c r="H76" s="441"/>
      <c r="I76" s="441"/>
    </row>
    <row r="77" spans="2:9" ht="63" customHeight="1" x14ac:dyDescent="0.25">
      <c r="E77" s="441"/>
      <c r="F77" s="441"/>
      <c r="G77" s="441"/>
      <c r="H77" s="441"/>
      <c r="I77" s="441"/>
    </row>
    <row r="80" spans="2:9" ht="16.5" customHeight="1" x14ac:dyDescent="0.25"/>
    <row r="81" spans="2:9" x14ac:dyDescent="0.25">
      <c r="B81" s="284" t="s">
        <v>1053</v>
      </c>
      <c r="C81" s="284"/>
      <c r="D81" s="284"/>
      <c r="E81" s="435" t="s">
        <v>1054</v>
      </c>
      <c r="F81" s="435"/>
      <c r="G81" s="435"/>
      <c r="H81" s="435"/>
      <c r="I81" s="435"/>
    </row>
    <row r="82" spans="2:9" ht="43.15" customHeight="1" x14ac:dyDescent="0.25">
      <c r="B82" s="284"/>
      <c r="C82" s="284"/>
      <c r="D82" s="284"/>
      <c r="E82" s="435"/>
      <c r="F82" s="435"/>
      <c r="G82" s="435"/>
      <c r="H82" s="435"/>
      <c r="I82" s="435"/>
    </row>
    <row r="83" spans="2:9" ht="39" customHeight="1" x14ac:dyDescent="0.25">
      <c r="B83" s="284"/>
      <c r="C83" s="284"/>
      <c r="D83" s="284"/>
      <c r="E83" s="435"/>
      <c r="F83" s="435"/>
      <c r="G83" s="435"/>
      <c r="H83" s="435"/>
      <c r="I83" s="435"/>
    </row>
    <row r="84" spans="2:9" x14ac:dyDescent="0.25">
      <c r="B84" s="284"/>
      <c r="C84" s="284"/>
      <c r="D84" s="284"/>
      <c r="E84" s="435"/>
      <c r="F84" s="435"/>
      <c r="G84" s="435"/>
      <c r="H84" s="435"/>
      <c r="I84" s="435"/>
    </row>
    <row r="85" spans="2:9" x14ac:dyDescent="0.25">
      <c r="B85" s="284"/>
      <c r="C85" s="284"/>
      <c r="D85" s="284"/>
      <c r="E85" s="435"/>
      <c r="F85" s="435"/>
      <c r="G85" s="435"/>
      <c r="H85" s="435"/>
      <c r="I85" s="435"/>
    </row>
    <row r="86" spans="2:9" x14ac:dyDescent="0.25">
      <c r="E86" s="268"/>
      <c r="F86" s="268"/>
      <c r="G86" s="268"/>
      <c r="H86" s="268"/>
      <c r="I86" s="268"/>
    </row>
    <row r="87" spans="2:9" x14ac:dyDescent="0.25">
      <c r="E87" s="268"/>
      <c r="F87" s="268"/>
      <c r="G87" s="268"/>
      <c r="H87" s="268"/>
      <c r="I87" s="268"/>
    </row>
    <row r="90" spans="2:9" x14ac:dyDescent="0.25">
      <c r="B90" s="284" t="s">
        <v>1055</v>
      </c>
      <c r="C90" s="284"/>
      <c r="D90" s="284"/>
      <c r="E90" s="435" t="s">
        <v>1056</v>
      </c>
      <c r="F90" s="435"/>
      <c r="G90" s="435"/>
      <c r="H90" s="435"/>
      <c r="I90" s="435"/>
    </row>
    <row r="91" spans="2:9" x14ac:dyDescent="0.25">
      <c r="B91" s="284"/>
      <c r="C91" s="284"/>
      <c r="D91" s="284"/>
      <c r="E91" s="435"/>
      <c r="F91" s="435"/>
      <c r="G91" s="435"/>
      <c r="H91" s="435"/>
      <c r="I91" s="435"/>
    </row>
    <row r="92" spans="2:9" x14ac:dyDescent="0.25">
      <c r="B92" s="284"/>
      <c r="C92" s="284"/>
      <c r="D92" s="284"/>
      <c r="E92" s="435"/>
      <c r="F92" s="435"/>
      <c r="G92" s="435"/>
      <c r="H92" s="435"/>
      <c r="I92" s="435"/>
    </row>
    <row r="93" spans="2:9" x14ac:dyDescent="0.25">
      <c r="B93" s="284"/>
      <c r="C93" s="284"/>
      <c r="D93" s="284"/>
      <c r="E93" s="435"/>
      <c r="F93" s="435"/>
      <c r="G93" s="435"/>
      <c r="H93" s="435"/>
      <c r="I93" s="435"/>
    </row>
    <row r="94" spans="2:9" x14ac:dyDescent="0.25">
      <c r="B94" s="284"/>
      <c r="C94" s="284"/>
      <c r="D94" s="284"/>
      <c r="E94" s="435"/>
      <c r="F94" s="435"/>
      <c r="G94" s="435"/>
      <c r="H94" s="435"/>
      <c r="I94" s="435"/>
    </row>
    <row r="99" spans="2:9" x14ac:dyDescent="0.25">
      <c r="B99" s="20" t="s">
        <v>581</v>
      </c>
      <c r="E99" s="434" t="s">
        <v>550</v>
      </c>
      <c r="F99" s="434"/>
      <c r="G99" s="434"/>
      <c r="H99" s="434"/>
      <c r="I99" s="434"/>
    </row>
    <row r="100" spans="2:9" x14ac:dyDescent="0.25">
      <c r="E100" s="434"/>
      <c r="F100" s="434"/>
      <c r="G100" s="434"/>
      <c r="H100" s="434"/>
      <c r="I100" s="434"/>
    </row>
    <row r="101" spans="2:9" x14ac:dyDescent="0.25">
      <c r="E101" s="434"/>
      <c r="F101" s="434"/>
      <c r="G101" s="434"/>
      <c r="H101" s="434"/>
      <c r="I101" s="434"/>
    </row>
    <row r="103" spans="2:9" x14ac:dyDescent="0.25">
      <c r="B103" s="20" t="s">
        <v>582</v>
      </c>
      <c r="E103" s="434" t="s">
        <v>551</v>
      </c>
      <c r="F103" s="434"/>
      <c r="G103" s="434"/>
      <c r="H103" s="434"/>
      <c r="I103" s="434"/>
    </row>
    <row r="104" spans="2:9" x14ac:dyDescent="0.25">
      <c r="E104" s="434"/>
      <c r="F104" s="434"/>
      <c r="G104" s="434"/>
      <c r="H104" s="434"/>
      <c r="I104" s="434"/>
    </row>
    <row r="105" spans="2:9" x14ac:dyDescent="0.25">
      <c r="E105" s="434"/>
      <c r="F105" s="434"/>
      <c r="G105" s="434"/>
      <c r="H105" s="434"/>
      <c r="I105" s="434"/>
    </row>
    <row r="109" spans="2:9" x14ac:dyDescent="0.25">
      <c r="B109" s="284" t="s">
        <v>1057</v>
      </c>
      <c r="C109" s="284"/>
      <c r="D109" s="284"/>
      <c r="E109" s="435" t="s">
        <v>1058</v>
      </c>
      <c r="F109" s="435"/>
      <c r="G109" s="435"/>
      <c r="H109" s="435"/>
      <c r="I109" s="435"/>
    </row>
    <row r="110" spans="2:9" x14ac:dyDescent="0.25">
      <c r="B110" s="284"/>
      <c r="C110" s="284"/>
      <c r="D110" s="284"/>
      <c r="E110" s="435"/>
      <c r="F110" s="435"/>
      <c r="G110" s="435"/>
      <c r="H110" s="435"/>
      <c r="I110" s="435"/>
    </row>
    <row r="111" spans="2:9" x14ac:dyDescent="0.25">
      <c r="B111" s="284"/>
      <c r="C111" s="284"/>
      <c r="D111" s="284"/>
      <c r="E111" s="435"/>
      <c r="F111" s="435"/>
      <c r="G111" s="435"/>
      <c r="H111" s="435"/>
      <c r="I111" s="435"/>
    </row>
    <row r="112" spans="2:9" x14ac:dyDescent="0.25">
      <c r="B112" s="284"/>
      <c r="C112" s="284"/>
      <c r="D112" s="284"/>
      <c r="E112" s="435"/>
      <c r="F112" s="435"/>
      <c r="G112" s="435"/>
      <c r="H112" s="435"/>
      <c r="I112" s="435"/>
    </row>
    <row r="113" spans="2:9" x14ac:dyDescent="0.25">
      <c r="B113" s="284"/>
      <c r="C113" s="284"/>
      <c r="D113" s="284"/>
      <c r="E113" s="285"/>
      <c r="F113" s="285"/>
      <c r="G113" s="285"/>
      <c r="H113" s="285"/>
      <c r="I113" s="285"/>
    </row>
    <row r="114" spans="2:9" x14ac:dyDescent="0.25">
      <c r="B114" s="284" t="s">
        <v>1059</v>
      </c>
      <c r="C114" s="284"/>
      <c r="D114" s="284"/>
      <c r="E114" s="435" t="s">
        <v>1060</v>
      </c>
      <c r="F114" s="435"/>
      <c r="G114" s="435"/>
      <c r="H114" s="435"/>
      <c r="I114" s="435"/>
    </row>
    <row r="115" spans="2:9" x14ac:dyDescent="0.25">
      <c r="B115" s="284"/>
      <c r="C115" s="284"/>
      <c r="D115" s="284"/>
      <c r="E115" s="435"/>
      <c r="F115" s="435"/>
      <c r="G115" s="435"/>
      <c r="H115" s="435"/>
      <c r="I115" s="435"/>
    </row>
    <row r="116" spans="2:9" x14ac:dyDescent="0.25">
      <c r="B116" s="284"/>
      <c r="C116" s="284"/>
      <c r="D116" s="284"/>
      <c r="E116" s="435"/>
      <c r="F116" s="435"/>
      <c r="G116" s="435"/>
      <c r="H116" s="435"/>
      <c r="I116" s="435"/>
    </row>
    <row r="117" spans="2:9" x14ac:dyDescent="0.25">
      <c r="B117" s="284"/>
      <c r="C117" s="284"/>
      <c r="D117" s="284"/>
      <c r="E117" s="435"/>
      <c r="F117" s="435"/>
      <c r="G117" s="435"/>
      <c r="H117" s="435"/>
      <c r="I117" s="435"/>
    </row>
    <row r="119" spans="2:9" x14ac:dyDescent="0.25">
      <c r="B119" s="284" t="s">
        <v>1061</v>
      </c>
      <c r="C119" s="284"/>
      <c r="D119" s="284"/>
      <c r="E119" s="435" t="s">
        <v>1062</v>
      </c>
      <c r="F119" s="435"/>
      <c r="G119" s="435"/>
      <c r="H119" s="435"/>
      <c r="I119" s="435"/>
    </row>
    <row r="120" spans="2:9" x14ac:dyDescent="0.25">
      <c r="B120" s="284"/>
      <c r="C120" s="284"/>
      <c r="D120" s="284"/>
      <c r="E120" s="435"/>
      <c r="F120" s="435"/>
      <c r="G120" s="435"/>
      <c r="H120" s="435"/>
      <c r="I120" s="435"/>
    </row>
    <row r="121" spans="2:9" x14ac:dyDescent="0.25">
      <c r="B121" s="284"/>
      <c r="C121" s="284"/>
      <c r="D121" s="284"/>
      <c r="E121" s="435"/>
      <c r="F121" s="435"/>
      <c r="G121" s="435"/>
      <c r="H121" s="435"/>
      <c r="I121" s="435"/>
    </row>
    <row r="122" spans="2:9" x14ac:dyDescent="0.25">
      <c r="B122" s="284"/>
      <c r="C122" s="284"/>
      <c r="D122" s="284"/>
      <c r="E122" s="435"/>
      <c r="F122" s="435"/>
      <c r="G122" s="435"/>
      <c r="H122" s="435"/>
      <c r="I122" s="435"/>
    </row>
    <row r="123" spans="2:9" x14ac:dyDescent="0.25">
      <c r="B123" s="284"/>
      <c r="C123" s="284"/>
      <c r="D123" s="284"/>
      <c r="E123" s="285"/>
      <c r="F123" s="285"/>
      <c r="G123" s="285"/>
      <c r="H123" s="285"/>
      <c r="I123" s="285"/>
    </row>
    <row r="124" spans="2:9" x14ac:dyDescent="0.25">
      <c r="B124" s="284" t="s">
        <v>1063</v>
      </c>
      <c r="C124" s="284"/>
      <c r="D124" s="284"/>
      <c r="E124" s="435" t="s">
        <v>1064</v>
      </c>
      <c r="F124" s="435"/>
      <c r="G124" s="435"/>
      <c r="H124" s="435"/>
      <c r="I124" s="435"/>
    </row>
    <row r="125" spans="2:9" x14ac:dyDescent="0.25">
      <c r="B125" s="284"/>
      <c r="C125" s="284"/>
      <c r="D125" s="284"/>
      <c r="E125" s="435"/>
      <c r="F125" s="435"/>
      <c r="G125" s="435"/>
      <c r="H125" s="435"/>
      <c r="I125" s="435"/>
    </row>
    <row r="126" spans="2:9" x14ac:dyDescent="0.25">
      <c r="B126" s="284"/>
      <c r="C126" s="284"/>
      <c r="D126" s="284"/>
      <c r="E126" s="435"/>
      <c r="F126" s="435"/>
      <c r="G126" s="435"/>
      <c r="H126" s="435"/>
      <c r="I126" s="435"/>
    </row>
    <row r="127" spans="2:9" x14ac:dyDescent="0.25">
      <c r="B127" s="284"/>
      <c r="C127" s="284"/>
      <c r="D127" s="284"/>
      <c r="E127" s="435"/>
      <c r="F127" s="435"/>
      <c r="G127" s="435"/>
      <c r="H127" s="435"/>
      <c r="I127" s="435"/>
    </row>
    <row r="130" spans="2:16" x14ac:dyDescent="0.25">
      <c r="B130" s="20" t="s">
        <v>583</v>
      </c>
      <c r="E130" s="441" t="s">
        <v>552</v>
      </c>
      <c r="F130" s="441"/>
      <c r="G130" s="441"/>
      <c r="H130" s="441"/>
      <c r="I130" s="441"/>
    </row>
    <row r="131" spans="2:16" x14ac:dyDescent="0.25">
      <c r="E131" s="441"/>
      <c r="F131" s="441"/>
      <c r="G131" s="441"/>
      <c r="H131" s="441"/>
      <c r="I131" s="441"/>
    </row>
    <row r="132" spans="2:16" x14ac:dyDescent="0.25">
      <c r="E132" s="441"/>
      <c r="F132" s="441"/>
      <c r="G132" s="441"/>
      <c r="H132" s="441"/>
      <c r="I132" s="441"/>
    </row>
    <row r="133" spans="2:16" x14ac:dyDescent="0.25">
      <c r="E133" s="441"/>
      <c r="F133" s="441"/>
      <c r="G133" s="441"/>
      <c r="H133" s="441"/>
      <c r="I133" s="441"/>
    </row>
    <row r="134" spans="2:16" x14ac:dyDescent="0.25">
      <c r="E134" s="441"/>
      <c r="F134" s="441"/>
      <c r="G134" s="441"/>
      <c r="H134" s="441"/>
      <c r="I134" s="441"/>
    </row>
    <row r="135" spans="2:16" x14ac:dyDescent="0.25">
      <c r="E135" s="441"/>
      <c r="F135" s="441"/>
      <c r="G135" s="441"/>
      <c r="H135" s="441"/>
      <c r="I135" s="441"/>
    </row>
    <row r="136" spans="2:16" x14ac:dyDescent="0.25">
      <c r="E136" s="441"/>
      <c r="F136" s="441"/>
      <c r="G136" s="441"/>
      <c r="H136" s="441"/>
      <c r="I136" s="441"/>
    </row>
    <row r="139" spans="2:16" x14ac:dyDescent="0.25">
      <c r="B139" s="154" t="s">
        <v>534</v>
      </c>
    </row>
    <row r="140" spans="2:16" x14ac:dyDescent="0.25">
      <c r="B140" s="433" t="s">
        <v>535</v>
      </c>
      <c r="C140" s="433"/>
      <c r="D140" s="433" t="s">
        <v>536</v>
      </c>
      <c r="E140" s="433"/>
      <c r="F140" s="433"/>
      <c r="G140" s="433"/>
      <c r="H140" s="433"/>
      <c r="I140" s="433" t="s">
        <v>537</v>
      </c>
      <c r="J140" s="433"/>
      <c r="K140" s="433"/>
      <c r="L140" s="433"/>
      <c r="M140" s="433"/>
      <c r="N140" s="433"/>
      <c r="O140" s="433"/>
      <c r="P140" s="433"/>
    </row>
    <row r="141" spans="2:16" ht="28.5" customHeight="1" x14ac:dyDescent="0.25">
      <c r="B141" s="437" t="s">
        <v>538</v>
      </c>
      <c r="C141" s="438"/>
      <c r="D141" s="439" t="s">
        <v>539</v>
      </c>
      <c r="E141" s="439"/>
      <c r="F141" s="439"/>
      <c r="G141" s="439"/>
      <c r="H141" s="439"/>
      <c r="I141" s="439" t="s">
        <v>540</v>
      </c>
      <c r="J141" s="438"/>
      <c r="K141" s="438"/>
      <c r="L141" s="438"/>
      <c r="M141" s="438"/>
      <c r="N141" s="438"/>
      <c r="O141" s="438"/>
      <c r="P141" s="440"/>
    </row>
    <row r="142" spans="2:16" ht="64.5" customHeight="1" x14ac:dyDescent="0.25">
      <c r="B142" s="442" t="s">
        <v>541</v>
      </c>
      <c r="C142" s="443"/>
      <c r="D142" s="444" t="s">
        <v>542</v>
      </c>
      <c r="E142" s="444"/>
      <c r="F142" s="444"/>
      <c r="G142" s="444"/>
      <c r="H142" s="444"/>
      <c r="I142" s="444" t="s">
        <v>584</v>
      </c>
      <c r="J142" s="443"/>
      <c r="K142" s="443"/>
      <c r="L142" s="443"/>
      <c r="M142" s="443"/>
      <c r="N142" s="443"/>
      <c r="O142" s="443"/>
      <c r="P142" s="445"/>
    </row>
    <row r="143" spans="2:16" ht="96" customHeight="1" x14ac:dyDescent="0.25">
      <c r="B143" s="446" t="s">
        <v>589</v>
      </c>
      <c r="C143" s="443"/>
      <c r="D143" s="444" t="s">
        <v>542</v>
      </c>
      <c r="E143" s="444"/>
      <c r="F143" s="444"/>
      <c r="G143" s="444"/>
      <c r="H143" s="444"/>
      <c r="I143" s="444" t="s">
        <v>590</v>
      </c>
      <c r="J143" s="443"/>
      <c r="K143" s="443"/>
      <c r="L143" s="443"/>
      <c r="M143" s="443"/>
      <c r="N143" s="443"/>
      <c r="O143" s="443"/>
      <c r="P143" s="445"/>
    </row>
    <row r="144" spans="2:16" x14ac:dyDescent="0.25">
      <c r="B144" s="446"/>
      <c r="C144" s="443"/>
      <c r="D144" s="444"/>
      <c r="E144" s="444"/>
      <c r="F144" s="444"/>
      <c r="G144" s="444"/>
      <c r="H144" s="444"/>
      <c r="I144" s="443"/>
      <c r="J144" s="443"/>
      <c r="K144" s="443"/>
      <c r="L144" s="443"/>
      <c r="M144" s="443"/>
      <c r="N144" s="443"/>
      <c r="O144" s="443"/>
      <c r="P144" s="445"/>
    </row>
    <row r="145" spans="2:16" x14ac:dyDescent="0.25">
      <c r="B145" s="446"/>
      <c r="C145" s="443"/>
      <c r="D145" s="444"/>
      <c r="E145" s="444"/>
      <c r="F145" s="444"/>
      <c r="G145" s="444"/>
      <c r="H145" s="444"/>
      <c r="I145" s="443"/>
      <c r="J145" s="443"/>
      <c r="K145" s="443"/>
      <c r="L145" s="443"/>
      <c r="M145" s="443"/>
      <c r="N145" s="443"/>
      <c r="O145" s="443"/>
      <c r="P145" s="445"/>
    </row>
    <row r="146" spans="2:16" x14ac:dyDescent="0.25">
      <c r="B146" s="446"/>
      <c r="C146" s="443"/>
      <c r="D146" s="444"/>
      <c r="E146" s="444"/>
      <c r="F146" s="444"/>
      <c r="G146" s="444"/>
      <c r="H146" s="444"/>
      <c r="I146" s="443"/>
      <c r="J146" s="443"/>
      <c r="K146" s="443"/>
      <c r="L146" s="443"/>
      <c r="M146" s="443"/>
      <c r="N146" s="443"/>
      <c r="O146" s="443"/>
      <c r="P146" s="445"/>
    </row>
    <row r="147" spans="2:16" x14ac:dyDescent="0.25">
      <c r="B147" s="447" t="s">
        <v>1065</v>
      </c>
      <c r="C147" s="448"/>
      <c r="D147" s="449" t="s">
        <v>1067</v>
      </c>
      <c r="E147" s="448"/>
      <c r="F147" s="448"/>
      <c r="G147" s="448"/>
      <c r="H147" s="448"/>
      <c r="I147" s="448" t="s">
        <v>1066</v>
      </c>
      <c r="J147" s="448"/>
      <c r="K147" s="448"/>
      <c r="L147" s="448"/>
      <c r="M147" s="448"/>
      <c r="N147" s="448"/>
      <c r="O147" s="448"/>
      <c r="P147" s="450"/>
    </row>
    <row r="148" spans="2:16" x14ac:dyDescent="0.25">
      <c r="B148" s="446"/>
      <c r="C148" s="443"/>
      <c r="D148" s="444"/>
      <c r="E148" s="444"/>
      <c r="F148" s="444"/>
      <c r="G148" s="444"/>
      <c r="H148" s="444"/>
      <c r="I148" s="443"/>
      <c r="J148" s="443"/>
      <c r="K148" s="443"/>
      <c r="L148" s="443"/>
      <c r="M148" s="443"/>
      <c r="N148" s="443"/>
      <c r="O148" s="443"/>
      <c r="P148" s="445"/>
    </row>
    <row r="149" spans="2:16" x14ac:dyDescent="0.25">
      <c r="B149" s="446"/>
      <c r="C149" s="443"/>
      <c r="D149" s="444"/>
      <c r="E149" s="444"/>
      <c r="F149" s="444"/>
      <c r="G149" s="444"/>
      <c r="H149" s="444"/>
      <c r="I149" s="443"/>
      <c r="J149" s="443"/>
      <c r="K149" s="443"/>
      <c r="L149" s="443"/>
      <c r="M149" s="443"/>
      <c r="N149" s="443"/>
      <c r="O149" s="443"/>
      <c r="P149" s="445"/>
    </row>
    <row r="150" spans="2:16" x14ac:dyDescent="0.25">
      <c r="B150" s="451"/>
      <c r="C150" s="452"/>
      <c r="D150" s="453"/>
      <c r="E150" s="453"/>
      <c r="F150" s="453"/>
      <c r="G150" s="453"/>
      <c r="H150" s="453"/>
      <c r="I150" s="452"/>
      <c r="J150" s="452"/>
      <c r="K150" s="452"/>
      <c r="L150" s="452"/>
      <c r="M150" s="452"/>
      <c r="N150" s="452"/>
      <c r="O150" s="452"/>
      <c r="P150" s="454"/>
    </row>
  </sheetData>
  <mergeCells count="57">
    <mergeCell ref="B150:C150"/>
    <mergeCell ref="D150:H150"/>
    <mergeCell ref="I150:P150"/>
    <mergeCell ref="B10:I15"/>
    <mergeCell ref="K10:P15"/>
    <mergeCell ref="M19:P20"/>
    <mergeCell ref="M22:P24"/>
    <mergeCell ref="M26:P38"/>
    <mergeCell ref="E30:I32"/>
    <mergeCell ref="E34:I37"/>
    <mergeCell ref="E99:I101"/>
    <mergeCell ref="E49:I54"/>
    <mergeCell ref="E103:I105"/>
    <mergeCell ref="E62:I67"/>
    <mergeCell ref="B148:C148"/>
    <mergeCell ref="D148:H148"/>
    <mergeCell ref="I148:P148"/>
    <mergeCell ref="B149:C149"/>
    <mergeCell ref="D149:H149"/>
    <mergeCell ref="I149:P149"/>
    <mergeCell ref="B146:C146"/>
    <mergeCell ref="D146:H146"/>
    <mergeCell ref="I146:P146"/>
    <mergeCell ref="B147:C147"/>
    <mergeCell ref="D147:H147"/>
    <mergeCell ref="I147:P147"/>
    <mergeCell ref="B144:C144"/>
    <mergeCell ref="D144:H144"/>
    <mergeCell ref="I144:P144"/>
    <mergeCell ref="B145:C145"/>
    <mergeCell ref="D145:H145"/>
    <mergeCell ref="I145:P145"/>
    <mergeCell ref="B142:C142"/>
    <mergeCell ref="D142:H142"/>
    <mergeCell ref="I142:P142"/>
    <mergeCell ref="B143:C143"/>
    <mergeCell ref="D143:H143"/>
    <mergeCell ref="I143:P143"/>
    <mergeCell ref="B141:C141"/>
    <mergeCell ref="D141:H141"/>
    <mergeCell ref="I141:P141"/>
    <mergeCell ref="E71:I77"/>
    <mergeCell ref="E130:I136"/>
    <mergeCell ref="E81:I85"/>
    <mergeCell ref="E90:I94"/>
    <mergeCell ref="E109:I112"/>
    <mergeCell ref="E114:I117"/>
    <mergeCell ref="E119:I122"/>
    <mergeCell ref="E124:I127"/>
    <mergeCell ref="B2:P2"/>
    <mergeCell ref="B140:C140"/>
    <mergeCell ref="D140:H140"/>
    <mergeCell ref="I140:P140"/>
    <mergeCell ref="B17:I24"/>
    <mergeCell ref="E40:I44"/>
    <mergeCell ref="E55:I59"/>
    <mergeCell ref="B6:Q6"/>
  </mergeCells>
  <hyperlinks>
    <hyperlink ref="D147" r:id="rId1" display="d-torbic@tti.tamu.edu" xr:uid="{00000000-0004-0000-00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BZ251"/>
  <sheetViews>
    <sheetView zoomScale="90" zoomScaleNormal="90" workbookViewId="0">
      <selection activeCell="J9" sqref="J9:N9"/>
    </sheetView>
  </sheetViews>
  <sheetFormatPr defaultRowHeight="12.5" x14ac:dyDescent="0.25"/>
  <cols>
    <col min="1" max="1" width="13.1796875" customWidth="1"/>
    <col min="2" max="2" width="14.26953125" customWidth="1"/>
    <col min="3" max="3" width="11.54296875" customWidth="1"/>
    <col min="4" max="4" width="10.26953125" customWidth="1"/>
    <col min="5" max="5" width="11.1796875" customWidth="1"/>
    <col min="6" max="6" width="12.26953125" customWidth="1"/>
    <col min="7" max="7" width="18" customWidth="1"/>
    <col min="8" max="8" width="12.1796875" customWidth="1"/>
    <col min="9" max="9" width="19.453125" customWidth="1"/>
    <col min="11" max="11" width="11.7265625" customWidth="1"/>
    <col min="12" max="13" width="13.7265625" customWidth="1"/>
    <col min="14" max="14" width="22.26953125" customWidth="1"/>
    <col min="15" max="15" width="14.26953125" customWidth="1"/>
    <col min="16" max="16" width="24.453125" customWidth="1"/>
    <col min="17" max="17" width="27.54296875" customWidth="1"/>
    <col min="18" max="18" width="15.81640625" customWidth="1"/>
    <col min="19" max="20" width="16.26953125" customWidth="1"/>
    <col min="21" max="21" width="15.81640625" customWidth="1"/>
    <col min="22" max="22" width="18" customWidth="1"/>
    <col min="23" max="23" width="14.7265625" customWidth="1"/>
    <col min="24" max="24" width="16.26953125" customWidth="1"/>
    <col min="25" max="25" width="14.7265625" customWidth="1"/>
    <col min="26" max="26" width="18.1796875" customWidth="1"/>
    <col min="27" max="33" width="14.7265625" customWidth="1"/>
    <col min="34" max="34" width="14.453125" customWidth="1"/>
    <col min="35" max="36" width="14.7265625" customWidth="1"/>
    <col min="37" max="37" width="11.54296875" customWidth="1"/>
    <col min="38" max="38" width="9.1796875" customWidth="1"/>
    <col min="40" max="40" width="11.26953125" customWidth="1"/>
    <col min="41" max="41" width="11" customWidth="1"/>
    <col min="42" max="42" width="12" customWidth="1"/>
    <col min="43" max="43" width="13.26953125" customWidth="1"/>
    <col min="44" max="44" width="10.26953125" customWidth="1"/>
    <col min="45" max="45" width="11.7265625" customWidth="1"/>
    <col min="46" max="46" width="10.7265625" customWidth="1"/>
    <col min="47" max="47" width="13.26953125" customWidth="1"/>
    <col min="48" max="48" width="10" customWidth="1"/>
    <col min="49" max="49" width="13.26953125" customWidth="1"/>
    <col min="54" max="54" width="12.1796875" customWidth="1"/>
    <col min="55" max="55" width="12.54296875" customWidth="1"/>
    <col min="56" max="57" width="12.26953125" customWidth="1"/>
    <col min="60" max="60" width="10.1796875" customWidth="1"/>
  </cols>
  <sheetData>
    <row r="1" spans="1:78" ht="13" thickBot="1" x14ac:dyDescent="0.3">
      <c r="AM1" s="6"/>
      <c r="AP1" s="1"/>
      <c r="AV1" s="7"/>
    </row>
    <row r="2" spans="1:78" ht="12.75" customHeight="1" thickTop="1" thickBot="1" x14ac:dyDescent="0.35">
      <c r="A2" s="529" t="s">
        <v>136</v>
      </c>
      <c r="B2" s="599"/>
      <c r="C2" s="599"/>
      <c r="D2" s="599"/>
      <c r="E2" s="615"/>
      <c r="F2" s="615"/>
      <c r="G2" s="615"/>
      <c r="H2" s="615"/>
      <c r="I2" s="615"/>
      <c r="J2" s="615"/>
      <c r="K2" s="615"/>
      <c r="L2" s="615"/>
      <c r="M2" s="615"/>
      <c r="N2" s="615"/>
      <c r="BN2" s="5"/>
      <c r="BO2" s="5"/>
      <c r="BP2" s="5"/>
      <c r="BQ2" s="5"/>
      <c r="BV2" s="5"/>
      <c r="BW2" s="5"/>
      <c r="BX2" s="5"/>
      <c r="BY2" s="5"/>
      <c r="BZ2" s="5"/>
    </row>
    <row r="3" spans="1:78" ht="13" x14ac:dyDescent="0.3">
      <c r="A3" s="432" t="s">
        <v>0</v>
      </c>
      <c r="B3" s="703"/>
      <c r="C3" s="703"/>
      <c r="D3" s="703"/>
      <c r="E3" s="703"/>
      <c r="F3" s="703"/>
      <c r="G3" s="749"/>
      <c r="H3" s="757" t="s">
        <v>8</v>
      </c>
      <c r="I3" s="758"/>
      <c r="J3" s="758"/>
      <c r="K3" s="758"/>
      <c r="L3" s="758"/>
      <c r="M3" s="758"/>
      <c r="N3" s="758"/>
      <c r="O3" s="1"/>
      <c r="P3" s="1"/>
      <c r="T3" t="s">
        <v>478</v>
      </c>
      <c r="Y3" t="s">
        <v>479</v>
      </c>
      <c r="BN3" s="5"/>
      <c r="BO3" s="5"/>
      <c r="BP3" s="5"/>
      <c r="BQ3" s="5"/>
      <c r="BV3" s="5"/>
      <c r="BW3" s="5"/>
      <c r="BX3" s="5"/>
      <c r="BY3" s="5"/>
      <c r="BZ3" s="5"/>
    </row>
    <row r="4" spans="1:78" ht="12.75" customHeight="1" x14ac:dyDescent="0.3">
      <c r="A4" s="737" t="s">
        <v>1</v>
      </c>
      <c r="B4" s="737"/>
      <c r="C4" s="737"/>
      <c r="D4" s="18"/>
      <c r="E4" s="759" t="s">
        <v>553</v>
      </c>
      <c r="F4" s="740"/>
      <c r="G4" s="760"/>
      <c r="H4" s="761" t="s">
        <v>9</v>
      </c>
      <c r="I4" s="737"/>
      <c r="J4" s="738"/>
      <c r="K4" s="759" t="s">
        <v>556</v>
      </c>
      <c r="L4" s="740"/>
      <c r="M4" s="740"/>
      <c r="N4" s="740"/>
      <c r="BN4" s="5"/>
      <c r="BO4" s="5"/>
      <c r="BP4" s="5"/>
      <c r="BQ4" s="5"/>
      <c r="BV4" s="8"/>
      <c r="BW4" s="8"/>
      <c r="BX4" s="5"/>
      <c r="BY4" s="5"/>
      <c r="BZ4" s="5"/>
    </row>
    <row r="5" spans="1:78" ht="15.5" x14ac:dyDescent="0.3">
      <c r="A5" s="703" t="s">
        <v>2</v>
      </c>
      <c r="B5" s="703"/>
      <c r="C5" s="703"/>
      <c r="D5" s="14"/>
      <c r="E5" s="750" t="s">
        <v>554</v>
      </c>
      <c r="F5" s="751"/>
      <c r="G5" s="753"/>
      <c r="H5" s="748" t="s">
        <v>10</v>
      </c>
      <c r="I5" s="703"/>
      <c r="J5" s="749"/>
      <c r="K5" s="750" t="s">
        <v>557</v>
      </c>
      <c r="L5" s="751"/>
      <c r="M5" s="751"/>
      <c r="N5" s="751"/>
      <c r="T5" s="39" t="s">
        <v>320</v>
      </c>
      <c r="V5" s="3">
        <f>POWER($J$26,-0.614)*0.3566</f>
        <v>4.4180323182145667E-2</v>
      </c>
      <c r="BN5" s="5"/>
      <c r="BO5" s="5"/>
      <c r="BP5" s="5"/>
      <c r="BQ5" s="5"/>
      <c r="BR5" s="5"/>
      <c r="BS5" s="5"/>
      <c r="BV5" s="8"/>
      <c r="BW5" s="8"/>
      <c r="BX5" s="5"/>
      <c r="BY5" s="5"/>
      <c r="BZ5" s="5"/>
    </row>
    <row r="6" spans="1:78" ht="15.5" x14ac:dyDescent="0.4">
      <c r="A6" s="703" t="s">
        <v>3</v>
      </c>
      <c r="B6" s="703"/>
      <c r="C6" s="703"/>
      <c r="D6" s="14"/>
      <c r="E6" s="752" t="s">
        <v>555</v>
      </c>
      <c r="F6" s="751"/>
      <c r="G6" s="753"/>
      <c r="H6" s="748" t="s">
        <v>11</v>
      </c>
      <c r="I6" s="703"/>
      <c r="J6" s="749"/>
      <c r="K6" s="750" t="s">
        <v>558</v>
      </c>
      <c r="L6" s="751"/>
      <c r="M6" s="751"/>
      <c r="N6" s="751"/>
      <c r="T6" s="83"/>
      <c r="U6" s="83"/>
      <c r="V6" s="83"/>
      <c r="Y6" s="88" t="s">
        <v>186</v>
      </c>
      <c r="Z6" s="3">
        <f>IF('Reference Tables (Segment)'!$C$122="No",(VLOOKUP($J$9,'Reference Tables (Segment)'!$A$124:$M$128,4,FALSE)),(VLOOKUP($J$9,'Reference Tables (Segment)'!$A$124:$M$128,9,FALSE)))</f>
        <v>0.42399999999999999</v>
      </c>
      <c r="AA6" s="22"/>
      <c r="BN6" s="22"/>
      <c r="BO6" s="22"/>
      <c r="BP6" s="22"/>
      <c r="BQ6" s="22"/>
      <c r="BR6" s="22"/>
      <c r="BS6" s="22"/>
      <c r="BV6" s="9"/>
      <c r="BW6" s="1"/>
      <c r="BX6" s="22"/>
      <c r="BY6" s="22"/>
      <c r="BZ6" s="22"/>
    </row>
    <row r="7" spans="1:78" x14ac:dyDescent="0.25">
      <c r="A7" s="735"/>
      <c r="B7" s="735"/>
      <c r="C7" s="735"/>
      <c r="D7" s="19"/>
      <c r="E7" s="748"/>
      <c r="F7" s="703"/>
      <c r="G7" s="749"/>
      <c r="H7" s="748" t="s">
        <v>12</v>
      </c>
      <c r="I7" s="703"/>
      <c r="J7" s="749"/>
      <c r="K7" s="755">
        <v>2019</v>
      </c>
      <c r="L7" s="756"/>
      <c r="M7" s="756"/>
      <c r="N7" s="756"/>
      <c r="T7" s="83"/>
      <c r="U7" s="83"/>
      <c r="V7" s="83"/>
      <c r="BN7" s="22"/>
      <c r="BO7" s="22"/>
      <c r="BP7" s="22"/>
      <c r="BQ7" s="22"/>
      <c r="BR7" s="22"/>
      <c r="BS7" s="22"/>
      <c r="BV7" s="1"/>
      <c r="BW7" s="1"/>
      <c r="BX7" s="22"/>
      <c r="BY7" s="22"/>
      <c r="BZ7" s="22"/>
    </row>
    <row r="8" spans="1:78" ht="15.5" x14ac:dyDescent="0.4">
      <c r="A8" s="754" t="s">
        <v>4</v>
      </c>
      <c r="B8" s="694"/>
      <c r="C8" s="694"/>
      <c r="D8" s="694"/>
      <c r="E8" s="694"/>
      <c r="F8" s="694"/>
      <c r="G8" s="657"/>
      <c r="H8" s="498" t="s">
        <v>13</v>
      </c>
      <c r="I8" s="657"/>
      <c r="J8" s="498" t="s">
        <v>15</v>
      </c>
      <c r="K8" s="694"/>
      <c r="L8" s="694"/>
      <c r="M8" s="694"/>
      <c r="N8" s="694"/>
      <c r="T8" s="20" t="s">
        <v>322</v>
      </c>
      <c r="V8" s="11">
        <f>$V$5*$J$25*(IF('Reference Tables (Segment)'!$C$108="No",(VLOOKUP($J$9,'Reference Tables (Segment)'!$A$110:$G$114,4,FALSE)),(VLOOKUP($J$9,'Reference Tables (Segment)'!$A$110:$G$114,6,FALSE))))+(1-(IF('Reference Tables (Segment)'!$C$108="No",(VLOOKUP($J$9,'Reference Tables (Segment)'!$A$110:$G$114,4,FALSE)),(VLOOKUP($J$9,'Reference Tables (Segment)'!$A$110:$G$114,6,FALSE)))))</f>
        <v>0.94621327813549327</v>
      </c>
      <c r="Y8" s="88" t="s">
        <v>187</v>
      </c>
      <c r="Z8" s="3">
        <f>IF('Reference Tables (Segment)'!$C$122="No",(VLOOKUP($J$9,'Reference Tables (Segment)'!$A$124:$M$128,6,FALSE)),(VLOOKUP($J$9,'Reference Tables (Segment)'!$A$124:$M$128,11,FALSE)))</f>
        <v>0.57599999999999996</v>
      </c>
      <c r="BN8" s="22"/>
      <c r="BO8" s="22"/>
      <c r="BP8" s="22"/>
      <c r="BQ8" s="22"/>
      <c r="BR8" s="22"/>
      <c r="BS8" s="22"/>
      <c r="BV8" s="9"/>
      <c r="BW8" s="1"/>
      <c r="BX8" s="22"/>
      <c r="BY8" s="22"/>
      <c r="BZ8" s="22"/>
    </row>
    <row r="9" spans="1:78" ht="13" x14ac:dyDescent="0.3">
      <c r="A9" s="693" t="s">
        <v>860</v>
      </c>
      <c r="B9" s="694"/>
      <c r="C9" s="694"/>
      <c r="D9" s="694"/>
      <c r="E9" s="694"/>
      <c r="F9" s="694"/>
      <c r="G9" s="657"/>
      <c r="H9" s="741" t="s">
        <v>14</v>
      </c>
      <c r="I9" s="738"/>
      <c r="J9" s="742" t="s">
        <v>153</v>
      </c>
      <c r="K9" s="743"/>
      <c r="L9" s="743"/>
      <c r="M9" s="743"/>
      <c r="N9" s="743"/>
      <c r="P9" t="str">
        <f>IF($J$9="2U","Two-lane undivided arterials",IF($J$9="3T","Three-lane arterials including a center two-way left-turn lane (TWLTL)", IF($J$9="4U","Four-lane undivided arterials", IF($J$9="4D", "Four-lane divided arterials (i.e., including a raised or depressed median)", IF($J$9="5T","Five-lane arterials including a center two-way left-turn lane (TWLTL)", "One-way road")))))</f>
        <v>Two-lane undivided arterials</v>
      </c>
      <c r="T9" s="5"/>
      <c r="U9" s="5"/>
      <c r="V9" s="5"/>
      <c r="BN9" s="22"/>
      <c r="BO9" s="22"/>
      <c r="BP9" s="22"/>
      <c r="BQ9" s="22"/>
      <c r="BR9" s="22"/>
      <c r="BS9" s="22"/>
      <c r="BV9" s="1"/>
      <c r="BW9" s="1"/>
      <c r="BX9" s="22"/>
      <c r="BY9" s="22"/>
      <c r="BZ9" s="22"/>
    </row>
    <row r="10" spans="1:78" ht="16" thickBot="1" x14ac:dyDescent="0.45">
      <c r="A10" s="694" t="s">
        <v>5</v>
      </c>
      <c r="B10" s="694"/>
      <c r="C10" s="694"/>
      <c r="D10" s="694"/>
      <c r="E10" s="737"/>
      <c r="F10" s="737"/>
      <c r="G10" s="738"/>
      <c r="H10" s="695" t="s">
        <v>14</v>
      </c>
      <c r="I10" s="657"/>
      <c r="J10" s="739">
        <v>1</v>
      </c>
      <c r="K10" s="740"/>
      <c r="L10" s="740"/>
      <c r="M10" s="740"/>
      <c r="N10" s="740"/>
      <c r="T10" s="20" t="s">
        <v>323</v>
      </c>
      <c r="U10" s="5"/>
      <c r="V10" s="11">
        <f>IF(+V8&lt;1,1,V8)</f>
        <v>1</v>
      </c>
      <c r="Y10" s="88" t="s">
        <v>188</v>
      </c>
      <c r="Z10" s="3">
        <f>IF('Reference Tables (Segment)'!$C$122="No",(VLOOKUP($J$9,'Reference Tables (Segment)'!$A$124:$M$128,7,FALSE)),(VLOOKUP($J$9,'Reference Tables (Segment)'!$A$124:$M$128,12,FALSE)))</f>
        <v>0.316</v>
      </c>
      <c r="BV10" s="9"/>
      <c r="BW10" s="1"/>
      <c r="BX10" s="22"/>
      <c r="BY10" s="22"/>
      <c r="BZ10" s="22"/>
    </row>
    <row r="11" spans="1:78" ht="16" thickBot="1" x14ac:dyDescent="0.45">
      <c r="A11" s="694" t="s">
        <v>6</v>
      </c>
      <c r="B11" s="694"/>
      <c r="C11" s="694"/>
      <c r="D11" s="694"/>
      <c r="E11" s="151" t="s">
        <v>522</v>
      </c>
      <c r="F11" s="153">
        <f>IF($J$9="2U",32600,IF($J$9="3T",32900,IF($J$9="4U",40100,IF($J$9="4D",66000,53800))))</f>
        <v>32600</v>
      </c>
      <c r="G11" s="152" t="s">
        <v>521</v>
      </c>
      <c r="H11" s="744" t="s">
        <v>14</v>
      </c>
      <c r="I11" s="657"/>
      <c r="J11" s="733">
        <v>20000</v>
      </c>
      <c r="K11" s="734"/>
      <c r="L11" s="734"/>
      <c r="M11" s="734"/>
      <c r="N11" s="734"/>
      <c r="O11" s="96" t="str">
        <f>IF(J11&gt;F11,"AADT out of range","AADT OK")</f>
        <v>AADT OK</v>
      </c>
      <c r="P11" s="96"/>
      <c r="U11" s="5"/>
      <c r="V11" s="5"/>
      <c r="BV11" s="1"/>
      <c r="BW11" s="1"/>
      <c r="BX11" s="22"/>
      <c r="BY11" s="22"/>
      <c r="BZ11" s="22"/>
    </row>
    <row r="12" spans="1:78" x14ac:dyDescent="0.25">
      <c r="A12" s="694" t="s">
        <v>137</v>
      </c>
      <c r="B12" s="694"/>
      <c r="C12" s="694"/>
      <c r="D12" s="694"/>
      <c r="E12" s="735"/>
      <c r="F12" s="735"/>
      <c r="G12" s="736"/>
      <c r="H12" s="731" t="s">
        <v>156</v>
      </c>
      <c r="I12" s="657"/>
      <c r="J12" s="728" t="s">
        <v>156</v>
      </c>
      <c r="K12" s="729"/>
      <c r="L12" s="729"/>
      <c r="M12" s="729"/>
      <c r="N12" s="729"/>
      <c r="O12" s="1"/>
      <c r="P12" s="1"/>
      <c r="BV12" s="9"/>
      <c r="BW12" s="1"/>
      <c r="BX12" s="22"/>
      <c r="BY12" s="22"/>
      <c r="BZ12" s="22"/>
    </row>
    <row r="13" spans="1:78" x14ac:dyDescent="0.25">
      <c r="A13" s="693" t="s">
        <v>138</v>
      </c>
      <c r="B13" s="694"/>
      <c r="C13" s="694"/>
      <c r="D13" s="694"/>
      <c r="E13" s="694"/>
      <c r="F13" s="694"/>
      <c r="G13" s="657"/>
      <c r="H13" s="695" t="s">
        <v>14</v>
      </c>
      <c r="I13" s="657"/>
      <c r="J13" s="726">
        <v>0</v>
      </c>
      <c r="K13" s="727"/>
      <c r="L13" s="727"/>
      <c r="M13" s="727"/>
      <c r="N13" s="727"/>
      <c r="BV13" s="57"/>
      <c r="BW13" s="17"/>
      <c r="BX13" s="17"/>
      <c r="BY13" s="17"/>
      <c r="BZ13" s="17"/>
    </row>
    <row r="14" spans="1:78" ht="16" thickBot="1" x14ac:dyDescent="0.45">
      <c r="A14" s="693" t="s">
        <v>77</v>
      </c>
      <c r="B14" s="694"/>
      <c r="C14" s="694"/>
      <c r="D14" s="694"/>
      <c r="E14" s="694"/>
      <c r="F14" s="694"/>
      <c r="G14" s="657"/>
      <c r="H14" s="745">
        <v>15</v>
      </c>
      <c r="I14" s="657"/>
      <c r="J14" s="746">
        <v>15</v>
      </c>
      <c r="K14" s="747"/>
      <c r="L14" s="747"/>
      <c r="M14" s="747"/>
      <c r="N14" s="747"/>
      <c r="P14" s="542" t="s">
        <v>163</v>
      </c>
      <c r="Q14" s="538" t="s">
        <v>956</v>
      </c>
      <c r="R14" s="538"/>
      <c r="S14" s="538"/>
      <c r="BV14" s="17"/>
      <c r="BW14" s="17"/>
      <c r="BX14" s="17"/>
      <c r="BY14" s="17"/>
      <c r="BZ14" s="17"/>
    </row>
    <row r="15" spans="1:78" x14ac:dyDescent="0.25">
      <c r="A15" s="693" t="s">
        <v>139</v>
      </c>
      <c r="B15" s="694"/>
      <c r="C15" s="694"/>
      <c r="D15" s="694"/>
      <c r="E15" s="694"/>
      <c r="F15" s="694"/>
      <c r="G15" s="657"/>
      <c r="H15" s="731" t="s">
        <v>54</v>
      </c>
      <c r="I15" s="475"/>
      <c r="J15" s="729" t="s">
        <v>54</v>
      </c>
      <c r="K15" s="729"/>
      <c r="L15" s="729"/>
      <c r="M15" s="729"/>
      <c r="N15" s="729"/>
      <c r="O15" s="1"/>
      <c r="P15" s="542"/>
      <c r="Q15" s="524" t="s">
        <v>953</v>
      </c>
      <c r="R15" s="524" t="s">
        <v>954</v>
      </c>
      <c r="S15" s="524" t="s">
        <v>955</v>
      </c>
      <c r="BV15" s="17"/>
      <c r="BW15" s="17"/>
      <c r="BX15" s="17"/>
      <c r="BY15" s="17"/>
      <c r="BZ15" s="17"/>
    </row>
    <row r="16" spans="1:78" x14ac:dyDescent="0.25">
      <c r="A16" s="693" t="s">
        <v>140</v>
      </c>
      <c r="B16" s="694"/>
      <c r="C16" s="694"/>
      <c r="D16" s="694"/>
      <c r="E16" s="694"/>
      <c r="F16" s="694"/>
      <c r="G16" s="657"/>
      <c r="H16" s="731" t="s">
        <v>54</v>
      </c>
      <c r="I16" s="475"/>
      <c r="J16" s="729" t="s">
        <v>54</v>
      </c>
      <c r="K16" s="729"/>
      <c r="L16" s="729"/>
      <c r="M16" s="729"/>
      <c r="N16" s="729"/>
      <c r="O16" s="1"/>
      <c r="P16" s="542"/>
      <c r="Q16" s="524"/>
      <c r="R16" s="524"/>
      <c r="S16" s="524"/>
      <c r="BL16" s="22"/>
    </row>
    <row r="17" spans="1:19" x14ac:dyDescent="0.25">
      <c r="A17" s="693" t="s">
        <v>141</v>
      </c>
      <c r="B17" s="694"/>
      <c r="C17" s="694"/>
      <c r="D17" s="694"/>
      <c r="E17" s="694"/>
      <c r="F17" s="694"/>
      <c r="G17" s="657"/>
      <c r="H17" s="695" t="s">
        <v>14</v>
      </c>
      <c r="I17" s="657"/>
      <c r="J17" s="726">
        <v>2</v>
      </c>
      <c r="K17" s="727"/>
      <c r="L17" s="727"/>
      <c r="M17" s="727"/>
      <c r="N17" s="727"/>
      <c r="P17" s="21" t="s">
        <v>153</v>
      </c>
      <c r="Q17" s="257">
        <v>1</v>
      </c>
      <c r="R17" s="257">
        <v>1</v>
      </c>
      <c r="S17" s="257">
        <v>1</v>
      </c>
    </row>
    <row r="18" spans="1:19" x14ac:dyDescent="0.25">
      <c r="A18" s="693" t="s">
        <v>142</v>
      </c>
      <c r="B18" s="694"/>
      <c r="C18" s="694"/>
      <c r="D18" s="694"/>
      <c r="E18" s="694"/>
      <c r="F18" s="694"/>
      <c r="G18" s="657"/>
      <c r="H18" s="695" t="s">
        <v>14</v>
      </c>
      <c r="I18" s="657"/>
      <c r="J18" s="726">
        <v>2</v>
      </c>
      <c r="K18" s="727"/>
      <c r="L18" s="727"/>
      <c r="M18" s="727"/>
      <c r="N18" s="727"/>
      <c r="P18" s="21" t="s">
        <v>152</v>
      </c>
      <c r="Q18" s="257">
        <v>1</v>
      </c>
      <c r="R18" s="257">
        <v>1</v>
      </c>
      <c r="S18" s="257">
        <v>1</v>
      </c>
    </row>
    <row r="19" spans="1:19" x14ac:dyDescent="0.25">
      <c r="A19" s="693" t="s">
        <v>143</v>
      </c>
      <c r="B19" s="694"/>
      <c r="C19" s="694"/>
      <c r="D19" s="694"/>
      <c r="E19" s="694"/>
      <c r="F19" s="694"/>
      <c r="G19" s="657"/>
      <c r="H19" s="695" t="s">
        <v>14</v>
      </c>
      <c r="I19" s="657"/>
      <c r="J19" s="726">
        <v>2</v>
      </c>
      <c r="K19" s="727"/>
      <c r="L19" s="727"/>
      <c r="M19" s="727"/>
      <c r="N19" s="727"/>
      <c r="P19" s="21" t="s">
        <v>95</v>
      </c>
      <c r="Q19" s="257">
        <v>1</v>
      </c>
      <c r="R19" s="257">
        <v>1</v>
      </c>
      <c r="S19" s="257">
        <v>1</v>
      </c>
    </row>
    <row r="20" spans="1:19" ht="12.75" customHeight="1" x14ac:dyDescent="0.25">
      <c r="A20" s="693" t="s">
        <v>144</v>
      </c>
      <c r="B20" s="694"/>
      <c r="C20" s="694"/>
      <c r="D20" s="694"/>
      <c r="E20" s="694"/>
      <c r="F20" s="694"/>
      <c r="G20" s="657"/>
      <c r="H20" s="695" t="s">
        <v>14</v>
      </c>
      <c r="I20" s="657"/>
      <c r="J20" s="726">
        <v>2</v>
      </c>
      <c r="K20" s="727"/>
      <c r="L20" s="727"/>
      <c r="M20" s="727"/>
      <c r="N20" s="727"/>
      <c r="P20" s="21" t="s">
        <v>98</v>
      </c>
      <c r="Q20" s="257">
        <v>1</v>
      </c>
      <c r="R20" s="257">
        <v>1</v>
      </c>
      <c r="S20" s="257">
        <v>1</v>
      </c>
    </row>
    <row r="21" spans="1:19" x14ac:dyDescent="0.25">
      <c r="A21" s="693" t="s">
        <v>145</v>
      </c>
      <c r="B21" s="694"/>
      <c r="C21" s="694"/>
      <c r="D21" s="694"/>
      <c r="E21" s="694"/>
      <c r="F21" s="694"/>
      <c r="G21" s="657"/>
      <c r="H21" s="695" t="s">
        <v>14</v>
      </c>
      <c r="I21" s="657"/>
      <c r="J21" s="726">
        <v>2</v>
      </c>
      <c r="K21" s="727"/>
      <c r="L21" s="727"/>
      <c r="M21" s="727"/>
      <c r="N21" s="727"/>
      <c r="P21" s="21" t="s">
        <v>164</v>
      </c>
      <c r="Q21" s="257">
        <v>1</v>
      </c>
      <c r="R21" s="257">
        <v>1</v>
      </c>
      <c r="S21" s="257">
        <v>1</v>
      </c>
    </row>
    <row r="22" spans="1:19" x14ac:dyDescent="0.25">
      <c r="A22" s="693" t="s">
        <v>146</v>
      </c>
      <c r="B22" s="694"/>
      <c r="C22" s="694"/>
      <c r="D22" s="694"/>
      <c r="E22" s="694"/>
      <c r="F22" s="694"/>
      <c r="G22" s="657"/>
      <c r="H22" s="695" t="s">
        <v>14</v>
      </c>
      <c r="I22" s="657"/>
      <c r="J22" s="726">
        <v>2</v>
      </c>
      <c r="K22" s="727"/>
      <c r="L22" s="727"/>
      <c r="M22" s="727"/>
      <c r="N22" s="727"/>
      <c r="P22" s="21" t="s">
        <v>898</v>
      </c>
      <c r="Q22" s="257">
        <v>1</v>
      </c>
      <c r="R22" s="257">
        <v>1</v>
      </c>
      <c r="S22" s="257">
        <v>1</v>
      </c>
    </row>
    <row r="23" spans="1:19" x14ac:dyDescent="0.25">
      <c r="A23" s="693" t="s">
        <v>147</v>
      </c>
      <c r="B23" s="694"/>
      <c r="C23" s="694"/>
      <c r="D23" s="694"/>
      <c r="E23" s="694"/>
      <c r="F23" s="694"/>
      <c r="G23" s="657"/>
      <c r="H23" s="695" t="s">
        <v>14</v>
      </c>
      <c r="I23" s="657"/>
      <c r="J23" s="726">
        <v>2</v>
      </c>
      <c r="K23" s="727"/>
      <c r="L23" s="727"/>
      <c r="M23" s="727"/>
      <c r="N23" s="727"/>
    </row>
    <row r="24" spans="1:19" x14ac:dyDescent="0.25">
      <c r="A24" s="693" t="s">
        <v>148</v>
      </c>
      <c r="B24" s="694"/>
      <c r="C24" s="694"/>
      <c r="D24" s="694"/>
      <c r="E24" s="694"/>
      <c r="F24" s="694"/>
      <c r="G24" s="657"/>
      <c r="H24" s="695" t="s">
        <v>14</v>
      </c>
      <c r="I24" s="657"/>
      <c r="J24" s="728" t="s">
        <v>312</v>
      </c>
      <c r="K24" s="729"/>
      <c r="L24" s="729"/>
      <c r="M24" s="729"/>
      <c r="N24" s="729"/>
    </row>
    <row r="25" spans="1:19" x14ac:dyDescent="0.25">
      <c r="A25" s="693" t="s">
        <v>149</v>
      </c>
      <c r="B25" s="694"/>
      <c r="C25" s="694"/>
      <c r="D25" s="694"/>
      <c r="E25" s="694"/>
      <c r="F25" s="694"/>
      <c r="G25" s="657"/>
      <c r="H25" s="731">
        <v>0</v>
      </c>
      <c r="I25" s="475"/>
      <c r="J25" s="726">
        <v>2</v>
      </c>
      <c r="K25" s="730"/>
      <c r="L25" s="730"/>
      <c r="M25" s="730"/>
      <c r="N25" s="730"/>
      <c r="O25" s="1"/>
      <c r="P25" s="1"/>
    </row>
    <row r="26" spans="1:19" ht="13" thickBot="1" x14ac:dyDescent="0.3">
      <c r="A26" s="722" t="s">
        <v>321</v>
      </c>
      <c r="B26" s="723"/>
      <c r="C26" s="723"/>
      <c r="D26" s="723"/>
      <c r="E26" s="723"/>
      <c r="F26" s="723"/>
      <c r="G26" s="724"/>
      <c r="H26" s="732">
        <v>30</v>
      </c>
      <c r="I26" s="609"/>
      <c r="J26" s="719">
        <v>30</v>
      </c>
      <c r="K26" s="720"/>
      <c r="L26" s="720"/>
      <c r="M26" s="720"/>
      <c r="N26" s="720"/>
      <c r="O26" s="1"/>
      <c r="P26" s="1"/>
    </row>
    <row r="27" spans="1:19" x14ac:dyDescent="0.25">
      <c r="A27" s="725"/>
      <c r="B27" s="703"/>
      <c r="C27" s="703"/>
      <c r="D27" s="703"/>
      <c r="E27" s="703"/>
      <c r="F27" s="703"/>
      <c r="G27" s="703"/>
      <c r="H27" s="512"/>
      <c r="I27" s="715"/>
      <c r="J27" s="512"/>
      <c r="K27" s="703"/>
      <c r="L27" s="703"/>
      <c r="M27" s="703"/>
      <c r="N27" s="703"/>
    </row>
    <row r="28" spans="1:19" ht="13" thickBot="1" x14ac:dyDescent="0.3">
      <c r="B28" s="539"/>
      <c r="C28" s="539"/>
      <c r="D28" s="539"/>
      <c r="E28" s="539"/>
      <c r="F28" s="539"/>
      <c r="G28" s="539"/>
      <c r="H28" s="539"/>
      <c r="I28" s="539"/>
      <c r="J28" s="539"/>
      <c r="K28" s="539"/>
      <c r="L28" s="539"/>
      <c r="M28" s="539"/>
    </row>
    <row r="29" spans="1:19" ht="20.25" customHeight="1" thickBot="1" x14ac:dyDescent="0.3">
      <c r="A29" s="535" t="s">
        <v>928</v>
      </c>
      <c r="B29" s="536"/>
      <c r="C29" s="536"/>
      <c r="D29" s="536"/>
      <c r="E29" s="536"/>
      <c r="F29" s="536"/>
      <c r="G29" s="536"/>
      <c r="H29" s="253"/>
      <c r="I29" s="253"/>
      <c r="J29" s="253"/>
      <c r="K29" s="253"/>
      <c r="L29" s="253"/>
      <c r="M29" s="253"/>
      <c r="N29" s="254"/>
    </row>
    <row r="30" spans="1:19" ht="29.25" customHeight="1" x14ac:dyDescent="0.25">
      <c r="A30" s="541" t="s">
        <v>929</v>
      </c>
      <c r="B30" s="541"/>
      <c r="C30" s="541"/>
      <c r="D30" s="541"/>
      <c r="E30" s="541"/>
      <c r="F30" s="541"/>
      <c r="G30" s="541"/>
      <c r="J30" s="716" t="s">
        <v>864</v>
      </c>
      <c r="K30" s="717"/>
      <c r="L30" s="717"/>
      <c r="M30" s="717"/>
      <c r="N30" s="717"/>
      <c r="P30" s="805" t="str">
        <f>IF($J$30="SPFs based on regression analysis (applicable with EB method)", "NOTE: The user should provide input data using this worksheet for pedestrian and bicycle collisions for road types 2U, 4U, 4D, and OW.","NOTE: The user should provide input data using the Ped&amp;Bike (Segments) Worksheet for pedestrian and bicycle collisions for all road types.")</f>
        <v>NOTE: The user should provide input data using this worksheet for pedestrian and bicycle collisions for road types 2U, 4U, 4D, and OW.</v>
      </c>
      <c r="Q30" s="805"/>
    </row>
    <row r="31" spans="1:19" ht="13.5" customHeight="1" thickBot="1" x14ac:dyDescent="0.35">
      <c r="A31" s="432" t="s">
        <v>906</v>
      </c>
      <c r="B31" s="432"/>
      <c r="C31" s="432"/>
      <c r="D31" s="432"/>
      <c r="E31" s="432"/>
      <c r="F31" s="432"/>
      <c r="G31" s="432"/>
      <c r="P31" s="805"/>
      <c r="Q31" s="805"/>
    </row>
    <row r="32" spans="1:19" ht="16.5" customHeight="1" thickBot="1" x14ac:dyDescent="0.45">
      <c r="A32" s="541" t="s">
        <v>861</v>
      </c>
      <c r="B32" s="541"/>
      <c r="C32" s="541"/>
      <c r="D32" s="541"/>
      <c r="E32" s="151" t="s">
        <v>907</v>
      </c>
      <c r="F32" s="153">
        <f>IF($J$9="2U",11200,IF($J$9="4U",10700,IF($J$9="4D",1400,IF($J$9="OW",13300,"N/A"))))</f>
        <v>11200</v>
      </c>
      <c r="G32" s="152" t="s">
        <v>908</v>
      </c>
      <c r="H32" s="545" t="s">
        <v>14</v>
      </c>
      <c r="I32" s="544"/>
      <c r="J32" s="718">
        <v>20</v>
      </c>
      <c r="K32" s="718"/>
      <c r="L32" s="718"/>
      <c r="M32" s="718"/>
      <c r="N32" s="718"/>
      <c r="O32" s="96" t="str">
        <f>IF(J32&gt;F32,"AADP out of range","AADP OK")</f>
        <v>AADP OK</v>
      </c>
      <c r="P32" s="805"/>
      <c r="Q32" s="805"/>
    </row>
    <row r="33" spans="1:17" ht="16.5" customHeight="1" thickBot="1" x14ac:dyDescent="0.45">
      <c r="A33" s="541" t="s">
        <v>862</v>
      </c>
      <c r="B33" s="541"/>
      <c r="C33" s="541"/>
      <c r="D33" s="541"/>
      <c r="E33" s="151" t="s">
        <v>909</v>
      </c>
      <c r="F33" s="153">
        <f>IF($J$9="2U",2550,IF($J$9="4U",1800,IF($J$9="4D",1150,IF($J$9="OW",2000,"N/A"))))</f>
        <v>2550</v>
      </c>
      <c r="G33" s="152" t="s">
        <v>910</v>
      </c>
      <c r="H33" s="545" t="s">
        <v>14</v>
      </c>
      <c r="I33" s="544"/>
      <c r="J33" s="718">
        <v>500</v>
      </c>
      <c r="K33" s="718"/>
      <c r="L33" s="718"/>
      <c r="M33" s="718"/>
      <c r="N33" s="718"/>
      <c r="O33" s="96" t="str">
        <f>IF(J33&gt;F33,"AADB out of range","AADB OK")</f>
        <v>AADB OK</v>
      </c>
      <c r="P33" s="805"/>
      <c r="Q33" s="805"/>
    </row>
    <row r="34" spans="1:17" ht="12.75" customHeight="1" x14ac:dyDescent="0.25">
      <c r="A34" s="541" t="s">
        <v>914</v>
      </c>
      <c r="B34" s="541"/>
      <c r="C34" s="541"/>
      <c r="D34" s="541"/>
      <c r="E34" s="541"/>
      <c r="F34" s="541"/>
      <c r="G34" s="541"/>
      <c r="H34" s="433" t="s">
        <v>156</v>
      </c>
      <c r="I34" s="544"/>
      <c r="J34" s="717" t="s">
        <v>156</v>
      </c>
      <c r="K34" s="717"/>
      <c r="L34" s="717"/>
      <c r="M34" s="717"/>
      <c r="N34" s="717"/>
      <c r="O34" s="96"/>
      <c r="P34" s="805"/>
      <c r="Q34" s="805"/>
    </row>
    <row r="35" spans="1:17" ht="12.75" customHeight="1" x14ac:dyDescent="0.25">
      <c r="A35" s="541" t="s">
        <v>913</v>
      </c>
      <c r="B35" s="541"/>
      <c r="C35" s="541"/>
      <c r="D35" s="541"/>
      <c r="E35" s="541"/>
      <c r="F35" s="541"/>
      <c r="G35" s="541"/>
      <c r="H35" s="543" t="s">
        <v>1108</v>
      </c>
      <c r="I35" s="544"/>
      <c r="J35" s="718">
        <v>0</v>
      </c>
      <c r="K35" s="718"/>
      <c r="L35" s="718"/>
      <c r="M35" s="718"/>
      <c r="N35" s="718"/>
      <c r="O35" s="96"/>
      <c r="P35" s="805"/>
      <c r="Q35" s="805"/>
    </row>
    <row r="36" spans="1:17" x14ac:dyDescent="0.25">
      <c r="A36" s="541" t="s">
        <v>912</v>
      </c>
      <c r="B36" s="541"/>
      <c r="C36" s="541"/>
      <c r="D36" s="541"/>
      <c r="E36" s="541"/>
      <c r="F36" s="541"/>
      <c r="G36" s="541"/>
      <c r="H36" s="433" t="s">
        <v>901</v>
      </c>
      <c r="I36" s="544"/>
      <c r="J36" s="717" t="s">
        <v>901</v>
      </c>
      <c r="K36" s="717"/>
      <c r="L36" s="717"/>
      <c r="M36" s="717"/>
      <c r="N36" s="717"/>
      <c r="O36" s="96"/>
    </row>
    <row r="37" spans="1:17" x14ac:dyDescent="0.25">
      <c r="A37" s="541" t="s">
        <v>911</v>
      </c>
      <c r="B37" s="541"/>
      <c r="C37" s="541"/>
      <c r="D37" s="541"/>
      <c r="E37" s="541"/>
      <c r="F37" s="541"/>
      <c r="G37" s="541"/>
      <c r="H37" s="433" t="s">
        <v>905</v>
      </c>
      <c r="I37" s="544"/>
      <c r="J37" s="717" t="s">
        <v>916</v>
      </c>
      <c r="K37" s="717"/>
      <c r="L37" s="717"/>
      <c r="M37" s="717"/>
      <c r="N37" s="717"/>
      <c r="O37" s="96"/>
    </row>
    <row r="38" spans="1:17" x14ac:dyDescent="0.25">
      <c r="A38" s="541" t="s">
        <v>1088</v>
      </c>
      <c r="B38" s="541"/>
      <c r="C38" s="541"/>
      <c r="D38" s="541"/>
      <c r="E38" s="541"/>
      <c r="F38" s="541"/>
      <c r="G38" s="541"/>
      <c r="H38" s="433" t="s">
        <v>156</v>
      </c>
      <c r="I38" s="544"/>
      <c r="J38" s="718">
        <v>0</v>
      </c>
      <c r="K38" s="718"/>
      <c r="L38" s="718"/>
      <c r="M38" s="718"/>
      <c r="N38" s="718"/>
      <c r="O38" s="96"/>
    </row>
    <row r="39" spans="1:17" x14ac:dyDescent="0.25">
      <c r="A39" s="541" t="s">
        <v>1091</v>
      </c>
      <c r="B39" s="541"/>
      <c r="C39" s="541"/>
      <c r="D39" s="541"/>
      <c r="E39" s="541"/>
      <c r="F39" s="541"/>
      <c r="G39" s="541"/>
      <c r="H39" s="433" t="s">
        <v>156</v>
      </c>
      <c r="I39" s="544"/>
      <c r="J39" s="718">
        <v>0</v>
      </c>
      <c r="K39" s="718"/>
      <c r="L39" s="718"/>
      <c r="M39" s="718"/>
      <c r="N39" s="718"/>
      <c r="O39" s="96"/>
    </row>
    <row r="40" spans="1:17" x14ac:dyDescent="0.25">
      <c r="A40" s="541" t="s">
        <v>1090</v>
      </c>
      <c r="B40" s="541"/>
      <c r="C40" s="541"/>
      <c r="D40" s="541"/>
      <c r="E40" s="541"/>
      <c r="F40" s="541"/>
      <c r="G40" s="541"/>
      <c r="H40" s="433" t="s">
        <v>156</v>
      </c>
      <c r="I40" s="544"/>
      <c r="J40" s="718">
        <v>0</v>
      </c>
      <c r="K40" s="718"/>
      <c r="L40" s="718"/>
      <c r="M40" s="718"/>
      <c r="N40" s="718"/>
      <c r="O40" s="96"/>
    </row>
    <row r="41" spans="1:17" ht="13" thickBot="1" x14ac:dyDescent="0.3">
      <c r="A41" s="537" t="s">
        <v>1089</v>
      </c>
      <c r="B41" s="537"/>
      <c r="C41" s="537"/>
      <c r="D41" s="537"/>
      <c r="E41" s="537"/>
      <c r="F41" s="537"/>
      <c r="G41" s="537"/>
      <c r="H41" s="538" t="s">
        <v>156</v>
      </c>
      <c r="I41" s="539"/>
      <c r="J41" s="540" t="s">
        <v>943</v>
      </c>
      <c r="K41" s="540"/>
      <c r="L41" s="540"/>
      <c r="M41" s="540"/>
      <c r="N41" s="540"/>
      <c r="O41" s="96"/>
    </row>
    <row r="42" spans="1:17" x14ac:dyDescent="0.25">
      <c r="A42" s="541"/>
      <c r="B42" s="541"/>
      <c r="C42" s="541"/>
      <c r="D42" s="541"/>
      <c r="E42" s="541"/>
      <c r="F42" s="541"/>
      <c r="G42" s="541"/>
      <c r="H42" s="512"/>
      <c r="I42" s="512"/>
      <c r="J42" s="512"/>
      <c r="K42" s="512"/>
      <c r="L42" s="512"/>
      <c r="M42" s="512"/>
      <c r="N42" s="512"/>
    </row>
    <row r="44" spans="1:17" ht="13" thickBot="1" x14ac:dyDescent="0.3"/>
    <row r="45" spans="1:17" ht="14" thickTop="1" thickBot="1" x14ac:dyDescent="0.3">
      <c r="A45" s="712" t="s">
        <v>879</v>
      </c>
      <c r="B45" s="713"/>
      <c r="C45" s="713"/>
      <c r="D45" s="713"/>
      <c r="E45" s="713"/>
      <c r="F45" s="713"/>
      <c r="G45" s="713"/>
      <c r="H45" s="713"/>
      <c r="I45" s="713"/>
      <c r="J45" s="713"/>
      <c r="K45" s="713"/>
      <c r="L45" s="713"/>
      <c r="M45" s="713"/>
      <c r="N45" s="713"/>
      <c r="O45" s="26"/>
      <c r="P45" s="26"/>
    </row>
    <row r="46" spans="1:17" x14ac:dyDescent="0.25">
      <c r="A46" s="714" t="s">
        <v>16</v>
      </c>
      <c r="B46" s="618"/>
      <c r="C46" s="617" t="s">
        <v>17</v>
      </c>
      <c r="D46" s="617"/>
      <c r="E46" s="618"/>
      <c r="F46" s="617" t="s">
        <v>18</v>
      </c>
      <c r="G46" s="618"/>
      <c r="H46" s="617" t="s">
        <v>19</v>
      </c>
      <c r="I46" s="618"/>
      <c r="J46" s="617" t="s">
        <v>20</v>
      </c>
      <c r="K46" s="618"/>
      <c r="L46" s="618"/>
      <c r="M46" s="617" t="s">
        <v>21</v>
      </c>
      <c r="N46" s="721"/>
    </row>
    <row r="47" spans="1:17" x14ac:dyDescent="0.25">
      <c r="A47" s="710" t="s">
        <v>867</v>
      </c>
      <c r="B47" s="681"/>
      <c r="C47" s="680" t="s">
        <v>869</v>
      </c>
      <c r="D47" s="680"/>
      <c r="E47" s="681"/>
      <c r="F47" s="680" t="s">
        <v>872</v>
      </c>
      <c r="G47" s="681"/>
      <c r="H47" s="680" t="s">
        <v>873</v>
      </c>
      <c r="I47" s="681"/>
      <c r="J47" s="680" t="s">
        <v>876</v>
      </c>
      <c r="K47" s="681"/>
      <c r="L47" s="681"/>
      <c r="M47" s="680" t="s">
        <v>878</v>
      </c>
      <c r="N47" s="704"/>
      <c r="O47" s="15"/>
      <c r="P47" s="15"/>
    </row>
    <row r="48" spans="1:17" x14ac:dyDescent="0.25">
      <c r="A48" s="711"/>
      <c r="B48" s="682"/>
      <c r="C48" s="682"/>
      <c r="D48" s="682"/>
      <c r="E48" s="682"/>
      <c r="F48" s="682"/>
      <c r="G48" s="682"/>
      <c r="H48" s="682"/>
      <c r="I48" s="682"/>
      <c r="J48" s="682"/>
      <c r="K48" s="682"/>
      <c r="L48" s="682"/>
      <c r="M48" s="682"/>
      <c r="N48" s="705"/>
      <c r="O48" s="15"/>
      <c r="P48" s="15"/>
    </row>
    <row r="49" spans="1:65" ht="13" x14ac:dyDescent="0.3">
      <c r="A49" s="709" t="s">
        <v>868</v>
      </c>
      <c r="B49" s="677"/>
      <c r="C49" s="762" t="s">
        <v>870</v>
      </c>
      <c r="D49" s="762"/>
      <c r="E49" s="677"/>
      <c r="F49" s="762" t="s">
        <v>871</v>
      </c>
      <c r="G49" s="677"/>
      <c r="H49" s="762" t="s">
        <v>874</v>
      </c>
      <c r="I49" s="677"/>
      <c r="J49" s="762" t="s">
        <v>875</v>
      </c>
      <c r="K49" s="677"/>
      <c r="L49" s="677"/>
      <c r="M49" s="762" t="s">
        <v>877</v>
      </c>
      <c r="N49" s="763"/>
    </row>
    <row r="50" spans="1:65" ht="13" x14ac:dyDescent="0.3">
      <c r="A50" s="674" t="s">
        <v>157</v>
      </c>
      <c r="B50" s="675"/>
      <c r="C50" s="676" t="s">
        <v>170</v>
      </c>
      <c r="D50" s="676"/>
      <c r="E50" s="675"/>
      <c r="F50" s="676" t="s">
        <v>504</v>
      </c>
      <c r="G50" s="677"/>
      <c r="H50" s="676" t="s">
        <v>180</v>
      </c>
      <c r="I50" s="675"/>
      <c r="J50" s="676" t="s">
        <v>189</v>
      </c>
      <c r="K50" s="677"/>
      <c r="L50" s="677"/>
      <c r="M50" s="764" t="s">
        <v>78</v>
      </c>
      <c r="N50" s="763"/>
      <c r="BL50" s="5"/>
      <c r="BM50" s="5"/>
    </row>
    <row r="51" spans="1:65" ht="13" thickBot="1" x14ac:dyDescent="0.3">
      <c r="A51" s="700">
        <f>1+$J$13*(IF($J$12="None",1,(IF($J$12="Parallel (Residential)",VLOOKUP($J$9,'Reference Tables (Segment)'!$W$9:$AA$13,2,FALSE),(IF($J$12="Parallel (Comm/Ind)",VLOOKUP($J$9,'Reference Tables (Segment)'!$W$9:$AA$13,3,FALSE),(IF($J$12="Angle (Residential)",(VLOOKUP($J$9,'Reference Tables (Segment)'!$W$9:$AA$13,4,FALSE)),(VLOOKUP($J$9,'Reference Tables (Segment)'!$W$9:$AA$13,5,FALSE)))))))))-1)</f>
        <v>1</v>
      </c>
      <c r="B51" s="701"/>
      <c r="C51" s="683">
        <f>$V$10</f>
        <v>1</v>
      </c>
      <c r="D51" s="702"/>
      <c r="E51" s="701"/>
      <c r="F51" s="683">
        <f>IF(J14="Not Present", 1, IF(J9="2U",1,(IF(J9="4U",1,(VLOOKUP(J14,'Reference Tables (Segment)'!W41:Y51,3,FALSE))))))</f>
        <v>1</v>
      </c>
      <c r="G51" s="684"/>
      <c r="H51" s="683">
        <f>IF($J$15="Present",(1-($Z$10*(1-(0.72*$Z$6)-(0.83*$Z$8)))),1)</f>
        <v>1</v>
      </c>
      <c r="I51" s="684"/>
      <c r="J51" s="683">
        <f>IF($J$16="Present",0.95,1)</f>
        <v>1</v>
      </c>
      <c r="K51" s="700"/>
      <c r="L51" s="684"/>
      <c r="M51" s="683">
        <f>$A$51*$C$51*$F$51*$H$51*$J$51</f>
        <v>1</v>
      </c>
      <c r="N51" s="765"/>
      <c r="O51" s="1"/>
      <c r="P51" s="1"/>
      <c r="BL51" s="1"/>
      <c r="BM51" s="1"/>
    </row>
    <row r="52" spans="1:65" ht="13" x14ac:dyDescent="0.3">
      <c r="BL52" s="5"/>
    </row>
    <row r="53" spans="1:65" ht="13" x14ac:dyDescent="0.3">
      <c r="C53" s="512"/>
      <c r="D53" s="703"/>
      <c r="E53" s="703"/>
      <c r="BL53" s="5"/>
    </row>
    <row r="54" spans="1:65" ht="13.5" thickBot="1" x14ac:dyDescent="0.35">
      <c r="H54" s="22"/>
      <c r="I54" s="22"/>
      <c r="BL54" s="8"/>
    </row>
    <row r="55" spans="1:65" ht="14" thickTop="1" thickBot="1" x14ac:dyDescent="0.3">
      <c r="A55" s="529" t="s">
        <v>190</v>
      </c>
      <c r="B55" s="599"/>
      <c r="C55" s="599"/>
      <c r="D55" s="599"/>
      <c r="E55" s="599"/>
      <c r="F55" s="599"/>
      <c r="G55" s="599"/>
      <c r="H55" s="599"/>
      <c r="I55" s="599"/>
      <c r="J55" s="615"/>
      <c r="K55" s="615"/>
      <c r="L55" s="615"/>
      <c r="M55" s="615"/>
      <c r="N55" s="615"/>
      <c r="BL55" s="6"/>
    </row>
    <row r="56" spans="1:65" x14ac:dyDescent="0.25">
      <c r="A56" s="608" t="s">
        <v>16</v>
      </c>
      <c r="B56" s="460"/>
      <c r="C56" s="515" t="s">
        <v>17</v>
      </c>
      <c r="D56" s="459"/>
      <c r="E56" s="616" t="s">
        <v>18</v>
      </c>
      <c r="F56" s="460"/>
      <c r="G56" s="617" t="s">
        <v>19</v>
      </c>
      <c r="H56" s="618"/>
      <c r="I56" s="616" t="s">
        <v>20</v>
      </c>
      <c r="J56" s="460"/>
      <c r="K56" s="2" t="s">
        <v>21</v>
      </c>
      <c r="L56" s="30" t="s">
        <v>22</v>
      </c>
      <c r="M56" s="30" t="s">
        <v>23</v>
      </c>
      <c r="N56" s="157" t="s">
        <v>24</v>
      </c>
      <c r="O56" s="28"/>
      <c r="P56" s="28"/>
    </row>
    <row r="57" spans="1:65" ht="13" x14ac:dyDescent="0.3">
      <c r="A57" s="697" t="s">
        <v>29</v>
      </c>
      <c r="B57" s="698"/>
      <c r="C57" s="551" t="s">
        <v>79</v>
      </c>
      <c r="D57" s="622"/>
      <c r="E57" s="549" t="s">
        <v>30</v>
      </c>
      <c r="F57" s="550"/>
      <c r="G57" s="692" t="s">
        <v>191</v>
      </c>
      <c r="H57" s="692"/>
      <c r="I57" s="549" t="s">
        <v>192</v>
      </c>
      <c r="J57" s="622"/>
      <c r="K57" s="552" t="s">
        <v>193</v>
      </c>
      <c r="L57" s="549" t="s">
        <v>925</v>
      </c>
      <c r="M57" s="549" t="s">
        <v>7</v>
      </c>
      <c r="N57" s="766" t="s">
        <v>194</v>
      </c>
      <c r="O57" s="91"/>
      <c r="P57" s="91"/>
    </row>
    <row r="58" spans="1:65" ht="13" x14ac:dyDescent="0.3">
      <c r="A58" s="699"/>
      <c r="B58" s="699"/>
      <c r="C58" s="550"/>
      <c r="D58" s="550"/>
      <c r="E58" s="550"/>
      <c r="F58" s="550"/>
      <c r="G58" s="614"/>
      <c r="H58" s="614"/>
      <c r="I58" s="622"/>
      <c r="J58" s="622"/>
      <c r="K58" s="554"/>
      <c r="L58" s="554"/>
      <c r="M58" s="554"/>
      <c r="N58" s="766"/>
      <c r="O58" s="91"/>
      <c r="P58" s="91"/>
    </row>
    <row r="59" spans="1:65" x14ac:dyDescent="0.25">
      <c r="A59" s="699"/>
      <c r="B59" s="699"/>
      <c r="C59" s="553" t="s">
        <v>505</v>
      </c>
      <c r="D59" s="455"/>
      <c r="E59" s="496" t="s">
        <v>505</v>
      </c>
      <c r="F59" s="495"/>
      <c r="G59" s="468" t="s">
        <v>195</v>
      </c>
      <c r="H59" s="470"/>
      <c r="I59" s="622"/>
      <c r="J59" s="622"/>
      <c r="K59" s="496" t="s">
        <v>196</v>
      </c>
      <c r="L59" s="619" t="s">
        <v>197</v>
      </c>
      <c r="M59" s="550"/>
      <c r="N59" s="620" t="s">
        <v>198</v>
      </c>
      <c r="O59" s="92"/>
      <c r="P59" s="92"/>
    </row>
    <row r="60" spans="1:65" x14ac:dyDescent="0.25">
      <c r="A60" s="699"/>
      <c r="B60" s="699"/>
      <c r="C60" s="77" t="s">
        <v>80</v>
      </c>
      <c r="D60" s="77" t="s">
        <v>81</v>
      </c>
      <c r="E60" s="550"/>
      <c r="F60" s="550"/>
      <c r="G60" s="614"/>
      <c r="H60" s="614"/>
      <c r="I60" s="622"/>
      <c r="J60" s="622"/>
      <c r="K60" s="464"/>
      <c r="L60" s="554"/>
      <c r="M60" s="550"/>
      <c r="N60" s="621"/>
      <c r="O60" s="93"/>
      <c r="P60" s="93"/>
    </row>
    <row r="61" spans="1:65" x14ac:dyDescent="0.25">
      <c r="A61" s="657" t="s">
        <v>31</v>
      </c>
      <c r="B61" s="568"/>
      <c r="C61" s="11">
        <f>VLOOKUP($J$9,'Reference Tables (Segment)'!$A$8:$D$12,2, FALSE)</f>
        <v>-15.22</v>
      </c>
      <c r="D61" s="11">
        <f>VLOOKUP($J$9,'Reference Tables (Segment)'!$A$8:$D$12,3, FALSE)</f>
        <v>1.68</v>
      </c>
      <c r="E61" s="629">
        <f>VLOOKUP($J$9,'Reference Tables (Segment)'!$A$8:$D$12,4, FALSE)</f>
        <v>0.84</v>
      </c>
      <c r="F61" s="544"/>
      <c r="G61" s="472">
        <f>EXP($C61+($D61*LN($J$11))+LN($J$10))</f>
        <v>4.1282727050235071</v>
      </c>
      <c r="H61" s="658"/>
      <c r="I61" s="503">
        <v>1</v>
      </c>
      <c r="J61" s="613"/>
      <c r="K61" s="3">
        <f>G61*I61</f>
        <v>4.1282727050235071</v>
      </c>
      <c r="L61" s="11">
        <f>+M51</f>
        <v>1</v>
      </c>
      <c r="M61" s="11">
        <f>IF($J$9="2U",$Q$17,IF($J$9="3T",$Q$18,IF($J$9="4U",$Q$19,IF($J$9="4D",$Q$20,IF($J$9="5T",$Q$21,$Q$22)))))</f>
        <v>1</v>
      </c>
      <c r="N61" s="158">
        <f>+K61*L61*M61</f>
        <v>4.1282727050235071</v>
      </c>
    </row>
    <row r="62" spans="1:65" ht="15.5" x14ac:dyDescent="0.4">
      <c r="A62" s="706" t="s">
        <v>32</v>
      </c>
      <c r="B62" s="706"/>
      <c r="C62" s="668">
        <f>VLOOKUP($J$9,'Reference Tables (Segment)'!$A$14:$D$18,2, FALSE)</f>
        <v>-16.22</v>
      </c>
      <c r="D62" s="668">
        <f>VLOOKUP($J$9,'Reference Tables (Segment)'!$A$14:$D$18,3, FALSE)</f>
        <v>1.66</v>
      </c>
      <c r="E62" s="687">
        <f>VLOOKUP($J$9,'Reference Tables (Segment)'!$A$14:$D$18,4, FALSE)</f>
        <v>0.65</v>
      </c>
      <c r="F62" s="688"/>
      <c r="G62" s="662">
        <f>EXP($C62+($D62*LN($J$11))+LN($J$10))</f>
        <v>1.2458142562344849</v>
      </c>
      <c r="H62" s="663"/>
      <c r="I62" s="553" t="s">
        <v>199</v>
      </c>
      <c r="J62" s="455"/>
      <c r="K62" s="666">
        <f>G61*I63</f>
        <v>1.1957371009422817</v>
      </c>
      <c r="L62" s="668">
        <f>+M51</f>
        <v>1</v>
      </c>
      <c r="M62" s="668">
        <f>IF($J$9="2U",$Q$17,IF($J$9="3T",$Q$18,IF($J$9="4U",$Q$19,IF($J$9="4D",$Q$20,IF($J$9="5T",$Q$21,$Q$22)))))</f>
        <v>1</v>
      </c>
      <c r="N62" s="678">
        <f>+K62*L62*M62</f>
        <v>1.1957371009422817</v>
      </c>
    </row>
    <row r="63" spans="1:65" x14ac:dyDescent="0.25">
      <c r="A63" s="707"/>
      <c r="B63" s="707"/>
      <c r="C63" s="627"/>
      <c r="D63" s="627"/>
      <c r="E63" s="628"/>
      <c r="F63" s="689"/>
      <c r="G63" s="685"/>
      <c r="H63" s="686"/>
      <c r="I63" s="503">
        <f>G62/(G62+G64)</f>
        <v>0.28964586072214749</v>
      </c>
      <c r="J63" s="613"/>
      <c r="K63" s="696"/>
      <c r="L63" s="627"/>
      <c r="M63" s="627"/>
      <c r="N63" s="708"/>
    </row>
    <row r="64" spans="1:65" ht="15.5" x14ac:dyDescent="0.4">
      <c r="A64" s="465" t="s">
        <v>33</v>
      </c>
      <c r="B64" s="670"/>
      <c r="C64" s="668">
        <f>VLOOKUP($J$9,'Reference Tables (Segment)'!$A$20:$D$24,2, FALSE)</f>
        <v>-15.62</v>
      </c>
      <c r="D64" s="668">
        <f>VLOOKUP($J$9,'Reference Tables (Segment)'!$A$20:$D$24,3, FALSE)</f>
        <v>1.69</v>
      </c>
      <c r="E64" s="687">
        <f>VLOOKUP($J$9,'Reference Tables (Segment)'!$A$20:$D$24,4, FALSE)</f>
        <v>0.87</v>
      </c>
      <c r="F64" s="688"/>
      <c r="G64" s="662">
        <f>EXP($C64+($D64*LN($J$11))+LN($J$10))</f>
        <v>3.0553494238830576</v>
      </c>
      <c r="H64" s="663"/>
      <c r="I64" s="553" t="s">
        <v>200</v>
      </c>
      <c r="J64" s="455"/>
      <c r="K64" s="666">
        <f>G61*I65</f>
        <v>2.9325356040812252</v>
      </c>
      <c r="L64" s="668">
        <f>+M51</f>
        <v>1</v>
      </c>
      <c r="M64" s="668">
        <f>IF($J$9="2U",$Q$17,IF($J$9="3T",$Q$18,IF($J$9="4U",$Q$19,IF($J$9="4D",$Q$20,IF($J$9="5T",$Q$21,$Q$22)))))</f>
        <v>1</v>
      </c>
      <c r="N64" s="678">
        <f>+K64*L64*M64</f>
        <v>2.9325356040812252</v>
      </c>
    </row>
    <row r="65" spans="1:16" ht="13" thickBot="1" x14ac:dyDescent="0.3">
      <c r="A65" s="671"/>
      <c r="B65" s="672"/>
      <c r="C65" s="669"/>
      <c r="D65" s="669"/>
      <c r="E65" s="690"/>
      <c r="F65" s="691"/>
      <c r="G65" s="664"/>
      <c r="H65" s="665"/>
      <c r="I65" s="518">
        <f>I61-I63</f>
        <v>0.71035413927785251</v>
      </c>
      <c r="J65" s="520"/>
      <c r="K65" s="667"/>
      <c r="L65" s="669"/>
      <c r="M65" s="669"/>
      <c r="N65" s="679"/>
    </row>
    <row r="66" spans="1:16" ht="14.25" customHeight="1" x14ac:dyDescent="0.25">
      <c r="F66" s="32"/>
      <c r="G66" s="1"/>
      <c r="M66" s="32"/>
    </row>
    <row r="67" spans="1:16" x14ac:dyDescent="0.25">
      <c r="C67" s="104"/>
      <c r="D67" s="1"/>
      <c r="E67" s="22"/>
      <c r="F67" s="1"/>
      <c r="J67" s="38"/>
      <c r="K67" s="1"/>
    </row>
    <row r="68" spans="1:16" ht="13" thickBot="1" x14ac:dyDescent="0.3">
      <c r="C68" s="26"/>
      <c r="D68" s="38"/>
      <c r="E68" s="38"/>
      <c r="F68" s="39"/>
      <c r="G68" s="26"/>
      <c r="J68" s="1"/>
      <c r="K68" s="1"/>
      <c r="M68" s="38"/>
      <c r="N68" s="1"/>
      <c r="O68" s="1"/>
      <c r="P68" s="1"/>
    </row>
    <row r="69" spans="1:16" ht="14" thickTop="1" thickBot="1" x14ac:dyDescent="0.3">
      <c r="A69" s="529" t="s">
        <v>211</v>
      </c>
      <c r="B69" s="599"/>
      <c r="C69" s="599"/>
      <c r="D69" s="599"/>
      <c r="E69" s="599"/>
      <c r="F69" s="599"/>
      <c r="G69" s="599"/>
      <c r="H69" s="599"/>
      <c r="I69" s="600"/>
      <c r="J69" s="600"/>
      <c r="K69" s="600"/>
      <c r="L69" s="600"/>
      <c r="M69" s="600"/>
      <c r="N69" s="600"/>
      <c r="O69" s="24"/>
      <c r="P69" s="24"/>
    </row>
    <row r="70" spans="1:16" x14ac:dyDescent="0.25">
      <c r="A70" s="608" t="s">
        <v>16</v>
      </c>
      <c r="B70" s="460"/>
      <c r="C70" s="460"/>
      <c r="D70" s="616" t="s">
        <v>17</v>
      </c>
      <c r="E70" s="659"/>
      <c r="F70" s="616" t="s">
        <v>18</v>
      </c>
      <c r="G70" s="616"/>
      <c r="H70" s="514" t="s">
        <v>19</v>
      </c>
      <c r="I70" s="659"/>
      <c r="J70" s="616" t="s">
        <v>20</v>
      </c>
      <c r="K70" s="616"/>
      <c r="L70" s="514" t="s">
        <v>21</v>
      </c>
      <c r="M70" s="659"/>
      <c r="N70" s="660"/>
      <c r="O70" s="24"/>
      <c r="P70" s="24"/>
    </row>
    <row r="71" spans="1:16" x14ac:dyDescent="0.25">
      <c r="A71" s="673" t="s">
        <v>34</v>
      </c>
      <c r="B71" s="549"/>
      <c r="C71" s="522"/>
      <c r="D71" s="549" t="s">
        <v>35</v>
      </c>
      <c r="E71" s="455"/>
      <c r="F71" s="549" t="s">
        <v>213</v>
      </c>
      <c r="G71" s="549"/>
      <c r="H71" s="549" t="s">
        <v>227</v>
      </c>
      <c r="I71" s="455"/>
      <c r="J71" s="549" t="s">
        <v>215</v>
      </c>
      <c r="K71" s="549"/>
      <c r="L71" s="494" t="s">
        <v>212</v>
      </c>
      <c r="M71" s="494"/>
      <c r="N71" s="661"/>
      <c r="O71" s="24"/>
      <c r="P71" s="24"/>
    </row>
    <row r="72" spans="1:16" x14ac:dyDescent="0.25">
      <c r="A72" s="673"/>
      <c r="B72" s="549"/>
      <c r="C72" s="522"/>
      <c r="D72" s="455"/>
      <c r="E72" s="455"/>
      <c r="F72" s="455"/>
      <c r="G72" s="455"/>
      <c r="H72" s="455"/>
      <c r="I72" s="455"/>
      <c r="J72" s="455"/>
      <c r="K72" s="455"/>
      <c r="L72" s="501"/>
      <c r="M72" s="501"/>
      <c r="N72" s="661"/>
      <c r="O72" s="1"/>
      <c r="P72" s="1"/>
    </row>
    <row r="73" spans="1:16" x14ac:dyDescent="0.25">
      <c r="A73" s="475"/>
      <c r="B73" s="455"/>
      <c r="C73" s="522"/>
      <c r="D73" s="455"/>
      <c r="E73" s="455"/>
      <c r="F73" s="455"/>
      <c r="G73" s="455"/>
      <c r="H73" s="455"/>
      <c r="I73" s="455"/>
      <c r="J73" s="455"/>
      <c r="K73" s="455"/>
      <c r="L73" s="501"/>
      <c r="M73" s="501"/>
      <c r="N73" s="661"/>
      <c r="O73" s="24"/>
      <c r="P73" s="24"/>
    </row>
    <row r="74" spans="1:16" x14ac:dyDescent="0.25">
      <c r="A74" s="475"/>
      <c r="B74" s="455"/>
      <c r="C74" s="522"/>
      <c r="D74" s="496" t="s">
        <v>506</v>
      </c>
      <c r="E74" s="522"/>
      <c r="F74" s="570" t="s">
        <v>214</v>
      </c>
      <c r="G74" s="612"/>
      <c r="H74" s="496" t="s">
        <v>506</v>
      </c>
      <c r="I74" s="522"/>
      <c r="J74" s="570" t="s">
        <v>216</v>
      </c>
      <c r="K74" s="612"/>
      <c r="L74" s="570" t="s">
        <v>217</v>
      </c>
      <c r="M74" s="612"/>
      <c r="N74" s="568"/>
      <c r="O74" s="33"/>
      <c r="P74" s="33"/>
    </row>
    <row r="75" spans="1:16" x14ac:dyDescent="0.25">
      <c r="A75" s="475"/>
      <c r="B75" s="455"/>
      <c r="C75" s="522"/>
      <c r="D75" s="455"/>
      <c r="E75" s="522"/>
      <c r="F75" s="455"/>
      <c r="G75" s="455"/>
      <c r="H75" s="455"/>
      <c r="I75" s="522"/>
      <c r="J75" s="455"/>
      <c r="K75" s="455"/>
      <c r="L75" s="455"/>
      <c r="M75" s="455"/>
      <c r="N75" s="568"/>
    </row>
    <row r="76" spans="1:16" x14ac:dyDescent="0.25">
      <c r="A76" s="657" t="s">
        <v>31</v>
      </c>
      <c r="B76" s="522"/>
      <c r="C76" s="522"/>
      <c r="D76" s="502">
        <v>1</v>
      </c>
      <c r="E76" s="502"/>
      <c r="F76" s="503">
        <f>+N62</f>
        <v>1.1957371009422817</v>
      </c>
      <c r="G76" s="475"/>
      <c r="H76" s="502">
        <v>1</v>
      </c>
      <c r="I76" s="502"/>
      <c r="J76" s="503">
        <f>+N64</f>
        <v>2.9325356040812252</v>
      </c>
      <c r="K76" s="475"/>
      <c r="L76" s="503">
        <f>+N61</f>
        <v>4.1282727050235071</v>
      </c>
      <c r="M76" s="648"/>
      <c r="N76" s="648"/>
    </row>
    <row r="77" spans="1:16" ht="15.5" x14ac:dyDescent="0.4">
      <c r="A77" s="657"/>
      <c r="B77" s="522"/>
      <c r="C77" s="522"/>
      <c r="D77" s="522"/>
      <c r="E77" s="522"/>
      <c r="F77" s="623" t="s">
        <v>218</v>
      </c>
      <c r="G77" s="455"/>
      <c r="H77" s="522"/>
      <c r="I77" s="522"/>
      <c r="J77" s="623" t="s">
        <v>219</v>
      </c>
      <c r="K77" s="455"/>
      <c r="L77" s="623" t="s">
        <v>220</v>
      </c>
      <c r="M77" s="455"/>
      <c r="N77" s="509"/>
      <c r="O77" s="1"/>
      <c r="P77" s="1"/>
    </row>
    <row r="78" spans="1:16" x14ac:dyDescent="0.25">
      <c r="A78" s="610" t="s">
        <v>38</v>
      </c>
      <c r="B78" s="522"/>
      <c r="C78" s="522"/>
      <c r="D78" s="503">
        <f>IF('Reference Tables (Segment)'!$B$30="No", HLOOKUP($J$9,'Reference Tables (Segment)'!$C$32:$L$39,3,FALSE),HLOOKUP($J$9,'Reference Tables (Segment)'!$C$42:$L$49,3,FALSE))</f>
        <v>0.73</v>
      </c>
      <c r="E78" s="613"/>
      <c r="F78" s="503">
        <f t="shared" ref="F78:F83" si="0">+$F$76*$D78</f>
        <v>0.87288808368786563</v>
      </c>
      <c r="G78" s="613"/>
      <c r="H78" s="503">
        <f>IF('Reference Tables (Segment)'!$B$30="No",IF($J$9="2U",'Reference Tables (Segment)'!D34,IF($J$9="3T",'Reference Tables (Segment)'!F34,IF($J$9="4U",'Reference Tables (Segment)'!H34,IF($J$9="4D",'Reference Tables (Segment)'!J34,'Reference Tables (Segment)'!L34)))),IF($J$9="2U",'Reference Tables (Segment)'!D44,IF($J$9="3T",'Reference Tables (Segment)'!F44,IF($J$9="4U",'Reference Tables (Segment)'!H44,IF($J$9="4D",'Reference Tables (Segment)'!J44,'Reference Tables (Segment)'!L44)))))</f>
        <v>0.77800000000000002</v>
      </c>
      <c r="I78" s="613"/>
      <c r="J78" s="503">
        <f t="shared" ref="J78:J83" si="1">+$J$76*H78</f>
        <v>2.2815126999751931</v>
      </c>
      <c r="K78" s="613"/>
      <c r="L78" s="502">
        <f t="shared" ref="L78:L83" si="2">+F78+J78</f>
        <v>3.1544007836630588</v>
      </c>
      <c r="M78" s="502"/>
      <c r="N78" s="503"/>
      <c r="O78" s="1"/>
      <c r="P78" s="1"/>
    </row>
    <row r="79" spans="1:16" ht="13" x14ac:dyDescent="0.25">
      <c r="A79" s="624" t="s">
        <v>37</v>
      </c>
      <c r="B79" s="522"/>
      <c r="C79" s="522"/>
      <c r="D79" s="503">
        <f>IF('Reference Tables (Segment)'!$B$30="No", HLOOKUP($J$9,'Reference Tables (Segment)'!$C$32:$L$39,4,FALSE),HLOOKUP($J$9,'Reference Tables (Segment)'!$C$42:$L$49,4,FALSE))</f>
        <v>6.8000000000000005E-2</v>
      </c>
      <c r="E79" s="613"/>
      <c r="F79" s="503">
        <f t="shared" si="0"/>
        <v>8.1310122864075157E-2</v>
      </c>
      <c r="G79" s="613"/>
      <c r="H79" s="503">
        <f>IF('Reference Tables (Segment)'!$B$30="No",IF($J$9="2U",'Reference Tables (Segment)'!D35,IF($J$9="3T",'Reference Tables (Segment)'!F35,IF($J$9="4U",'Reference Tables (Segment)'!H35,IF($J$9="4D",'Reference Tables (Segment)'!J35,'Reference Tables (Segment)'!L35)))),IF($J$9="2U",'Reference Tables (Segment)'!D45,IF($J$9="3T",'Reference Tables (Segment)'!F45,IF($J$9="4U",'Reference Tables (Segment)'!H45,IF($J$9="4D",'Reference Tables (Segment)'!J45,'Reference Tables (Segment)'!L45)))))</f>
        <v>4.0000000000000001E-3</v>
      </c>
      <c r="I79" s="613"/>
      <c r="J79" s="503">
        <f t="shared" si="1"/>
        <v>1.1730142416324901E-2</v>
      </c>
      <c r="K79" s="613"/>
      <c r="L79" s="502">
        <f t="shared" si="2"/>
        <v>9.3040265280400061E-2</v>
      </c>
      <c r="M79" s="502"/>
      <c r="N79" s="503"/>
      <c r="O79" s="94"/>
      <c r="P79" s="94"/>
    </row>
    <row r="80" spans="1:16" x14ac:dyDescent="0.25">
      <c r="A80" s="624" t="s">
        <v>36</v>
      </c>
      <c r="B80" s="522"/>
      <c r="C80" s="522"/>
      <c r="D80" s="503">
        <f>IF('Reference Tables (Segment)'!$B$30="No", HLOOKUP($J$9,'Reference Tables (Segment)'!$C$32:$L$39,5,FALSE),HLOOKUP($J$9,'Reference Tables (Segment)'!$C$42:$L$49,5,FALSE))</f>
        <v>8.5000000000000006E-2</v>
      </c>
      <c r="E80" s="613"/>
      <c r="F80" s="503">
        <f t="shared" si="0"/>
        <v>0.10163765358009395</v>
      </c>
      <c r="G80" s="613"/>
      <c r="H80" s="503">
        <f>IF('Reference Tables (Segment)'!$B$30="No",IF($J$9="2U",'Reference Tables (Segment)'!D36,IF($J$9="3T",'Reference Tables (Segment)'!F36,IF($J$9="4U",'Reference Tables (Segment)'!H36,IF($J$9="4D",'Reference Tables (Segment)'!J36,'Reference Tables (Segment)'!L36)))),IF($J$9="2U",'Reference Tables (Segment)'!D46,IF($J$9="3T",'Reference Tables (Segment)'!F46,IF($J$9="4U",'Reference Tables (Segment)'!H46,IF($J$9="4D",'Reference Tables (Segment)'!J46,'Reference Tables (Segment)'!L46)))))</f>
        <v>7.9000000000000001E-2</v>
      </c>
      <c r="I80" s="613"/>
      <c r="J80" s="503">
        <f t="shared" si="1"/>
        <v>0.23167031272241678</v>
      </c>
      <c r="K80" s="613"/>
      <c r="L80" s="502">
        <f t="shared" si="2"/>
        <v>0.33330796630251075</v>
      </c>
      <c r="M80" s="502"/>
      <c r="N80" s="503"/>
      <c r="O80" s="1"/>
      <c r="P80" s="1"/>
    </row>
    <row r="81" spans="1:16" x14ac:dyDescent="0.25">
      <c r="A81" s="624" t="s">
        <v>221</v>
      </c>
      <c r="B81" s="522"/>
      <c r="C81" s="522"/>
      <c r="D81" s="503">
        <f>IF('Reference Tables (Segment)'!$B$30="No", HLOOKUP($J$9,'Reference Tables (Segment)'!$C$32:$L$39,6,FALSE),HLOOKUP($J$9,'Reference Tables (Segment)'!$C$42:$L$49,6,FALSE))</f>
        <v>1.4999999999999999E-2</v>
      </c>
      <c r="E81" s="613"/>
      <c r="F81" s="503">
        <f t="shared" si="0"/>
        <v>1.7936056514134224E-2</v>
      </c>
      <c r="G81" s="613"/>
      <c r="H81" s="503">
        <f>IF('Reference Tables (Segment)'!$B$30="No",IF($J$9="2U",'Reference Tables (Segment)'!D37,IF($J$9="3T",'Reference Tables (Segment)'!F37,IF($J$9="4U",'Reference Tables (Segment)'!H37,IF($J$9="4D",'Reference Tables (Segment)'!J37,'Reference Tables (Segment)'!L37)))),IF($J$9="2U",'Reference Tables (Segment)'!D47,IF($J$9="3T",'Reference Tables (Segment)'!F47,IF($J$9="4U",'Reference Tables (Segment)'!H47,IF($J$9="4D",'Reference Tables (Segment)'!J47,'Reference Tables (Segment)'!L47)))))</f>
        <v>3.1E-2</v>
      </c>
      <c r="I81" s="613"/>
      <c r="J81" s="503">
        <f t="shared" si="1"/>
        <v>9.0908603726517975E-2</v>
      </c>
      <c r="K81" s="613"/>
      <c r="L81" s="502">
        <f t="shared" si="2"/>
        <v>0.1088446602406522</v>
      </c>
      <c r="M81" s="502"/>
      <c r="N81" s="503"/>
      <c r="O81" s="1"/>
      <c r="P81" s="1"/>
    </row>
    <row r="82" spans="1:16" x14ac:dyDescent="0.25">
      <c r="A82" s="624" t="s">
        <v>222</v>
      </c>
      <c r="B82" s="522"/>
      <c r="C82" s="522"/>
      <c r="D82" s="503">
        <f>IF('Reference Tables (Segment)'!$B$30="No", HLOOKUP($J$9,'Reference Tables (Segment)'!$C$32:$L$39,7,FALSE),HLOOKUP($J$9,'Reference Tables (Segment)'!$C$42:$L$49,7,FALSE))</f>
        <v>7.2999999999999995E-2</v>
      </c>
      <c r="E82" s="613"/>
      <c r="F82" s="503">
        <f t="shared" si="0"/>
        <v>8.7288808368786552E-2</v>
      </c>
      <c r="G82" s="613"/>
      <c r="H82" s="503">
        <f>IF('Reference Tables (Segment)'!$B$30="No",IF($J$9="2U",'Reference Tables (Segment)'!D38,IF($J$9="3T",'Reference Tables (Segment)'!F38,IF($J$9="4U",'Reference Tables (Segment)'!H38,IF($J$9="4D",'Reference Tables (Segment)'!J38,'Reference Tables (Segment)'!L38)))),IF($J$9="2U",'Reference Tables (Segment)'!D48,IF($J$9="3T",'Reference Tables (Segment)'!F48,IF($J$9="4U",'Reference Tables (Segment)'!H48,IF($J$9="4D",'Reference Tables (Segment)'!J48,'Reference Tables (Segment)'!L48)))))</f>
        <v>5.5E-2</v>
      </c>
      <c r="I82" s="613"/>
      <c r="J82" s="503">
        <f t="shared" si="1"/>
        <v>0.16128945822446739</v>
      </c>
      <c r="K82" s="613"/>
      <c r="L82" s="502">
        <f t="shared" si="2"/>
        <v>0.24857826659325394</v>
      </c>
      <c r="M82" s="502"/>
      <c r="N82" s="503"/>
      <c r="O82" s="95"/>
      <c r="P82" s="95"/>
    </row>
    <row r="83" spans="1:16" ht="13" thickBot="1" x14ac:dyDescent="0.3">
      <c r="A83" s="656" t="s">
        <v>226</v>
      </c>
      <c r="B83" s="526"/>
      <c r="C83" s="526"/>
      <c r="D83" s="518">
        <f>IF('Reference Tables (Segment)'!$B$30="No", HLOOKUP($J$9,'Reference Tables (Segment)'!$C$32:$L$39,8,FALSE),HLOOKUP($J$9,'Reference Tables (Segment)'!$C$42:$L$49,8,FALSE))</f>
        <v>2.9000000000000001E-2</v>
      </c>
      <c r="E83" s="520"/>
      <c r="F83" s="518">
        <f t="shared" si="0"/>
        <v>3.467637592732617E-2</v>
      </c>
      <c r="G83" s="520"/>
      <c r="H83" s="518">
        <f>IF('Reference Tables (Segment)'!$B$30="No",IF($J$9="2U",'Reference Tables (Segment)'!D39,IF($J$9="3T",'Reference Tables (Segment)'!F39,IF($J$9="4U",'Reference Tables (Segment)'!H39,IF($J$9="4D",'Reference Tables (Segment)'!J39,'Reference Tables (Segment)'!L39)))),IF($J$9="2U",'Reference Tables (Segment)'!D49,IF($J$9="3T",'Reference Tables (Segment)'!F49,IF($J$9="4U",'Reference Tables (Segment)'!H49,IF($J$9="4D",'Reference Tables (Segment)'!J49,'Reference Tables (Segment)'!L49)))))</f>
        <v>5.2999999999999999E-2</v>
      </c>
      <c r="I83" s="520"/>
      <c r="J83" s="518">
        <f t="shared" si="1"/>
        <v>0.15542438701630493</v>
      </c>
      <c r="K83" s="520"/>
      <c r="L83" s="491">
        <f t="shared" si="2"/>
        <v>0.1901007629436311</v>
      </c>
      <c r="M83" s="491"/>
      <c r="N83" s="518"/>
      <c r="O83" s="1"/>
      <c r="P83" s="1"/>
    </row>
    <row r="84" spans="1:16" x14ac:dyDescent="0.25">
      <c r="C84" s="24"/>
      <c r="D84" s="24"/>
      <c r="E84" s="24"/>
      <c r="F84" s="24"/>
      <c r="G84" s="24"/>
      <c r="H84" s="24"/>
      <c r="I84" s="24"/>
      <c r="J84" s="24"/>
      <c r="K84" s="24"/>
      <c r="L84" s="24"/>
      <c r="M84" s="24"/>
      <c r="N84" s="24"/>
      <c r="O84" s="24"/>
      <c r="P84" s="24"/>
    </row>
    <row r="85" spans="1:16" x14ac:dyDescent="0.25">
      <c r="A85" s="22"/>
      <c r="B85" s="22"/>
      <c r="C85" s="22"/>
      <c r="D85" s="38"/>
      <c r="E85" s="22"/>
      <c r="F85" s="22"/>
      <c r="G85" s="28"/>
      <c r="I85" s="22"/>
      <c r="J85" s="38"/>
      <c r="K85" s="1"/>
      <c r="L85" s="22"/>
      <c r="M85" s="38"/>
      <c r="N85" s="1"/>
      <c r="O85" s="1"/>
      <c r="P85" s="1"/>
    </row>
    <row r="86" spans="1:16" ht="13" thickBot="1" x14ac:dyDescent="0.3">
      <c r="A86" s="22"/>
      <c r="B86" s="22"/>
      <c r="C86" s="22"/>
      <c r="D86" s="38"/>
      <c r="E86" s="22"/>
      <c r="F86" s="22"/>
      <c r="G86" s="28"/>
      <c r="I86" s="22"/>
      <c r="J86" s="38"/>
      <c r="K86" s="1"/>
      <c r="L86" s="22"/>
      <c r="M86" s="38"/>
      <c r="N86" s="1"/>
      <c r="O86" s="1"/>
      <c r="P86" s="1"/>
    </row>
    <row r="87" spans="1:16" ht="14" thickTop="1" thickBot="1" x14ac:dyDescent="0.3">
      <c r="A87" s="529" t="s">
        <v>228</v>
      </c>
      <c r="B87" s="599"/>
      <c r="C87" s="599"/>
      <c r="D87" s="599"/>
      <c r="E87" s="599"/>
      <c r="F87" s="599"/>
      <c r="G87" s="599"/>
      <c r="H87" s="599"/>
      <c r="I87" s="599"/>
      <c r="J87" s="615"/>
      <c r="K87" s="615"/>
      <c r="L87" s="615"/>
      <c r="M87" s="615"/>
      <c r="N87" s="615"/>
      <c r="O87" s="1"/>
      <c r="P87" s="1"/>
    </row>
    <row r="88" spans="1:16" ht="13.5" customHeight="1" x14ac:dyDescent="0.25">
      <c r="A88" s="608" t="s">
        <v>16</v>
      </c>
      <c r="B88" s="460"/>
      <c r="C88" s="515" t="s">
        <v>17</v>
      </c>
      <c r="D88" s="459"/>
      <c r="E88" s="616" t="s">
        <v>18</v>
      </c>
      <c r="F88" s="460"/>
      <c r="G88" s="617" t="s">
        <v>19</v>
      </c>
      <c r="H88" s="618"/>
      <c r="I88" s="616" t="s">
        <v>20</v>
      </c>
      <c r="J88" s="460"/>
      <c r="K88" s="2" t="s">
        <v>21</v>
      </c>
      <c r="L88" s="30" t="s">
        <v>22</v>
      </c>
      <c r="M88" s="30" t="s">
        <v>23</v>
      </c>
      <c r="N88" s="157" t="s">
        <v>24</v>
      </c>
      <c r="O88" s="1"/>
      <c r="P88" s="1"/>
    </row>
    <row r="89" spans="1:16" x14ac:dyDescent="0.25">
      <c r="A89" s="767" t="s">
        <v>29</v>
      </c>
      <c r="B89" s="768"/>
      <c r="C89" s="551" t="s">
        <v>79</v>
      </c>
      <c r="D89" s="622"/>
      <c r="E89" s="549" t="s">
        <v>30</v>
      </c>
      <c r="F89" s="550"/>
      <c r="G89" s="692" t="s">
        <v>229</v>
      </c>
      <c r="H89" s="692"/>
      <c r="I89" s="549" t="s">
        <v>192</v>
      </c>
      <c r="J89" s="622"/>
      <c r="K89" s="552" t="s">
        <v>231</v>
      </c>
      <c r="L89" s="549" t="s">
        <v>925</v>
      </c>
      <c r="M89" s="549" t="s">
        <v>7</v>
      </c>
      <c r="N89" s="766" t="s">
        <v>233</v>
      </c>
      <c r="O89" s="1"/>
      <c r="P89" s="1"/>
    </row>
    <row r="90" spans="1:16" x14ac:dyDescent="0.25">
      <c r="A90" s="769"/>
      <c r="B90" s="770"/>
      <c r="C90" s="550"/>
      <c r="D90" s="550"/>
      <c r="E90" s="550"/>
      <c r="F90" s="550"/>
      <c r="G90" s="614"/>
      <c r="H90" s="614"/>
      <c r="I90" s="622"/>
      <c r="J90" s="622"/>
      <c r="K90" s="554"/>
      <c r="L90" s="554"/>
      <c r="M90" s="554"/>
      <c r="N90" s="766"/>
      <c r="O90" s="1"/>
      <c r="P90" s="1"/>
    </row>
    <row r="91" spans="1:16" x14ac:dyDescent="0.25">
      <c r="A91" s="769"/>
      <c r="B91" s="770"/>
      <c r="C91" s="553" t="s">
        <v>507</v>
      </c>
      <c r="D91" s="455"/>
      <c r="E91" s="496" t="s">
        <v>507</v>
      </c>
      <c r="F91" s="495"/>
      <c r="G91" s="468" t="s">
        <v>230</v>
      </c>
      <c r="H91" s="470"/>
      <c r="I91" s="622"/>
      <c r="J91" s="622"/>
      <c r="K91" s="496" t="s">
        <v>196</v>
      </c>
      <c r="L91" s="619" t="s">
        <v>197</v>
      </c>
      <c r="M91" s="550"/>
      <c r="N91" s="620" t="s">
        <v>198</v>
      </c>
      <c r="O91" s="1"/>
      <c r="P91" s="1"/>
    </row>
    <row r="92" spans="1:16" x14ac:dyDescent="0.25">
      <c r="A92" s="771"/>
      <c r="B92" s="772"/>
      <c r="C92" s="77" t="s">
        <v>80</v>
      </c>
      <c r="D92" s="77" t="s">
        <v>81</v>
      </c>
      <c r="E92" s="550"/>
      <c r="F92" s="550"/>
      <c r="G92" s="614"/>
      <c r="H92" s="614"/>
      <c r="I92" s="622"/>
      <c r="J92" s="622"/>
      <c r="K92" s="464"/>
      <c r="L92" s="554"/>
      <c r="M92" s="550"/>
      <c r="N92" s="621"/>
      <c r="O92" s="1"/>
      <c r="P92" s="1"/>
    </row>
    <row r="93" spans="1:16" x14ac:dyDescent="0.25">
      <c r="A93" s="657" t="s">
        <v>31</v>
      </c>
      <c r="B93" s="568"/>
      <c r="C93" s="11">
        <f>VLOOKUP($J$9,'Reference Tables (Segment)'!$G$8:$J$12,2, FALSE)</f>
        <v>-5.47</v>
      </c>
      <c r="D93" s="11">
        <f>VLOOKUP($J$9,'Reference Tables (Segment)'!$G$8:$J$12,3, FALSE)</f>
        <v>0.56000000000000005</v>
      </c>
      <c r="E93" s="629">
        <f>VLOOKUP($J$9,'Reference Tables (Segment)'!$G$8:$J$12,4, FALSE)</f>
        <v>0.81</v>
      </c>
      <c r="F93" s="544"/>
      <c r="G93" s="472">
        <f>EXP($C93+($D93*LN($J$11))+LN($J$10))</f>
        <v>1.0789118958498316</v>
      </c>
      <c r="H93" s="658"/>
      <c r="I93" s="503">
        <v>1</v>
      </c>
      <c r="J93" s="613"/>
      <c r="K93" s="3">
        <f>$G$93*I93</f>
        <v>1.0789118958498316</v>
      </c>
      <c r="L93" s="11">
        <f>+$M$51</f>
        <v>1</v>
      </c>
      <c r="M93" s="11">
        <f>IF($J$9="2U",$Q$17,IF($J$9="3T",$Q$18,IF($J$9="4U",$Q$19,IF($J$9="4D",$Q$20,IF($J$9="5T",$Q$21,$Q$22)))))</f>
        <v>1</v>
      </c>
      <c r="N93" s="158">
        <f>+K93*L93*M93</f>
        <v>1.0789118958498316</v>
      </c>
      <c r="O93" s="24"/>
      <c r="P93" s="24"/>
    </row>
    <row r="94" spans="1:16" ht="15.5" x14ac:dyDescent="0.4">
      <c r="A94" s="706" t="s">
        <v>32</v>
      </c>
      <c r="B94" s="706"/>
      <c r="C94" s="668">
        <f>VLOOKUP($J$9,'Reference Tables (Segment)'!$G$14:$J$18,2, FALSE)</f>
        <v>-3.96</v>
      </c>
      <c r="D94" s="668">
        <f>VLOOKUP($J$9,'Reference Tables (Segment)'!$G$14:$J$18,3, FALSE)</f>
        <v>0.23</v>
      </c>
      <c r="E94" s="687">
        <f>VLOOKUP($J$9,'Reference Tables (Segment)'!$G$14:$J$18,4, FALSE)</f>
        <v>0.5</v>
      </c>
      <c r="F94" s="688"/>
      <c r="G94" s="662">
        <f>EXP($C94+($D94*LN($J$11))+LN($J$10))</f>
        <v>0.185964801408424</v>
      </c>
      <c r="H94" s="663"/>
      <c r="I94" s="553" t="s">
        <v>199</v>
      </c>
      <c r="J94" s="455"/>
      <c r="K94" s="666">
        <f>$G$93*I95</f>
        <v>0.1951482876088578</v>
      </c>
      <c r="L94" s="668">
        <f>+$M$51</f>
        <v>1</v>
      </c>
      <c r="M94" s="668">
        <f>IF($J$9="2U",$Q$17,IF($J$9="3T",$Q$18,IF($J$9="4U",$Q$19,IF($J$9="4D",$Q$20,IF($J$9="5T",$Q$21,$Q$22)))))</f>
        <v>1</v>
      </c>
      <c r="N94" s="678">
        <f>+K94*L94*M94</f>
        <v>0.1951482876088578</v>
      </c>
      <c r="O94" s="24"/>
      <c r="P94" s="24"/>
    </row>
    <row r="95" spans="1:16" x14ac:dyDescent="0.25">
      <c r="A95" s="707"/>
      <c r="B95" s="707"/>
      <c r="C95" s="627"/>
      <c r="D95" s="627"/>
      <c r="E95" s="628"/>
      <c r="F95" s="689"/>
      <c r="G95" s="685"/>
      <c r="H95" s="686"/>
      <c r="I95" s="503">
        <f>G94/(G94+G96)</f>
        <v>0.18087509124657897</v>
      </c>
      <c r="J95" s="613"/>
      <c r="K95" s="696"/>
      <c r="L95" s="627"/>
      <c r="M95" s="627"/>
      <c r="N95" s="708"/>
      <c r="O95" s="24"/>
      <c r="P95" s="24"/>
    </row>
    <row r="96" spans="1:16" ht="15.5" x14ac:dyDescent="0.4">
      <c r="A96" s="465" t="s">
        <v>33</v>
      </c>
      <c r="B96" s="670"/>
      <c r="C96" s="668">
        <f>VLOOKUP($J$9,'Reference Tables (Segment)'!$G$20:$J$24,2, FALSE)</f>
        <v>-6.51</v>
      </c>
      <c r="D96" s="668">
        <f>VLOOKUP($J$9,'Reference Tables (Segment)'!$G$20:$J$24,3, FALSE)</f>
        <v>0.64</v>
      </c>
      <c r="E96" s="687">
        <f>VLOOKUP($J$9,'Reference Tables (Segment)'!$G$20:$J$24,4, FALSE)</f>
        <v>0.87</v>
      </c>
      <c r="F96" s="688"/>
      <c r="G96" s="662">
        <f>EXP($C96+($D96*LN($J$11))+LN($J$10))</f>
        <v>0.84217456331430851</v>
      </c>
      <c r="H96" s="663"/>
      <c r="I96" s="553" t="s">
        <v>200</v>
      </c>
      <c r="J96" s="455"/>
      <c r="K96" s="666">
        <f>$G$93*I97</f>
        <v>0.88376360824097377</v>
      </c>
      <c r="L96" s="668">
        <f>+$M$51</f>
        <v>1</v>
      </c>
      <c r="M96" s="668">
        <f>IF($J$9="2U",$Q$17,IF($J$9="3T",$Q$18,IF($J$9="4U",$Q$19,IF($J$9="4D",$Q$20,IF($J$9="5T",$Q$21,$Q$22)))))</f>
        <v>1</v>
      </c>
      <c r="N96" s="678">
        <f>+K96*L96*M96</f>
        <v>0.88376360824097377</v>
      </c>
      <c r="O96" s="24"/>
      <c r="P96" s="24"/>
    </row>
    <row r="97" spans="1:16" ht="13" thickBot="1" x14ac:dyDescent="0.3">
      <c r="A97" s="671"/>
      <c r="B97" s="672"/>
      <c r="C97" s="669"/>
      <c r="D97" s="669"/>
      <c r="E97" s="690"/>
      <c r="F97" s="691"/>
      <c r="G97" s="664"/>
      <c r="H97" s="665"/>
      <c r="I97" s="518">
        <f>I93-I95</f>
        <v>0.81912490875342103</v>
      </c>
      <c r="J97" s="520"/>
      <c r="K97" s="667"/>
      <c r="L97" s="669"/>
      <c r="M97" s="669"/>
      <c r="N97" s="679"/>
      <c r="O97" s="24"/>
      <c r="P97" s="24"/>
    </row>
    <row r="98" spans="1:16" x14ac:dyDescent="0.25">
      <c r="C98" s="24"/>
      <c r="D98" s="24"/>
      <c r="E98" s="24"/>
      <c r="F98" s="24"/>
      <c r="G98" s="24"/>
      <c r="H98" s="24"/>
      <c r="I98" s="24"/>
      <c r="J98" s="24"/>
      <c r="K98" s="24"/>
      <c r="L98" s="24"/>
      <c r="M98" s="24"/>
      <c r="N98" s="24"/>
      <c r="O98" s="24"/>
      <c r="P98" s="24"/>
    </row>
    <row r="99" spans="1:16" x14ac:dyDescent="0.25">
      <c r="C99" s="24"/>
      <c r="D99" s="24"/>
      <c r="E99" s="24"/>
      <c r="F99" s="24"/>
      <c r="G99" s="24"/>
      <c r="H99" s="24"/>
      <c r="I99" s="24"/>
      <c r="J99" s="24"/>
      <c r="K99" s="24"/>
      <c r="L99" s="24"/>
      <c r="M99" s="24"/>
      <c r="N99" s="24"/>
      <c r="O99" s="24"/>
      <c r="P99" s="24"/>
    </row>
    <row r="100" spans="1:16" ht="13" thickBot="1" x14ac:dyDescent="0.3">
      <c r="C100" s="24"/>
      <c r="D100" s="24"/>
      <c r="E100" s="24"/>
      <c r="F100" s="24"/>
      <c r="G100" s="24"/>
      <c r="H100" s="24"/>
      <c r="I100" s="24"/>
      <c r="J100" s="24"/>
      <c r="K100" s="24"/>
      <c r="L100" s="24"/>
      <c r="M100" s="24"/>
      <c r="N100" s="24"/>
      <c r="O100" s="24"/>
      <c r="P100" s="24"/>
    </row>
    <row r="101" spans="1:16" ht="14" thickTop="1" thickBot="1" x14ac:dyDescent="0.3">
      <c r="A101" s="529" t="s">
        <v>234</v>
      </c>
      <c r="B101" s="599"/>
      <c r="C101" s="599"/>
      <c r="D101" s="599"/>
      <c r="E101" s="599"/>
      <c r="F101" s="599"/>
      <c r="G101" s="599"/>
      <c r="H101" s="599"/>
      <c r="I101" s="600"/>
      <c r="J101" s="600"/>
      <c r="K101" s="600"/>
      <c r="L101" s="600"/>
      <c r="M101" s="600"/>
      <c r="N101" s="600"/>
      <c r="O101" s="24"/>
      <c r="P101" s="24"/>
    </row>
    <row r="102" spans="1:16" x14ac:dyDescent="0.25">
      <c r="A102" s="608" t="s">
        <v>16</v>
      </c>
      <c r="B102" s="460"/>
      <c r="C102" s="460"/>
      <c r="D102" s="616" t="s">
        <v>17</v>
      </c>
      <c r="E102" s="659"/>
      <c r="F102" s="616" t="s">
        <v>18</v>
      </c>
      <c r="G102" s="616"/>
      <c r="H102" s="514" t="s">
        <v>19</v>
      </c>
      <c r="I102" s="659"/>
      <c r="J102" s="616" t="s">
        <v>20</v>
      </c>
      <c r="K102" s="616"/>
      <c r="L102" s="514" t="s">
        <v>21</v>
      </c>
      <c r="M102" s="659"/>
      <c r="N102" s="660"/>
      <c r="O102" s="24"/>
      <c r="P102" s="24"/>
    </row>
    <row r="103" spans="1:16" x14ac:dyDescent="0.25">
      <c r="A103" s="767" t="s">
        <v>34</v>
      </c>
      <c r="B103" s="767"/>
      <c r="C103" s="773"/>
      <c r="D103" s="549" t="s">
        <v>35</v>
      </c>
      <c r="E103" s="455"/>
      <c r="F103" s="549" t="s">
        <v>239</v>
      </c>
      <c r="G103" s="549"/>
      <c r="H103" s="549" t="s">
        <v>227</v>
      </c>
      <c r="I103" s="455"/>
      <c r="J103" s="549" t="s">
        <v>244</v>
      </c>
      <c r="K103" s="549"/>
      <c r="L103" s="494" t="s">
        <v>242</v>
      </c>
      <c r="M103" s="494"/>
      <c r="N103" s="661"/>
      <c r="O103" s="24"/>
      <c r="P103" s="24"/>
    </row>
    <row r="104" spans="1:16" x14ac:dyDescent="0.25">
      <c r="A104" s="436"/>
      <c r="B104" s="436"/>
      <c r="C104" s="774"/>
      <c r="D104" s="455"/>
      <c r="E104" s="455"/>
      <c r="F104" s="455"/>
      <c r="G104" s="455"/>
      <c r="H104" s="455"/>
      <c r="I104" s="455"/>
      <c r="J104" s="455"/>
      <c r="K104" s="455"/>
      <c r="L104" s="501"/>
      <c r="M104" s="501"/>
      <c r="N104" s="661"/>
      <c r="O104" s="24"/>
      <c r="P104" s="24"/>
    </row>
    <row r="105" spans="1:16" x14ac:dyDescent="0.25">
      <c r="A105" s="775"/>
      <c r="B105" s="775"/>
      <c r="C105" s="774"/>
      <c r="D105" s="455"/>
      <c r="E105" s="455"/>
      <c r="F105" s="455"/>
      <c r="G105" s="455"/>
      <c r="H105" s="455"/>
      <c r="I105" s="455"/>
      <c r="J105" s="455"/>
      <c r="K105" s="455"/>
      <c r="L105" s="501"/>
      <c r="M105" s="501"/>
      <c r="N105" s="661"/>
      <c r="O105" s="24"/>
      <c r="P105" s="24"/>
    </row>
    <row r="106" spans="1:16" x14ac:dyDescent="0.25">
      <c r="A106" s="775"/>
      <c r="B106" s="775"/>
      <c r="C106" s="774"/>
      <c r="D106" s="496" t="s">
        <v>508</v>
      </c>
      <c r="E106" s="522"/>
      <c r="F106" s="570" t="s">
        <v>240</v>
      </c>
      <c r="G106" s="612"/>
      <c r="H106" s="496" t="s">
        <v>508</v>
      </c>
      <c r="I106" s="522"/>
      <c r="J106" s="570" t="s">
        <v>241</v>
      </c>
      <c r="K106" s="612"/>
      <c r="L106" s="570" t="s">
        <v>243</v>
      </c>
      <c r="M106" s="612"/>
      <c r="N106" s="568"/>
      <c r="O106" s="24"/>
      <c r="P106" s="24"/>
    </row>
    <row r="107" spans="1:16" x14ac:dyDescent="0.25">
      <c r="A107" s="776"/>
      <c r="B107" s="776"/>
      <c r="C107" s="777"/>
      <c r="D107" s="455"/>
      <c r="E107" s="522"/>
      <c r="F107" s="455"/>
      <c r="G107" s="455"/>
      <c r="H107" s="455"/>
      <c r="I107" s="522"/>
      <c r="J107" s="455"/>
      <c r="K107" s="455"/>
      <c r="L107" s="455"/>
      <c r="M107" s="455"/>
      <c r="N107" s="568"/>
      <c r="O107" s="24"/>
      <c r="P107" s="24"/>
    </row>
    <row r="108" spans="1:16" x14ac:dyDescent="0.25">
      <c r="A108" s="657" t="s">
        <v>31</v>
      </c>
      <c r="B108" s="522"/>
      <c r="C108" s="522"/>
      <c r="D108" s="502">
        <v>1</v>
      </c>
      <c r="E108" s="502"/>
      <c r="F108" s="503">
        <f>+N94</f>
        <v>0.1951482876088578</v>
      </c>
      <c r="G108" s="475"/>
      <c r="H108" s="502">
        <v>1</v>
      </c>
      <c r="I108" s="502"/>
      <c r="J108" s="503">
        <f>+N96</f>
        <v>0.88376360824097377</v>
      </c>
      <c r="K108" s="475"/>
      <c r="L108" s="503">
        <f>+N93</f>
        <v>1.0789118958498316</v>
      </c>
      <c r="M108" s="648"/>
      <c r="N108" s="648"/>
      <c r="O108" s="24"/>
      <c r="P108" s="24"/>
    </row>
    <row r="109" spans="1:16" ht="15.5" x14ac:dyDescent="0.4">
      <c r="A109" s="657"/>
      <c r="B109" s="522"/>
      <c r="C109" s="522"/>
      <c r="D109" s="522"/>
      <c r="E109" s="522"/>
      <c r="F109" s="623" t="s">
        <v>218</v>
      </c>
      <c r="G109" s="455"/>
      <c r="H109" s="522"/>
      <c r="I109" s="522"/>
      <c r="J109" s="623" t="s">
        <v>219</v>
      </c>
      <c r="K109" s="455"/>
      <c r="L109" s="623" t="s">
        <v>220</v>
      </c>
      <c r="M109" s="455"/>
      <c r="N109" s="509"/>
      <c r="O109" s="24"/>
      <c r="P109" s="24"/>
    </row>
    <row r="110" spans="1:16" x14ac:dyDescent="0.25">
      <c r="A110" s="610" t="s">
        <v>235</v>
      </c>
      <c r="B110" s="522"/>
      <c r="C110" s="522"/>
      <c r="D110" s="503">
        <f>IF('Reference Tables (Segment)'!$B$55="No", HLOOKUP($J$9,'Reference Tables (Segment)'!$C$57:$L$62,3,FALSE),HLOOKUP($J$9,'Reference Tables (Segment)'!$C$65:$L$70,3,FALSE))</f>
        <v>2.5999999999999999E-2</v>
      </c>
      <c r="E110" s="613"/>
      <c r="F110" s="503">
        <f>+$F$108*$D110</f>
        <v>5.0738554778303026E-3</v>
      </c>
      <c r="G110" s="613"/>
      <c r="H110" s="503">
        <f>IF('Reference Tables (Segment)'!$B$55="No",IF($J$9="2U",'Reference Tables (Segment)'!D59,IF($J$9="3T",'Reference Tables (Segment)'!F59,IF($J$9="4U",'Reference Tables (Segment)'!H59,IF($J$9="4D",'Reference Tables (Segment)'!J59,'Reference Tables (Segment)'!L59)))),IF($J$9="2U",'Reference Tables (Segment)'!D67,IF($J$9="3T",'Reference Tables (Segment)'!F67,IF($J$9="4U",'Reference Tables (Segment)'!H67,IF($J$9="4D",'Reference Tables (Segment)'!J67,'Reference Tables (Segment)'!L67)))))</f>
        <v>6.6000000000000003E-2</v>
      </c>
      <c r="I110" s="613"/>
      <c r="J110" s="503">
        <f>+$J$108*H110</f>
        <v>5.8328398143904274E-2</v>
      </c>
      <c r="K110" s="613"/>
      <c r="L110" s="502">
        <f>+F110+J110</f>
        <v>6.3402253621734572E-2</v>
      </c>
      <c r="M110" s="502"/>
      <c r="N110" s="503"/>
      <c r="O110" s="24"/>
      <c r="P110" s="24"/>
    </row>
    <row r="111" spans="1:16" x14ac:dyDescent="0.25">
      <c r="A111" s="624" t="s">
        <v>236</v>
      </c>
      <c r="B111" s="522"/>
      <c r="C111" s="522"/>
      <c r="D111" s="503">
        <f>IF('Reference Tables (Segment)'!$B$55="No", HLOOKUP($J$9,'Reference Tables (Segment)'!$C$57:$L$62,4,FALSE),HLOOKUP($J$9,'Reference Tables (Segment)'!$C$65:$L$70,4,FALSE))</f>
        <v>0.72299999999999998</v>
      </c>
      <c r="E111" s="613"/>
      <c r="F111" s="503">
        <f>+$F$108*$D111</f>
        <v>0.14109221194120419</v>
      </c>
      <c r="G111" s="613"/>
      <c r="H111" s="503">
        <f>IF('Reference Tables (Segment)'!$B$55="No",IF($J$9="2U",'Reference Tables (Segment)'!D60,IF($J$9="3T",'Reference Tables (Segment)'!F60,IF($J$9="4U",'Reference Tables (Segment)'!H60,IF($J$9="4D",'Reference Tables (Segment)'!J60,'Reference Tables (Segment)'!L60)))),IF($J$9="2U",'Reference Tables (Segment)'!D68,IF($J$9="3T",'Reference Tables (Segment)'!F68,IF($J$9="4U",'Reference Tables (Segment)'!H68,IF($J$9="4D",'Reference Tables (Segment)'!J68,'Reference Tables (Segment)'!L68)))))</f>
        <v>0.75900000000000001</v>
      </c>
      <c r="I111" s="613"/>
      <c r="J111" s="503">
        <f>+$J$108*H111</f>
        <v>0.67077657865489915</v>
      </c>
      <c r="K111" s="613"/>
      <c r="L111" s="502">
        <f>+F111+J111</f>
        <v>0.81186879059610328</v>
      </c>
      <c r="M111" s="502"/>
      <c r="N111" s="503"/>
      <c r="O111" s="24"/>
      <c r="P111" s="24"/>
    </row>
    <row r="112" spans="1:16" x14ac:dyDescent="0.25">
      <c r="A112" s="624" t="s">
        <v>237</v>
      </c>
      <c r="B112" s="522"/>
      <c r="C112" s="522"/>
      <c r="D112" s="503">
        <f>IF('Reference Tables (Segment)'!$B$55="No", HLOOKUP($J$9,'Reference Tables (Segment)'!$C$57:$L$62,5,FALSE),HLOOKUP($J$9,'Reference Tables (Segment)'!$C$65:$L$70,5,FALSE))</f>
        <v>0.01</v>
      </c>
      <c r="E112" s="613"/>
      <c r="F112" s="503">
        <f>+$F$108*$D112</f>
        <v>1.951482876088578E-3</v>
      </c>
      <c r="G112" s="613"/>
      <c r="H112" s="503">
        <f>IF('Reference Tables (Segment)'!$B$55="No",IF($J$9="2U",'Reference Tables (Segment)'!D61,IF($J$9="3T",'Reference Tables (Segment)'!F61,IF($J$9="4U",'Reference Tables (Segment)'!H61,IF($J$9="4D",'Reference Tables (Segment)'!J61,'Reference Tables (Segment)'!L61)))),IF($J$9="2U",'Reference Tables (Segment)'!D69,IF($J$9="3T",'Reference Tables (Segment)'!F69,IF($J$9="4U",'Reference Tables (Segment)'!H69,IF($J$9="4D",'Reference Tables (Segment)'!J69,'Reference Tables (Segment)'!L69)))))</f>
        <v>1.2999999999999999E-2</v>
      </c>
      <c r="I112" s="613"/>
      <c r="J112" s="503">
        <f>+$J$108*H112</f>
        <v>1.1488926907132659E-2</v>
      </c>
      <c r="K112" s="613"/>
      <c r="L112" s="502">
        <f>+F112+J112</f>
        <v>1.3440409783221237E-2</v>
      </c>
      <c r="M112" s="502"/>
      <c r="N112" s="503"/>
      <c r="O112" s="24"/>
      <c r="P112" s="24"/>
    </row>
    <row r="113" spans="1:16" ht="13" thickBot="1" x14ac:dyDescent="0.3">
      <c r="A113" s="656" t="s">
        <v>238</v>
      </c>
      <c r="B113" s="526"/>
      <c r="C113" s="526"/>
      <c r="D113" s="518">
        <f>IF('Reference Tables (Segment)'!$B$55="No", HLOOKUP($J$9,'Reference Tables (Segment)'!$C$57:$L$62,6,FALSE),HLOOKUP($J$9,'Reference Tables (Segment)'!$C$65:$L$70,6,FALSE))</f>
        <v>0.24099999999999999</v>
      </c>
      <c r="E113" s="520"/>
      <c r="F113" s="518">
        <f>+$F$108*$D113</f>
        <v>4.7030737313734729E-2</v>
      </c>
      <c r="G113" s="520"/>
      <c r="H113" s="518">
        <f>IF('Reference Tables (Segment)'!$B$55="No",IF($J$9="2U",'Reference Tables (Segment)'!D62,IF($J$9="3T",'Reference Tables (Segment)'!F62,IF($J$9="4U",'Reference Tables (Segment)'!H62,IF($J$9="4D",'Reference Tables (Segment)'!J62,'Reference Tables (Segment)'!L62)))),IF($J$9="2U",'Reference Tables (Segment)'!D70,IF($J$9="3T",'Reference Tables (Segment)'!F70,IF($J$9="4U",'Reference Tables (Segment)'!H70,IF($J$9="4D",'Reference Tables (Segment)'!J70,'Reference Tables (Segment)'!L70)))))</f>
        <v>0.16200000000000001</v>
      </c>
      <c r="I113" s="520"/>
      <c r="J113" s="518">
        <f>+$J$108*H113</f>
        <v>0.14316970453503775</v>
      </c>
      <c r="K113" s="520"/>
      <c r="L113" s="491">
        <f>+F113+J113</f>
        <v>0.19020044184877247</v>
      </c>
      <c r="M113" s="491"/>
      <c r="N113" s="518"/>
      <c r="O113" s="24"/>
      <c r="P113" s="24"/>
    </row>
    <row r="114" spans="1:16" x14ac:dyDescent="0.25">
      <c r="C114" s="24"/>
      <c r="D114" s="24"/>
      <c r="E114" s="24"/>
      <c r="F114" s="24"/>
      <c r="G114" s="24"/>
      <c r="H114" s="24"/>
      <c r="I114" s="24"/>
      <c r="J114" s="24"/>
      <c r="K114" s="24"/>
      <c r="L114" s="24"/>
      <c r="M114" s="24"/>
      <c r="N114" s="24"/>
      <c r="O114" s="24"/>
      <c r="P114" s="24"/>
    </row>
    <row r="115" spans="1:16" x14ac:dyDescent="0.25">
      <c r="C115" s="24"/>
      <c r="D115" s="24"/>
      <c r="E115" s="24"/>
      <c r="F115" s="24"/>
      <c r="G115" s="24"/>
      <c r="H115" s="24"/>
      <c r="I115" s="24"/>
      <c r="J115" s="24"/>
      <c r="K115" s="24"/>
      <c r="L115" s="24"/>
      <c r="M115" s="24"/>
      <c r="N115" s="24"/>
      <c r="O115" s="24"/>
      <c r="P115" s="24"/>
    </row>
    <row r="116" spans="1:16" ht="13" thickBot="1" x14ac:dyDescent="0.3">
      <c r="C116" s="24"/>
      <c r="D116" s="24"/>
      <c r="E116" s="24"/>
      <c r="F116" s="24"/>
      <c r="G116" s="24"/>
      <c r="H116" s="24"/>
      <c r="I116" s="24"/>
      <c r="J116" s="24"/>
      <c r="K116" s="24"/>
      <c r="L116" s="24"/>
      <c r="M116" s="24"/>
      <c r="N116" s="24"/>
      <c r="O116" s="24"/>
      <c r="P116" s="24"/>
    </row>
    <row r="117" spans="1:16" ht="14" thickTop="1" thickBot="1" x14ac:dyDescent="0.3">
      <c r="A117" s="529" t="s">
        <v>245</v>
      </c>
      <c r="B117" s="599"/>
      <c r="C117" s="599"/>
      <c r="D117" s="599"/>
      <c r="E117" s="599"/>
      <c r="F117" s="599"/>
      <c r="G117" s="599"/>
      <c r="H117" s="599"/>
      <c r="I117" s="600"/>
      <c r="J117" s="600"/>
      <c r="K117" s="600"/>
      <c r="L117" s="600"/>
      <c r="M117" s="600"/>
      <c r="N117" s="600"/>
      <c r="O117" s="24"/>
      <c r="P117" s="24"/>
    </row>
    <row r="118" spans="1:16" x14ac:dyDescent="0.25">
      <c r="A118" s="603" t="s">
        <v>16</v>
      </c>
      <c r="B118" s="604"/>
      <c r="C118" s="604"/>
      <c r="D118" s="641" t="s">
        <v>17</v>
      </c>
      <c r="E118" s="636"/>
      <c r="F118" s="632" t="s">
        <v>18</v>
      </c>
      <c r="G118" s="636"/>
      <c r="H118" s="632" t="s">
        <v>19</v>
      </c>
      <c r="I118" s="633"/>
      <c r="J118" s="634" t="s">
        <v>20</v>
      </c>
      <c r="K118" s="635"/>
      <c r="L118" s="635"/>
      <c r="M118" s="632" t="s">
        <v>21</v>
      </c>
      <c r="N118" s="636"/>
      <c r="O118" s="24"/>
      <c r="P118" s="24"/>
    </row>
    <row r="119" spans="1:16" x14ac:dyDescent="0.25">
      <c r="A119" s="649" t="s">
        <v>246</v>
      </c>
      <c r="B119" s="650"/>
      <c r="C119" s="650"/>
      <c r="D119" s="630" t="s">
        <v>251</v>
      </c>
      <c r="E119" s="630"/>
      <c r="F119" s="630" t="s">
        <v>249</v>
      </c>
      <c r="G119" s="630"/>
      <c r="H119" s="630" t="s">
        <v>248</v>
      </c>
      <c r="I119" s="630"/>
      <c r="J119" s="637" t="s">
        <v>250</v>
      </c>
      <c r="K119" s="637"/>
      <c r="L119" s="637"/>
      <c r="M119" s="630" t="s">
        <v>247</v>
      </c>
      <c r="N119" s="639"/>
      <c r="O119" s="33"/>
      <c r="P119" s="33"/>
    </row>
    <row r="120" spans="1:16" x14ac:dyDescent="0.25">
      <c r="A120" s="651"/>
      <c r="B120" s="652"/>
      <c r="C120" s="652"/>
      <c r="D120" s="645"/>
      <c r="E120" s="645"/>
      <c r="F120" s="631"/>
      <c r="G120" s="631"/>
      <c r="H120" s="631"/>
      <c r="I120" s="631"/>
      <c r="J120" s="638"/>
      <c r="K120" s="638"/>
      <c r="L120" s="638"/>
      <c r="M120" s="631"/>
      <c r="N120" s="640"/>
    </row>
    <row r="121" spans="1:16" x14ac:dyDescent="0.25">
      <c r="A121" s="651"/>
      <c r="B121" s="652"/>
      <c r="C121" s="652"/>
      <c r="D121" s="645"/>
      <c r="E121" s="645"/>
      <c r="F121" s="642" t="s">
        <v>509</v>
      </c>
      <c r="G121" s="643"/>
      <c r="H121" s="642" t="s">
        <v>509</v>
      </c>
      <c r="I121" s="643"/>
      <c r="J121" s="646" t="s">
        <v>252</v>
      </c>
      <c r="K121" s="647"/>
      <c r="L121" s="647"/>
      <c r="M121" s="625" t="s">
        <v>509</v>
      </c>
      <c r="N121" s="626"/>
    </row>
    <row r="122" spans="1:16" ht="15.5" x14ac:dyDescent="0.25">
      <c r="A122" s="653"/>
      <c r="B122" s="654"/>
      <c r="C122" s="654"/>
      <c r="D122" s="644"/>
      <c r="E122" s="644"/>
      <c r="F122" s="644"/>
      <c r="G122" s="644"/>
      <c r="H122" s="644"/>
      <c r="I122" s="644"/>
      <c r="J122" s="784" t="s">
        <v>253</v>
      </c>
      <c r="K122" s="785"/>
      <c r="L122" s="785"/>
      <c r="M122" s="627"/>
      <c r="N122" s="628"/>
      <c r="O122" s="25"/>
      <c r="P122" s="25"/>
    </row>
    <row r="123" spans="1:16" x14ac:dyDescent="0.25">
      <c r="A123" s="610" t="s">
        <v>254</v>
      </c>
      <c r="B123" s="655"/>
      <c r="C123" s="655"/>
      <c r="D123" s="807">
        <f t="shared" ref="D123:D129" si="3">+J17</f>
        <v>2</v>
      </c>
      <c r="E123" s="807"/>
      <c r="F123" s="502">
        <f>HLOOKUP($J$9,'Reference Tables (Segment)'!$P$5:$T$13,3,FALSE)</f>
        <v>0.158</v>
      </c>
      <c r="G123" s="502"/>
      <c r="H123" s="502">
        <f>HLOOKUP($J$9,'Reference Tables (Segment)'!$P$5:$T$21,11,FALSE)</f>
        <v>1</v>
      </c>
      <c r="I123" s="502"/>
      <c r="J123" s="607">
        <f t="shared" ref="J123:J129" si="4">POWER(($J$11/15000),H123)*D123*F123</f>
        <v>0.42133333333333334</v>
      </c>
      <c r="K123" s="458"/>
      <c r="L123" s="458"/>
      <c r="M123" s="788" t="s">
        <v>14</v>
      </c>
      <c r="N123" s="789"/>
      <c r="O123" s="1"/>
      <c r="P123" s="1"/>
    </row>
    <row r="124" spans="1:16" ht="13" x14ac:dyDescent="0.3">
      <c r="A124" s="808" t="s">
        <v>255</v>
      </c>
      <c r="B124" s="809"/>
      <c r="C124" s="809"/>
      <c r="D124" s="807">
        <f t="shared" si="3"/>
        <v>2</v>
      </c>
      <c r="E124" s="807"/>
      <c r="F124" s="502">
        <f>HLOOKUP($J$9,'Reference Tables (Segment)'!$P$5:$T$13,4,FALSE)</f>
        <v>0.05</v>
      </c>
      <c r="G124" s="502"/>
      <c r="H124" s="502">
        <f>HLOOKUP($J$9,'Reference Tables (Segment)'!$P$5:$T$21,11,FALSE)</f>
        <v>1</v>
      </c>
      <c r="I124" s="502"/>
      <c r="J124" s="607">
        <f t="shared" si="4"/>
        <v>0.13333333333333333</v>
      </c>
      <c r="K124" s="458"/>
      <c r="L124" s="458"/>
      <c r="M124" s="790"/>
      <c r="N124" s="791"/>
      <c r="O124" s="5"/>
      <c r="P124" s="5"/>
    </row>
    <row r="125" spans="1:16" x14ac:dyDescent="0.25">
      <c r="A125" s="808" t="s">
        <v>256</v>
      </c>
      <c r="B125" s="809"/>
      <c r="C125" s="809"/>
      <c r="D125" s="807">
        <f t="shared" si="3"/>
        <v>2</v>
      </c>
      <c r="E125" s="807"/>
      <c r="F125" s="502">
        <f>HLOOKUP($J$9,'Reference Tables (Segment)'!$P$5:$T$13,5,FALSE)</f>
        <v>0.17199999999999999</v>
      </c>
      <c r="G125" s="502"/>
      <c r="H125" s="502">
        <f>HLOOKUP($J$9,'Reference Tables (Segment)'!$P$5:$T$21,11,FALSE)</f>
        <v>1</v>
      </c>
      <c r="I125" s="502"/>
      <c r="J125" s="607">
        <f t="shared" si="4"/>
        <v>0.45866666666666661</v>
      </c>
      <c r="K125" s="458"/>
      <c r="L125" s="458"/>
      <c r="M125" s="790"/>
      <c r="N125" s="791"/>
      <c r="O125" s="1"/>
      <c r="P125" s="1"/>
    </row>
    <row r="126" spans="1:16" x14ac:dyDescent="0.25">
      <c r="A126" s="610" t="s">
        <v>257</v>
      </c>
      <c r="B126" s="611"/>
      <c r="C126" s="611"/>
      <c r="D126" s="807">
        <f t="shared" si="3"/>
        <v>2</v>
      </c>
      <c r="E126" s="807"/>
      <c r="F126" s="502">
        <f>HLOOKUP($J$9,'Reference Tables (Segment)'!$P$5:$T$13,6,FALSE)</f>
        <v>2.3E-2</v>
      </c>
      <c r="G126" s="502"/>
      <c r="H126" s="502">
        <f>HLOOKUP($J$9,'Reference Tables (Segment)'!$P$5:$T$21,11,FALSE)</f>
        <v>1</v>
      </c>
      <c r="I126" s="502"/>
      <c r="J126" s="607">
        <f t="shared" si="4"/>
        <v>6.133333333333333E-2</v>
      </c>
      <c r="K126" s="458"/>
      <c r="L126" s="458"/>
      <c r="M126" s="790"/>
      <c r="N126" s="791"/>
      <c r="O126" s="10"/>
      <c r="P126" s="10"/>
    </row>
    <row r="127" spans="1:16" x14ac:dyDescent="0.25">
      <c r="A127" s="610" t="s">
        <v>258</v>
      </c>
      <c r="B127" s="611"/>
      <c r="C127" s="611"/>
      <c r="D127" s="807">
        <f t="shared" si="3"/>
        <v>2</v>
      </c>
      <c r="E127" s="807"/>
      <c r="F127" s="502">
        <f>HLOOKUP($J$9,'Reference Tables (Segment)'!$P$5:$T$13,7,FALSE)</f>
        <v>8.3000000000000004E-2</v>
      </c>
      <c r="G127" s="502"/>
      <c r="H127" s="502">
        <f>HLOOKUP($J$9,'Reference Tables (Segment)'!$P$5:$T$21,11,FALSE)</f>
        <v>1</v>
      </c>
      <c r="I127" s="502"/>
      <c r="J127" s="607">
        <f t="shared" si="4"/>
        <v>0.22133333333333333</v>
      </c>
      <c r="K127" s="458"/>
      <c r="L127" s="458"/>
      <c r="M127" s="790"/>
      <c r="N127" s="791"/>
      <c r="O127" s="10"/>
      <c r="P127" s="10"/>
    </row>
    <row r="128" spans="1:16" x14ac:dyDescent="0.25">
      <c r="A128" s="610" t="s">
        <v>259</v>
      </c>
      <c r="B128" s="611"/>
      <c r="C128" s="611"/>
      <c r="D128" s="807">
        <f t="shared" si="3"/>
        <v>2</v>
      </c>
      <c r="E128" s="807"/>
      <c r="F128" s="502">
        <f>HLOOKUP($J$9,'Reference Tables (Segment)'!$P$5:$T$13,8,FALSE)</f>
        <v>1.6E-2</v>
      </c>
      <c r="G128" s="502"/>
      <c r="H128" s="502">
        <f>HLOOKUP($J$9,'Reference Tables (Segment)'!$P$5:$T$21,11,FALSE)</f>
        <v>1</v>
      </c>
      <c r="I128" s="502"/>
      <c r="J128" s="607">
        <f t="shared" si="4"/>
        <v>4.2666666666666665E-2</v>
      </c>
      <c r="K128" s="458"/>
      <c r="L128" s="458"/>
      <c r="M128" s="790"/>
      <c r="N128" s="791"/>
      <c r="O128" s="10"/>
      <c r="P128" s="10"/>
    </row>
    <row r="129" spans="1:16" x14ac:dyDescent="0.25">
      <c r="A129" s="610" t="s">
        <v>87</v>
      </c>
      <c r="B129" s="611"/>
      <c r="C129" s="611"/>
      <c r="D129" s="807">
        <f t="shared" si="3"/>
        <v>2</v>
      </c>
      <c r="E129" s="807"/>
      <c r="F129" s="502">
        <f>HLOOKUP($J$9,'Reference Tables (Segment)'!$P$5:$T$13,9,FALSE)</f>
        <v>2.5000000000000001E-2</v>
      </c>
      <c r="G129" s="502"/>
      <c r="H129" s="502">
        <f>HLOOKUP($J$9,'Reference Tables (Segment)'!$P$5:$T$21,11,FALSE)</f>
        <v>1</v>
      </c>
      <c r="I129" s="502"/>
      <c r="J129" s="607">
        <f t="shared" si="4"/>
        <v>6.6666666666666666E-2</v>
      </c>
      <c r="K129" s="458"/>
      <c r="L129" s="458"/>
      <c r="M129" s="792"/>
      <c r="N129" s="793"/>
      <c r="O129" s="10"/>
      <c r="P129" s="10"/>
    </row>
    <row r="130" spans="1:16" ht="13" thickBot="1" x14ac:dyDescent="0.3">
      <c r="A130" s="656" t="s">
        <v>31</v>
      </c>
      <c r="B130" s="806"/>
      <c r="C130" s="806"/>
      <c r="D130" s="527" t="s">
        <v>14</v>
      </c>
      <c r="E130" s="609"/>
      <c r="F130" s="527" t="s">
        <v>14</v>
      </c>
      <c r="G130" s="609"/>
      <c r="H130" s="527" t="s">
        <v>14</v>
      </c>
      <c r="I130" s="609"/>
      <c r="J130" s="786">
        <f>SUM(J123:L129)</f>
        <v>1.4053333333333331</v>
      </c>
      <c r="K130" s="787"/>
      <c r="L130" s="787"/>
      <c r="M130" s="556">
        <f>HLOOKUP($J$9,'Reference Tables (Segment)'!$P$5:$T$21,13,FALSE)</f>
        <v>0.81</v>
      </c>
      <c r="N130" s="781"/>
      <c r="O130" s="33"/>
      <c r="P130" s="33"/>
    </row>
    <row r="133" spans="1:16" ht="13" thickBot="1" x14ac:dyDescent="0.3"/>
    <row r="134" spans="1:16" ht="14" thickTop="1" thickBot="1" x14ac:dyDescent="0.3">
      <c r="A134" s="529" t="s">
        <v>260</v>
      </c>
      <c r="B134" s="599"/>
      <c r="C134" s="599"/>
      <c r="D134" s="599"/>
      <c r="E134" s="599"/>
      <c r="F134" s="599"/>
      <c r="G134" s="599"/>
      <c r="H134" s="599"/>
      <c r="I134" s="600"/>
      <c r="J134" s="600"/>
      <c r="K134" s="600"/>
      <c r="L134" s="600"/>
      <c r="M134" s="600"/>
      <c r="N134" s="600"/>
    </row>
    <row r="135" spans="1:16" x14ac:dyDescent="0.25">
      <c r="A135" s="608" t="s">
        <v>16</v>
      </c>
      <c r="B135" s="460"/>
      <c r="C135" s="460"/>
      <c r="D135" s="461" t="s">
        <v>17</v>
      </c>
      <c r="E135" s="461"/>
      <c r="F135" s="514" t="s">
        <v>18</v>
      </c>
      <c r="G135" s="514"/>
      <c r="H135" s="30" t="s">
        <v>19</v>
      </c>
      <c r="I135" s="514" t="s">
        <v>20</v>
      </c>
      <c r="J135" s="514"/>
      <c r="K135" s="514" t="s">
        <v>21</v>
      </c>
      <c r="L135" s="514"/>
      <c r="M135" s="461" t="s">
        <v>22</v>
      </c>
      <c r="N135" s="462"/>
    </row>
    <row r="136" spans="1:16" x14ac:dyDescent="0.25">
      <c r="A136" s="463" t="s">
        <v>29</v>
      </c>
      <c r="B136" s="464"/>
      <c r="C136" s="464"/>
      <c r="D136" s="782" t="s">
        <v>250</v>
      </c>
      <c r="E136" s="782"/>
      <c r="F136" s="494" t="s">
        <v>261</v>
      </c>
      <c r="G136" s="494"/>
      <c r="H136" s="494" t="s">
        <v>262</v>
      </c>
      <c r="I136" s="494" t="s">
        <v>925</v>
      </c>
      <c r="J136" s="494"/>
      <c r="K136" s="494" t="s">
        <v>263</v>
      </c>
      <c r="L136" s="494"/>
      <c r="M136" s="466" t="s">
        <v>264</v>
      </c>
      <c r="N136" s="467"/>
    </row>
    <row r="137" spans="1:16" x14ac:dyDescent="0.25">
      <c r="A137" s="465"/>
      <c r="B137" s="464"/>
      <c r="C137" s="464"/>
      <c r="D137" s="782"/>
      <c r="E137" s="782"/>
      <c r="F137" s="494"/>
      <c r="G137" s="494"/>
      <c r="H137" s="494"/>
      <c r="I137" s="494"/>
      <c r="J137" s="494"/>
      <c r="K137" s="494"/>
      <c r="L137" s="494"/>
      <c r="M137" s="466"/>
      <c r="N137" s="467"/>
    </row>
    <row r="138" spans="1:16" x14ac:dyDescent="0.25">
      <c r="A138" s="465"/>
      <c r="B138" s="464"/>
      <c r="C138" s="464"/>
      <c r="D138" s="468" t="s">
        <v>265</v>
      </c>
      <c r="E138" s="470"/>
      <c r="F138" s="496" t="s">
        <v>509</v>
      </c>
      <c r="G138" s="495"/>
      <c r="H138" s="496" t="s">
        <v>266</v>
      </c>
      <c r="I138" s="496" t="s">
        <v>197</v>
      </c>
      <c r="J138" s="495"/>
      <c r="K138" s="495"/>
      <c r="L138" s="495"/>
      <c r="M138" s="468" t="s">
        <v>267</v>
      </c>
      <c r="N138" s="469"/>
    </row>
    <row r="139" spans="1:16" ht="14.25" customHeight="1" x14ac:dyDescent="0.25">
      <c r="A139" s="465"/>
      <c r="B139" s="464"/>
      <c r="C139" s="464"/>
      <c r="D139" s="470"/>
      <c r="E139" s="470"/>
      <c r="F139" s="495"/>
      <c r="G139" s="495"/>
      <c r="H139" s="495"/>
      <c r="I139" s="495"/>
      <c r="J139" s="495"/>
      <c r="K139" s="495"/>
      <c r="L139" s="495"/>
      <c r="M139" s="470"/>
      <c r="N139" s="469"/>
    </row>
    <row r="140" spans="1:16" x14ac:dyDescent="0.25">
      <c r="A140" s="471" t="s">
        <v>31</v>
      </c>
      <c r="B140" s="457"/>
      <c r="C140" s="457"/>
      <c r="D140" s="472">
        <f>+J130</f>
        <v>1.4053333333333331</v>
      </c>
      <c r="E140" s="606"/>
      <c r="F140" s="502">
        <v>1</v>
      </c>
      <c r="G140" s="502"/>
      <c r="H140" s="3">
        <f>+$D$140*F140</f>
        <v>1.4053333333333331</v>
      </c>
      <c r="I140" s="474">
        <f>+$M$51</f>
        <v>1</v>
      </c>
      <c r="J140" s="475"/>
      <c r="K140" s="474">
        <f>IF($J$9="2U",$Q$17,IF($J$9="3T",$Q$18,IF($J$9="4U",$Q$19,IF($J$9="4D",$Q$20,IF($J$9="5T",$Q$21,$Q$22)))))</f>
        <v>1</v>
      </c>
      <c r="L140" s="475"/>
      <c r="M140" s="472">
        <f>+H140*I140*K140</f>
        <v>1.4053333333333331</v>
      </c>
      <c r="N140" s="473"/>
    </row>
    <row r="141" spans="1:16" x14ac:dyDescent="0.25">
      <c r="A141" s="471" t="s">
        <v>122</v>
      </c>
      <c r="B141" s="457"/>
      <c r="C141" s="457"/>
      <c r="D141" s="778" t="s">
        <v>14</v>
      </c>
      <c r="E141" s="606"/>
      <c r="F141" s="502">
        <f>HLOOKUP($J$9,'Reference Tables (Segment)'!$P$5:$T$21,15,FALSE)</f>
        <v>0.32300000000000001</v>
      </c>
      <c r="G141" s="502"/>
      <c r="H141" s="3">
        <f>+$D$140*F141</f>
        <v>0.45392266666666659</v>
      </c>
      <c r="I141" s="474">
        <f>+$M$51</f>
        <v>1</v>
      </c>
      <c r="J141" s="475"/>
      <c r="K141" s="474">
        <f>IF($J$9="2U",$Q$17,IF($J$9="3T",$Q$18,IF($J$9="4U",$Q$19,IF($J$9="4D",$Q$20,IF($J$9="5T",$Q$21,$Q$22)))))</f>
        <v>1</v>
      </c>
      <c r="L141" s="475"/>
      <c r="M141" s="472">
        <f>+H141*I141*K141</f>
        <v>0.45392266666666659</v>
      </c>
      <c r="N141" s="473"/>
    </row>
    <row r="142" spans="1:16" ht="13" thickBot="1" x14ac:dyDescent="0.3">
      <c r="A142" s="525" t="s">
        <v>123</v>
      </c>
      <c r="B142" s="546"/>
      <c r="C142" s="546"/>
      <c r="D142" s="779" t="s">
        <v>14</v>
      </c>
      <c r="E142" s="780"/>
      <c r="F142" s="491">
        <f>HLOOKUP($J$9,'Reference Tables (Segment)'!$P$5:$T$21,17,FALSE)</f>
        <v>0.67700000000000005</v>
      </c>
      <c r="G142" s="491"/>
      <c r="H142" s="37">
        <f>+$D$140*F142</f>
        <v>0.95141066666666663</v>
      </c>
      <c r="I142" s="781">
        <f>+$M$51</f>
        <v>1</v>
      </c>
      <c r="J142" s="609"/>
      <c r="K142" s="781">
        <f>IF($J$9="2U",$Q$17,IF($J$9="3T",$Q$18,IF($J$9="4U",$Q$19,IF($J$9="4D",$Q$20,IF($J$9="5T",$Q$21,$Q$22)))))</f>
        <v>1</v>
      </c>
      <c r="L142" s="609"/>
      <c r="M142" s="547">
        <f>+H142*I142*K142</f>
        <v>0.95141066666666663</v>
      </c>
      <c r="N142" s="548"/>
    </row>
    <row r="145" spans="1:14" ht="13" thickBot="1" x14ac:dyDescent="0.3"/>
    <row r="146" spans="1:14" ht="14" thickTop="1" thickBot="1" x14ac:dyDescent="0.3">
      <c r="A146" s="529" t="s">
        <v>866</v>
      </c>
      <c r="B146" s="529"/>
      <c r="C146" s="529"/>
      <c r="D146" s="529"/>
      <c r="E146" s="529"/>
      <c r="F146" s="529"/>
      <c r="G146" s="529"/>
      <c r="H146" s="529"/>
      <c r="I146" s="529"/>
      <c r="J146" s="529"/>
      <c r="K146" s="529"/>
      <c r="L146" s="529"/>
      <c r="M146" s="529"/>
      <c r="N146" s="529"/>
    </row>
    <row r="147" spans="1:14" x14ac:dyDescent="0.25">
      <c r="A147" s="459" t="s">
        <v>16</v>
      </c>
      <c r="B147" s="514"/>
      <c r="C147" s="514" t="s">
        <v>17</v>
      </c>
      <c r="D147" s="514"/>
      <c r="E147" s="514" t="s">
        <v>18</v>
      </c>
      <c r="F147" s="514"/>
      <c r="G147" s="514" t="s">
        <v>19</v>
      </c>
      <c r="H147" s="514"/>
      <c r="I147" s="514" t="s">
        <v>20</v>
      </c>
      <c r="J147" s="514"/>
      <c r="K147" s="515" t="s">
        <v>21</v>
      </c>
      <c r="L147" s="459"/>
      <c r="M147" s="461" t="s">
        <v>585</v>
      </c>
      <c r="N147" s="462"/>
    </row>
    <row r="148" spans="1:14" ht="15.75" customHeight="1" x14ac:dyDescent="0.4">
      <c r="A148" s="463" t="s">
        <v>29</v>
      </c>
      <c r="B148" s="559"/>
      <c r="C148" s="497" t="s">
        <v>194</v>
      </c>
      <c r="D148" s="497"/>
      <c r="E148" s="497" t="s">
        <v>233</v>
      </c>
      <c r="F148" s="497"/>
      <c r="G148" s="497" t="s">
        <v>264</v>
      </c>
      <c r="H148" s="497"/>
      <c r="I148" s="497" t="s">
        <v>270</v>
      </c>
      <c r="J148" s="497"/>
      <c r="K148" s="498" t="s">
        <v>275</v>
      </c>
      <c r="L148" s="499"/>
      <c r="M148" s="466" t="s">
        <v>268</v>
      </c>
      <c r="N148" s="469"/>
    </row>
    <row r="149" spans="1:14" ht="13.15" customHeight="1" x14ac:dyDescent="0.25">
      <c r="A149" s="463"/>
      <c r="B149" s="559"/>
      <c r="C149" s="496" t="s">
        <v>271</v>
      </c>
      <c r="D149" s="495"/>
      <c r="E149" s="496" t="s">
        <v>272</v>
      </c>
      <c r="F149" s="495"/>
      <c r="G149" s="496" t="s">
        <v>273</v>
      </c>
      <c r="H149" s="496"/>
      <c r="I149" s="496" t="s">
        <v>274</v>
      </c>
      <c r="J149" s="495"/>
      <c r="K149" s="530" t="s">
        <v>510</v>
      </c>
      <c r="L149" s="531"/>
      <c r="M149" s="468" t="s">
        <v>586</v>
      </c>
      <c r="N149" s="534"/>
    </row>
    <row r="150" spans="1:14" x14ac:dyDescent="0.25">
      <c r="A150" s="463"/>
      <c r="B150" s="559"/>
      <c r="C150" s="495"/>
      <c r="D150" s="495"/>
      <c r="E150" s="495"/>
      <c r="F150" s="495"/>
      <c r="G150" s="496"/>
      <c r="H150" s="496"/>
      <c r="I150" s="495"/>
      <c r="J150" s="495"/>
      <c r="K150" s="532"/>
      <c r="L150" s="533"/>
      <c r="M150" s="470"/>
      <c r="N150" s="469"/>
    </row>
    <row r="151" spans="1:14" x14ac:dyDescent="0.25">
      <c r="A151" s="471" t="s">
        <v>31</v>
      </c>
      <c r="B151" s="522"/>
      <c r="C151" s="503" t="str">
        <f>IF($J$9="3T",$N$61, IF($J$9="5T",$N$61,"0"))</f>
        <v>0</v>
      </c>
      <c r="D151" s="475"/>
      <c r="E151" s="503" t="str">
        <f>IF($J$9="3T",$N$93, IF($J$9="5T",$N$93,"0"))</f>
        <v>0</v>
      </c>
      <c r="F151" s="475"/>
      <c r="G151" s="503" t="str">
        <f>IF($J$9="3T",$M$140, IF($J$9="5T",$M$140,"0"))</f>
        <v>0</v>
      </c>
      <c r="H151" s="475"/>
      <c r="I151" s="503">
        <f>+C151+E151+G151</f>
        <v>0</v>
      </c>
      <c r="J151" s="475"/>
      <c r="K151" s="509">
        <f>IF('[1]Reference Tables (Segment)'!$B$76="No", (IF($J$24="Posted Speed 30 mph or Lower",VLOOKUP($J$9,'[1]Reference Tables (Segment)'!$A$79:$J$83,3,FALSE),VLOOKUP($J$9,'[1]Reference Tables (Segment)'!$A$79:$J$83,5,FALSE))),(IF($J$24="Posted Speed 30 mph or Lower", VLOOKUP($J$9,'[1]Reference Tables (Segment)'!$A$79:$J$83,7,FALSE),VLOOKUP($J$9,'[1]Reference Tables (Segment)'!$A$79:$J$83,9,FALSE))))</f>
        <v>5.0000000000000001E-3</v>
      </c>
      <c r="L151" s="475"/>
      <c r="M151" s="510">
        <f>+$I$151*$K$151</f>
        <v>0</v>
      </c>
      <c r="N151" s="511"/>
    </row>
    <row r="152" spans="1:14" ht="13" thickBot="1" x14ac:dyDescent="0.3">
      <c r="A152" s="525" t="s">
        <v>122</v>
      </c>
      <c r="B152" s="526"/>
      <c r="C152" s="476" t="s">
        <v>14</v>
      </c>
      <c r="D152" s="477"/>
      <c r="E152" s="476" t="s">
        <v>14</v>
      </c>
      <c r="F152" s="477"/>
      <c r="G152" s="476" t="s">
        <v>14</v>
      </c>
      <c r="H152" s="477"/>
      <c r="I152" s="476" t="s">
        <v>14</v>
      </c>
      <c r="J152" s="477"/>
      <c r="K152" s="527" t="s">
        <v>14</v>
      </c>
      <c r="L152" s="528"/>
      <c r="M152" s="478">
        <f>+$I$151*$K$151</f>
        <v>0</v>
      </c>
      <c r="N152" s="479"/>
    </row>
    <row r="153" spans="1:14" x14ac:dyDescent="0.25">
      <c r="A153" s="192" t="s">
        <v>587</v>
      </c>
    </row>
    <row r="155" spans="1:14" ht="13" thickBot="1" x14ac:dyDescent="0.3"/>
    <row r="156" spans="1:14" ht="14" thickTop="1" thickBot="1" x14ac:dyDescent="0.3">
      <c r="A156" s="529" t="s">
        <v>957</v>
      </c>
      <c r="B156" s="529"/>
      <c r="C156" s="529"/>
      <c r="D156" s="529"/>
      <c r="E156" s="529"/>
      <c r="F156" s="529"/>
      <c r="G156" s="529"/>
      <c r="H156" s="529"/>
      <c r="I156" s="529"/>
      <c r="J156" s="529"/>
      <c r="K156" s="529"/>
      <c r="L156" s="529"/>
      <c r="M156" s="529"/>
      <c r="N156" s="529"/>
    </row>
    <row r="157" spans="1:14" x14ac:dyDescent="0.25">
      <c r="A157" s="459" t="s">
        <v>16</v>
      </c>
      <c r="B157" s="514"/>
      <c r="C157" s="514" t="s">
        <v>17</v>
      </c>
      <c r="D157" s="514"/>
      <c r="E157" s="514" t="s">
        <v>18</v>
      </c>
      <c r="F157" s="514"/>
      <c r="G157" s="514" t="s">
        <v>19</v>
      </c>
      <c r="H157" s="514"/>
      <c r="I157" s="514" t="s">
        <v>20</v>
      </c>
      <c r="J157" s="514"/>
      <c r="K157" s="515" t="s">
        <v>21</v>
      </c>
      <c r="L157" s="459"/>
      <c r="M157" s="461" t="s">
        <v>585</v>
      </c>
      <c r="N157" s="462"/>
    </row>
    <row r="158" spans="1:14" ht="15.65" customHeight="1" x14ac:dyDescent="0.4">
      <c r="A158" s="463" t="s">
        <v>29</v>
      </c>
      <c r="B158" s="559"/>
      <c r="C158" s="497" t="s">
        <v>194</v>
      </c>
      <c r="D158" s="497"/>
      <c r="E158" s="497" t="s">
        <v>233</v>
      </c>
      <c r="F158" s="497"/>
      <c r="G158" s="497" t="s">
        <v>264</v>
      </c>
      <c r="H158" s="497"/>
      <c r="I158" s="497" t="s">
        <v>270</v>
      </c>
      <c r="J158" s="497"/>
      <c r="K158" s="498" t="s">
        <v>269</v>
      </c>
      <c r="L158" s="499"/>
      <c r="M158" s="466" t="s">
        <v>456</v>
      </c>
      <c r="N158" s="469"/>
    </row>
    <row r="159" spans="1:14" ht="13.15" customHeight="1" x14ac:dyDescent="0.25">
      <c r="A159" s="463"/>
      <c r="B159" s="559"/>
      <c r="C159" s="496" t="s">
        <v>271</v>
      </c>
      <c r="D159" s="495"/>
      <c r="E159" s="496" t="s">
        <v>272</v>
      </c>
      <c r="F159" s="495"/>
      <c r="G159" s="496" t="s">
        <v>273</v>
      </c>
      <c r="H159" s="496"/>
      <c r="I159" s="496" t="s">
        <v>274</v>
      </c>
      <c r="J159" s="495"/>
      <c r="K159" s="530" t="s">
        <v>511</v>
      </c>
      <c r="L159" s="531"/>
      <c r="M159" s="468" t="s">
        <v>586</v>
      </c>
      <c r="N159" s="534"/>
    </row>
    <row r="160" spans="1:14" x14ac:dyDescent="0.25">
      <c r="A160" s="463"/>
      <c r="B160" s="559"/>
      <c r="C160" s="495"/>
      <c r="D160" s="495"/>
      <c r="E160" s="495"/>
      <c r="F160" s="495"/>
      <c r="G160" s="496"/>
      <c r="H160" s="496"/>
      <c r="I160" s="495"/>
      <c r="J160" s="495"/>
      <c r="K160" s="532"/>
      <c r="L160" s="533"/>
      <c r="M160" s="470"/>
      <c r="N160" s="469"/>
    </row>
    <row r="161" spans="1:17" x14ac:dyDescent="0.25">
      <c r="A161" s="471" t="s">
        <v>31</v>
      </c>
      <c r="B161" s="522"/>
      <c r="C161" s="503" t="str">
        <f>IF($J$9="3T",$N$61, IF($J$9="5T",$N$61,"0"))</f>
        <v>0</v>
      </c>
      <c r="D161" s="475"/>
      <c r="E161" s="503" t="str">
        <f>IF($J$9="3T",$N$93, IF($J$9="5T",$N$93,"0"))</f>
        <v>0</v>
      </c>
      <c r="F161" s="475"/>
      <c r="G161" s="503" t="str">
        <f>IF($J$9="3T",$M$140, IF($J$9="5T",$M$140,"0"))</f>
        <v>0</v>
      </c>
      <c r="H161" s="475"/>
      <c r="I161" s="503">
        <f>+C161+E161+G161</f>
        <v>0</v>
      </c>
      <c r="J161" s="475"/>
      <c r="K161" s="509">
        <f>IF('[1]Reference Tables (Segment)'!$B$91="No", (IF($J$24="Posted Speed 30 mph or Lower",VLOOKUP($J$9,'[1]Reference Tables (Segment)'!$A$94:$J$98,3,FALSE),VLOOKUP($J$9,'[1]Reference Tables (Segment)'!$A$94:$J$98,5,FALSE))),(IF($J$24="Posted Speed 30 mph or Lower", VLOOKUP($J$9,'[1]Reference Tables (Segment)'!$A$94:$J$98,7,FALSE),VLOOKUP($J$9,'[1]Reference Tables (Segment)'!$A$94:$J$98,9,FALSE))))</f>
        <v>4.0000000000000001E-3</v>
      </c>
      <c r="L161" s="475"/>
      <c r="M161" s="510">
        <f>+$I$161*$K$161</f>
        <v>0</v>
      </c>
      <c r="N161" s="511"/>
    </row>
    <row r="162" spans="1:17" ht="13" thickBot="1" x14ac:dyDescent="0.3">
      <c r="A162" s="525" t="s">
        <v>122</v>
      </c>
      <c r="B162" s="526"/>
      <c r="C162" s="476" t="s">
        <v>14</v>
      </c>
      <c r="D162" s="477"/>
      <c r="E162" s="476" t="s">
        <v>14</v>
      </c>
      <c r="F162" s="477"/>
      <c r="G162" s="476" t="s">
        <v>14</v>
      </c>
      <c r="H162" s="477"/>
      <c r="I162" s="476" t="s">
        <v>14</v>
      </c>
      <c r="J162" s="477"/>
      <c r="K162" s="527" t="s">
        <v>14</v>
      </c>
      <c r="L162" s="528"/>
      <c r="M162" s="478">
        <f>+$I$161*$K$161</f>
        <v>0</v>
      </c>
      <c r="N162" s="479"/>
    </row>
    <row r="163" spans="1:17" x14ac:dyDescent="0.25">
      <c r="A163" s="192" t="s">
        <v>588</v>
      </c>
    </row>
    <row r="166" spans="1:17" ht="13" thickBot="1" x14ac:dyDescent="0.3">
      <c r="A166" s="243"/>
      <c r="B166" s="243"/>
      <c r="C166" s="243"/>
      <c r="D166" s="243"/>
      <c r="E166" s="243"/>
      <c r="F166" s="243"/>
      <c r="G166" s="243"/>
      <c r="H166" s="243"/>
      <c r="I166" s="243"/>
      <c r="J166" s="243"/>
      <c r="K166" s="243"/>
      <c r="L166" s="243"/>
      <c r="M166" s="243"/>
      <c r="N166" s="243"/>
      <c r="O166" s="243"/>
      <c r="P166" s="243"/>
    </row>
    <row r="167" spans="1:17" ht="13.5" thickBot="1" x14ac:dyDescent="0.3">
      <c r="A167" s="536" t="s">
        <v>880</v>
      </c>
      <c r="B167" s="536"/>
      <c r="C167" s="536"/>
      <c r="D167" s="536"/>
      <c r="E167" s="536"/>
      <c r="F167" s="536"/>
      <c r="G167" s="536"/>
      <c r="H167" s="536"/>
      <c r="I167" s="536"/>
      <c r="J167" s="536"/>
      <c r="K167" s="536"/>
      <c r="L167" s="536"/>
      <c r="M167" s="536"/>
      <c r="N167" s="536"/>
      <c r="O167" s="536"/>
      <c r="P167" s="536"/>
    </row>
    <row r="168" spans="1:17" ht="12.75" customHeight="1" x14ac:dyDescent="0.25">
      <c r="A168" s="562" t="s">
        <v>16</v>
      </c>
      <c r="B168" s="482"/>
      <c r="C168" s="481" t="s">
        <v>17</v>
      </c>
      <c r="D168" s="481"/>
      <c r="E168" s="482"/>
      <c r="F168" s="481" t="s">
        <v>18</v>
      </c>
      <c r="G168" s="482"/>
      <c r="H168" s="481" t="s">
        <v>19</v>
      </c>
      <c r="I168" s="482"/>
      <c r="J168" s="481" t="s">
        <v>20</v>
      </c>
      <c r="K168" s="482"/>
      <c r="L168" s="482"/>
      <c r="M168" s="481" t="s">
        <v>21</v>
      </c>
      <c r="N168" s="508"/>
      <c r="O168" s="480" t="s">
        <v>22</v>
      </c>
      <c r="P168" s="482"/>
    </row>
    <row r="169" spans="1:17" ht="25.5" customHeight="1" x14ac:dyDescent="0.25">
      <c r="A169" s="563" t="s">
        <v>881</v>
      </c>
      <c r="B169" s="564"/>
      <c r="C169" s="572" t="s">
        <v>884</v>
      </c>
      <c r="D169" s="572"/>
      <c r="E169" s="564"/>
      <c r="F169" s="572" t="s">
        <v>888</v>
      </c>
      <c r="G169" s="564"/>
      <c r="H169" s="572" t="s">
        <v>1086</v>
      </c>
      <c r="I169" s="573"/>
      <c r="J169" s="572" t="s">
        <v>1092</v>
      </c>
      <c r="K169" s="564"/>
      <c r="L169" s="564"/>
      <c r="M169" s="572" t="s">
        <v>1093</v>
      </c>
      <c r="N169" s="573"/>
      <c r="O169" s="494" t="s">
        <v>925</v>
      </c>
      <c r="P169" s="494"/>
    </row>
    <row r="170" spans="1:17" ht="12.75" customHeight="1" x14ac:dyDescent="0.25">
      <c r="A170" s="565"/>
      <c r="B170" s="566"/>
      <c r="C170" s="566"/>
      <c r="D170" s="566"/>
      <c r="E170" s="566"/>
      <c r="F170" s="566"/>
      <c r="G170" s="566"/>
      <c r="H170" s="566"/>
      <c r="I170" s="574"/>
      <c r="J170" s="566"/>
      <c r="K170" s="566"/>
      <c r="L170" s="566"/>
      <c r="M170" s="566"/>
      <c r="N170" s="574"/>
      <c r="O170" s="494"/>
      <c r="P170" s="494"/>
    </row>
    <row r="171" spans="1:17" ht="13" x14ac:dyDescent="0.3">
      <c r="A171" s="521" t="s">
        <v>882</v>
      </c>
      <c r="B171" s="522"/>
      <c r="C171" s="523" t="s">
        <v>883</v>
      </c>
      <c r="D171" s="523"/>
      <c r="E171" s="522"/>
      <c r="F171" s="523" t="s">
        <v>885</v>
      </c>
      <c r="G171" s="522"/>
      <c r="H171" s="523" t="s">
        <v>887</v>
      </c>
      <c r="I171" s="522"/>
      <c r="J171" s="523" t="s">
        <v>889</v>
      </c>
      <c r="K171" s="522"/>
      <c r="L171" s="522"/>
      <c r="M171" s="523" t="s">
        <v>917</v>
      </c>
      <c r="N171" s="568"/>
      <c r="O171" s="523" t="s">
        <v>926</v>
      </c>
      <c r="P171" s="522"/>
    </row>
    <row r="172" spans="1:17" ht="24.75" customHeight="1" x14ac:dyDescent="0.25">
      <c r="A172" s="500" t="s">
        <v>890</v>
      </c>
      <c r="B172" s="501"/>
      <c r="C172" s="507" t="s">
        <v>918</v>
      </c>
      <c r="D172" s="507"/>
      <c r="E172" s="501"/>
      <c r="F172" s="496" t="s">
        <v>891</v>
      </c>
      <c r="G172" s="464"/>
      <c r="H172" s="507" t="s">
        <v>1087</v>
      </c>
      <c r="I172" s="501"/>
      <c r="J172" s="507" t="s">
        <v>1094</v>
      </c>
      <c r="K172" s="569"/>
      <c r="L172" s="569"/>
      <c r="M172" s="570" t="s">
        <v>1095</v>
      </c>
      <c r="N172" s="571"/>
      <c r="O172" s="555" t="s">
        <v>334</v>
      </c>
      <c r="P172" s="501"/>
    </row>
    <row r="173" spans="1:17" ht="13" thickBot="1" x14ac:dyDescent="0.3">
      <c r="A173" s="519">
        <f>IF($J$9="2U",IF($J$34="None",'Reference Tables (Segment)'!C146,'Reference Tables (Segment)'!C147),IF($J$9="OW",IF($J$34="None",'Reference Tables (Segment)'!C148,'Reference Tables (Segment)'!C149),1))</f>
        <v>1</v>
      </c>
      <c r="B173" s="557"/>
      <c r="C173" s="518">
        <f>IF($J$9="2U",EXP(($J$35-12)*(-0.051)),IF($J$9="OW",EXP(($J$35-12)*(-0.071)),1))</f>
        <v>1.8441159448971343</v>
      </c>
      <c r="D173" s="558"/>
      <c r="E173" s="557"/>
      <c r="F173" s="518">
        <f xml:space="preserve"> IF($J$9="OW",IF($J$37="One-Lane",'Reference Tables (Segment)'!C154, IF($J$37="Two-Lanes",'Reference Tables (Segment)'!C155, IF($J$37="Three-Lanes",'Reference Tables (Segment)'!C156,0))),1)</f>
        <v>1</v>
      </c>
      <c r="G173" s="520"/>
      <c r="H173" s="518">
        <f>IF($J$9="2U",EXP(($J$38*0.0178)),1)</f>
        <v>1</v>
      </c>
      <c r="I173" s="520"/>
      <c r="J173" s="518">
        <f>IF($J$9="4U",EXP(($J$39*0.16)),IF($J$9="4D",EXP(($J$39*0.16)),1))</f>
        <v>1</v>
      </c>
      <c r="K173" s="519"/>
      <c r="L173" s="520"/>
      <c r="M173" s="518">
        <f>IF($J$9="OW",EXP(($J$40*0.013)),1)</f>
        <v>1</v>
      </c>
      <c r="N173" s="519"/>
      <c r="O173" s="556">
        <f>A173*C173*F173*H173*J173*M173</f>
        <v>1.8441159448971343</v>
      </c>
      <c r="P173" s="477"/>
    </row>
    <row r="175" spans="1:17" ht="13" thickBot="1" x14ac:dyDescent="0.3">
      <c r="A175" s="243"/>
      <c r="B175" s="243"/>
      <c r="C175" s="243"/>
      <c r="D175" s="243"/>
      <c r="E175" s="243"/>
      <c r="F175" s="243"/>
      <c r="G175" s="243"/>
      <c r="H175" s="243"/>
      <c r="I175" s="243"/>
      <c r="J175" s="243"/>
      <c r="K175" s="243"/>
      <c r="L175" s="243"/>
      <c r="M175" s="243"/>
      <c r="N175" s="243"/>
      <c r="O175" s="243"/>
      <c r="P175" s="243"/>
      <c r="Q175" s="243"/>
    </row>
    <row r="176" spans="1:17" ht="13.5" thickBot="1" x14ac:dyDescent="0.35">
      <c r="A176" s="513" t="s">
        <v>932</v>
      </c>
      <c r="B176" s="513"/>
      <c r="C176" s="513"/>
      <c r="D176" s="513"/>
      <c r="E176" s="513"/>
      <c r="F176" s="513"/>
      <c r="G176" s="513"/>
      <c r="H176" s="513"/>
      <c r="I176" s="513"/>
      <c r="J176" s="513"/>
      <c r="K176" s="513"/>
      <c r="L176" s="513"/>
      <c r="M176" s="513"/>
      <c r="N176" s="513"/>
      <c r="O176" s="513"/>
      <c r="P176" s="513"/>
      <c r="Q176" s="513"/>
    </row>
    <row r="177" spans="1:19" x14ac:dyDescent="0.25">
      <c r="A177" s="481" t="s">
        <v>16</v>
      </c>
      <c r="B177" s="482"/>
      <c r="C177" s="480" t="s">
        <v>17</v>
      </c>
      <c r="D177" s="480"/>
      <c r="E177" s="480"/>
      <c r="F177" s="481" t="s">
        <v>18</v>
      </c>
      <c r="G177" s="482"/>
      <c r="H177" s="481" t="s">
        <v>19</v>
      </c>
      <c r="I177" s="482"/>
      <c r="J177" s="480" t="s">
        <v>20</v>
      </c>
      <c r="K177" s="480"/>
      <c r="L177" s="480" t="s">
        <v>21</v>
      </c>
      <c r="M177" s="480"/>
      <c r="N177" s="480" t="s">
        <v>22</v>
      </c>
      <c r="O177" s="480"/>
      <c r="P177" s="492" t="s">
        <v>23</v>
      </c>
      <c r="Q177" s="493"/>
    </row>
    <row r="178" spans="1:19" ht="12.75" customHeight="1" x14ac:dyDescent="0.25">
      <c r="A178" s="549" t="s">
        <v>29</v>
      </c>
      <c r="B178" s="550"/>
      <c r="C178" s="551" t="s">
        <v>79</v>
      </c>
      <c r="D178" s="551"/>
      <c r="E178" s="551"/>
      <c r="F178" s="549" t="s">
        <v>30</v>
      </c>
      <c r="G178" s="550"/>
      <c r="H178" s="552" t="s">
        <v>922</v>
      </c>
      <c r="I178" s="552"/>
      <c r="J178" s="494" t="s">
        <v>925</v>
      </c>
      <c r="K178" s="494"/>
      <c r="L178" s="494" t="s">
        <v>263</v>
      </c>
      <c r="M178" s="494"/>
      <c r="N178" s="496" t="s">
        <v>930</v>
      </c>
      <c r="O178" s="495"/>
      <c r="P178" s="466" t="s">
        <v>268</v>
      </c>
      <c r="Q178" s="467"/>
    </row>
    <row r="179" spans="1:19" x14ac:dyDescent="0.25">
      <c r="A179" s="550"/>
      <c r="B179" s="550"/>
      <c r="C179" s="551"/>
      <c r="D179" s="551"/>
      <c r="E179" s="551"/>
      <c r="F179" s="550"/>
      <c r="G179" s="550"/>
      <c r="H179" s="550"/>
      <c r="I179" s="550"/>
      <c r="J179" s="494"/>
      <c r="K179" s="494"/>
      <c r="L179" s="494"/>
      <c r="M179" s="494"/>
      <c r="N179" s="495"/>
      <c r="O179" s="495"/>
      <c r="P179" s="466"/>
      <c r="Q179" s="467"/>
    </row>
    <row r="180" spans="1:19" x14ac:dyDescent="0.25">
      <c r="A180" s="550"/>
      <c r="B180" s="550"/>
      <c r="C180" s="553" t="s">
        <v>923</v>
      </c>
      <c r="D180" s="553"/>
      <c r="E180" s="553"/>
      <c r="F180" s="501" t="s">
        <v>923</v>
      </c>
      <c r="G180" s="501"/>
      <c r="H180" s="496" t="s">
        <v>924</v>
      </c>
      <c r="I180" s="495"/>
      <c r="J180" s="496" t="s">
        <v>927</v>
      </c>
      <c r="K180" s="495"/>
      <c r="L180" s="495"/>
      <c r="M180" s="495"/>
      <c r="N180" s="554" t="str">
        <f>IF($J$30="SPFs based on regression analysis (applicable with EB method)", "SPFs based on regression analysis (applicable with EB method) (Value = 1.0)", "SPFs based on modified RAP methodology (NOT applicable with EB method) (Value = 0.0)")</f>
        <v>SPFs based on regression analysis (applicable with EB method) (Value = 1.0)</v>
      </c>
      <c r="O180" s="554"/>
      <c r="P180" s="468" t="s">
        <v>931</v>
      </c>
      <c r="Q180" s="469"/>
    </row>
    <row r="181" spans="1:19" ht="28.5" customHeight="1" x14ac:dyDescent="0.25">
      <c r="A181" s="550"/>
      <c r="B181" s="550"/>
      <c r="C181" s="77" t="s">
        <v>80</v>
      </c>
      <c r="D181" s="77" t="s">
        <v>81</v>
      </c>
      <c r="E181" s="77" t="s">
        <v>337</v>
      </c>
      <c r="F181" s="501"/>
      <c r="G181" s="501"/>
      <c r="H181" s="550"/>
      <c r="I181" s="550"/>
      <c r="J181" s="495"/>
      <c r="K181" s="495"/>
      <c r="L181" s="495"/>
      <c r="M181" s="495"/>
      <c r="N181" s="554"/>
      <c r="O181" s="554"/>
      <c r="P181" s="470"/>
      <c r="Q181" s="469"/>
    </row>
    <row r="182" spans="1:19" x14ac:dyDescent="0.25">
      <c r="A182" s="522" t="s">
        <v>31</v>
      </c>
      <c r="B182" s="522"/>
      <c r="C182" s="3">
        <f>IF($J$9="2U",'Reference Tables (Segment)'!B137,IF($J$9="4U",'Reference Tables (Segment)'!B138,IF($J$9="4D",'Reference Tables (Segment)'!B139,IF($J$9="OW",'Reference Tables (Segment)'!B140,"N/A"))))</f>
        <v>-4.0289999999999999</v>
      </c>
      <c r="D182" s="3">
        <f>IF($J$9="2U",'Reference Tables (Segment)'!C137,IF($J$9="4U",'Reference Tables (Segment)'!C138,IF($J$9="4D",'Reference Tables (Segment)'!C139,IF($J$9="OW",'Reference Tables (Segment)'!C140,"N/A"))))</f>
        <v>0.34699999999999998</v>
      </c>
      <c r="E182" s="4">
        <f>IF($J$9="2U",'Reference Tables (Segment)'!D137,IF($J$9="4U",'Reference Tables (Segment)'!D138,IF($J$9="4D",'Reference Tables (Segment)'!D139,IF($J$9="OW",'Reference Tables (Segment)'!D140,"N/A"))))</f>
        <v>0.114</v>
      </c>
      <c r="F182" s="455">
        <f>IF($J$9="2U",'Reference Tables (Segment)'!E137,IF($J$9="4U",'Reference Tables (Segment)'!E138,IF($J$9="4D",'Reference Tables (Segment)'!E139,IF($J$9="OW",'Reference Tables (Segment)'!E140,"N/A"))))</f>
        <v>0.94799999999999995</v>
      </c>
      <c r="G182" s="455"/>
      <c r="H182" s="502">
        <f>IF($J$9="2U", EXP($C182+($D182*LN($J$11))+(E182*LN($J$32))+LN($J$10)),IF($J$9="4U", EXP($C182+($D182*LN($J$11))+(E182*LN($J$32))+LN($J$10)),IF($J$9="4D", EXP($C182+($D182*LN($J$11))+(E182*LN($J$32))+LN($J$10)),IF($J$9="OW", EXP($C182+($D182*LN($J$11))+(E182*LN($J$32))+LN($J$10)),0))))</f>
        <v>0.77804077972005203</v>
      </c>
      <c r="I182" s="502"/>
      <c r="J182" s="474">
        <f>O173</f>
        <v>1.8441159448971343</v>
      </c>
      <c r="K182" s="475"/>
      <c r="L182" s="474">
        <f>IF($J$9="2U",$R$17,IF($J$9="3T",$R$18,IF($J$9="4U",$R$19,IF($J$9="4D",$R$20,IF($J$9="5T",$R$21,$R$22)))))</f>
        <v>1</v>
      </c>
      <c r="M182" s="475"/>
      <c r="N182" s="456">
        <f>IF($J$30="SPFs based on regression analysis (applicable with EB method)", 1, 0)</f>
        <v>1</v>
      </c>
      <c r="O182" s="456"/>
      <c r="P182" s="472">
        <f>H182*J182*L182*N182</f>
        <v>1.4347974076619467</v>
      </c>
      <c r="Q182" s="473"/>
    </row>
    <row r="183" spans="1:19" x14ac:dyDescent="0.25">
      <c r="A183" s="247" t="s">
        <v>32</v>
      </c>
      <c r="B183" s="247"/>
      <c r="C183" s="246">
        <f>IF($J$9="2U",'Reference Tables (Segment)'!B137,IF($J$9="4U",'Reference Tables (Segment)'!B138,IF($J$9="4D",'Reference Tables (Segment)'!B139,IF($J$9="OW",'Reference Tables (Segment)'!B140,"N/A"))))</f>
        <v>-4.0289999999999999</v>
      </c>
      <c r="D183" s="246">
        <f>IF($J$9="2U",'Reference Tables (Segment)'!C137,IF($J$9="4U",'Reference Tables (Segment)'!C138,IF($J$9="4D",'Reference Tables (Segment)'!C139,IF($J$9="OW",'Reference Tables (Segment)'!C140,"N/A"))))</f>
        <v>0.34699999999999998</v>
      </c>
      <c r="E183" s="4">
        <f>IF($J$9="2U",'Reference Tables (Segment)'!D137,IF($J$9="4U",'Reference Tables (Segment)'!D138,IF($J$9="4D",'Reference Tables (Segment)'!D139,IF($J$9="OW",'Reference Tables (Segment)'!D140,"N/A"))))</f>
        <v>0.114</v>
      </c>
      <c r="F183" s="455">
        <f>IF($J$9="2U",'Reference Tables (Segment)'!E137,IF($J$9="4U",'Reference Tables (Segment)'!E138,IF($J$9="4D",'Reference Tables (Segment)'!E139,IF($J$9="OW",'Reference Tables (Segment)'!E140,"N/A"))))</f>
        <v>0.94799999999999995</v>
      </c>
      <c r="G183" s="455"/>
      <c r="H183" s="502">
        <f>IF($J$9="2U", EXP($C183+($D183*LN($J$11))+(E183*LN($J$32))+LN($J$10)),IF($J$9="4U", EXP($C183+($D183*LN($J$11))+(E183*LN($J$32))+LN($J$10)),IF($J$9="4D", EXP($C183+($D183*LN($J$11))+(E183*LN($J$32))+LN($J$10)),IF($J$9="OW", EXP($C183+($D183*LN($J$11))+(E183*LN($J$32))+LN($J$10)),0))))</f>
        <v>0.77804077972005203</v>
      </c>
      <c r="I183" s="502"/>
      <c r="J183" s="474">
        <f>O173</f>
        <v>1.8441159448971343</v>
      </c>
      <c r="K183" s="475"/>
      <c r="L183" s="474">
        <f>IF($J$9="2U",$R$17,IF($J$9="3T",$R$18,IF($J$9="4U",$R$19,IF($J$9="4D",$R$20,IF($J$9="5T",$R$21,$R$22)))))</f>
        <v>1</v>
      </c>
      <c r="M183" s="475"/>
      <c r="N183" s="456">
        <f>IF($J$30="SPFs based on regression analysis (applicable with EB method)", 1, 0)</f>
        <v>1</v>
      </c>
      <c r="O183" s="456"/>
      <c r="P183" s="472">
        <f>H183*J183*L183*N183</f>
        <v>1.4347974076619467</v>
      </c>
      <c r="Q183" s="473"/>
    </row>
    <row r="184" spans="1:19" x14ac:dyDescent="0.25">
      <c r="A184" s="17"/>
      <c r="B184" s="17"/>
      <c r="C184" s="249"/>
      <c r="D184" s="250"/>
      <c r="I184" s="248"/>
      <c r="J184" s="248"/>
      <c r="K184" s="250"/>
      <c r="L184" s="250"/>
    </row>
    <row r="185" spans="1:19" ht="13" thickBot="1" x14ac:dyDescent="0.3"/>
    <row r="186" spans="1:19" ht="13.5" thickBot="1" x14ac:dyDescent="0.3">
      <c r="A186" s="536" t="s">
        <v>958</v>
      </c>
      <c r="B186" s="536"/>
      <c r="C186" s="536"/>
      <c r="D186" s="536"/>
      <c r="E186" s="536"/>
      <c r="F186" s="536"/>
      <c r="G186" s="536"/>
      <c r="H186" s="536"/>
      <c r="I186" s="536"/>
      <c r="J186" s="536"/>
      <c r="K186" s="536"/>
      <c r="L186" s="536"/>
      <c r="M186" s="536"/>
      <c r="N186" s="536"/>
      <c r="O186" s="536"/>
      <c r="P186" s="536"/>
      <c r="Q186" s="536"/>
      <c r="R186" s="536"/>
    </row>
    <row r="187" spans="1:19" x14ac:dyDescent="0.25">
      <c r="A187" s="562" t="s">
        <v>16</v>
      </c>
      <c r="B187" s="482"/>
      <c r="C187" s="481" t="s">
        <v>17</v>
      </c>
      <c r="D187" s="481"/>
      <c r="E187" s="482"/>
      <c r="F187" s="481" t="s">
        <v>18</v>
      </c>
      <c r="G187" s="482"/>
      <c r="H187" s="481" t="s">
        <v>19</v>
      </c>
      <c r="I187" s="482"/>
      <c r="J187" s="481" t="s">
        <v>20</v>
      </c>
      <c r="K187" s="482"/>
      <c r="L187" s="508"/>
      <c r="M187" s="810" t="s">
        <v>21</v>
      </c>
      <c r="N187" s="811"/>
      <c r="O187" s="810" t="s">
        <v>22</v>
      </c>
      <c r="P187" s="812"/>
      <c r="Q187" s="515" t="s">
        <v>23</v>
      </c>
      <c r="R187" s="813"/>
    </row>
    <row r="188" spans="1:19" ht="25.5" customHeight="1" x14ac:dyDescent="0.25">
      <c r="A188" s="563" t="s">
        <v>933</v>
      </c>
      <c r="B188" s="564"/>
      <c r="C188" s="483" t="s">
        <v>884</v>
      </c>
      <c r="D188" s="484"/>
      <c r="E188" s="563"/>
      <c r="F188" s="483" t="s">
        <v>886</v>
      </c>
      <c r="G188" s="563"/>
      <c r="H188" s="483" t="s">
        <v>888</v>
      </c>
      <c r="I188" s="563"/>
      <c r="J188" s="483" t="s">
        <v>1086</v>
      </c>
      <c r="K188" s="484"/>
      <c r="L188" s="484"/>
      <c r="M188" s="504" t="s">
        <v>1092</v>
      </c>
      <c r="N188" s="504"/>
      <c r="O188" s="496" t="s">
        <v>1093</v>
      </c>
      <c r="P188" s="496"/>
      <c r="Q188" s="483" t="s">
        <v>925</v>
      </c>
      <c r="R188" s="484"/>
      <c r="S188" s="251"/>
    </row>
    <row r="189" spans="1:19" x14ac:dyDescent="0.25">
      <c r="A189" s="565"/>
      <c r="B189" s="566"/>
      <c r="C189" s="485"/>
      <c r="D189" s="486"/>
      <c r="E189" s="567"/>
      <c r="F189" s="485"/>
      <c r="G189" s="567"/>
      <c r="H189" s="485"/>
      <c r="I189" s="567"/>
      <c r="J189" s="485"/>
      <c r="K189" s="486"/>
      <c r="L189" s="486"/>
      <c r="M189" s="504"/>
      <c r="N189" s="504"/>
      <c r="O189" s="496"/>
      <c r="P189" s="496"/>
      <c r="Q189" s="485"/>
      <c r="R189" s="486"/>
      <c r="S189" s="251"/>
    </row>
    <row r="190" spans="1:19" ht="13" x14ac:dyDescent="0.3">
      <c r="A190" s="521" t="s">
        <v>934</v>
      </c>
      <c r="B190" s="522"/>
      <c r="C190" s="487" t="s">
        <v>936</v>
      </c>
      <c r="D190" s="488"/>
      <c r="E190" s="521"/>
      <c r="F190" s="523" t="s">
        <v>937</v>
      </c>
      <c r="G190" s="522"/>
      <c r="H190" s="523" t="s">
        <v>939</v>
      </c>
      <c r="I190" s="522"/>
      <c r="J190" s="487" t="s">
        <v>1102</v>
      </c>
      <c r="K190" s="488"/>
      <c r="L190" s="488"/>
      <c r="M190" s="487" t="s">
        <v>1104</v>
      </c>
      <c r="N190" s="488"/>
      <c r="O190" s="487" t="s">
        <v>1109</v>
      </c>
      <c r="P190" s="488"/>
      <c r="Q190" s="487" t="s">
        <v>940</v>
      </c>
      <c r="R190" s="488"/>
      <c r="S190" s="252"/>
    </row>
    <row r="191" spans="1:19" ht="25.5" customHeight="1" x14ac:dyDescent="0.25">
      <c r="A191" s="500" t="s">
        <v>892</v>
      </c>
      <c r="B191" s="501"/>
      <c r="C191" s="489" t="s">
        <v>1096</v>
      </c>
      <c r="D191" s="490"/>
      <c r="E191" s="500"/>
      <c r="F191" s="505" t="s">
        <v>893</v>
      </c>
      <c r="G191" s="506"/>
      <c r="H191" s="507" t="s">
        <v>894</v>
      </c>
      <c r="I191" s="501"/>
      <c r="J191" s="489" t="s">
        <v>1103</v>
      </c>
      <c r="K191" s="490"/>
      <c r="L191" s="490"/>
      <c r="M191" s="489" t="s">
        <v>1105</v>
      </c>
      <c r="N191" s="490"/>
      <c r="O191" s="489" t="s">
        <v>1106</v>
      </c>
      <c r="P191" s="490"/>
      <c r="Q191" s="489" t="s">
        <v>1107</v>
      </c>
      <c r="R191" s="490"/>
      <c r="S191" s="17"/>
    </row>
    <row r="192" spans="1:19" ht="13" thickBot="1" x14ac:dyDescent="0.3">
      <c r="A192" s="516">
        <f xml:space="preserve"> IF($J$9="2U",IF($J$41="None",'Reference Tables (Segment)'!K146,'Reference Tables (Segment)'!K147),1)</f>
        <v>0.2</v>
      </c>
      <c r="B192" s="517"/>
      <c r="C192" s="518">
        <f>IF($J$9="2U",EXP(($J$35-12)*(-0.058)),1)</f>
        <v>2.0057137852036884</v>
      </c>
      <c r="D192" s="519"/>
      <c r="E192" s="520"/>
      <c r="F192" s="518">
        <f xml:space="preserve"> IF($J$9="4U",IF($J$36="Less than or equal to 25 mph",'Reference Tables (Segment)'!K152,'Reference Tables (Segment)'!K153), IF($J$9="4D",IF($J$36="Less than or equal to 25 mph",'Reference Tables (Segment)'!K152,'Reference Tables (Segment)'!K153), 1))</f>
        <v>1</v>
      </c>
      <c r="G192" s="520"/>
      <c r="H192" s="518">
        <f xml:space="preserve"> IF($J$9="OW",IF($J$37="One-Lane",'Reference Tables (Segment)'!K158, IF($J$37="Two-Lanes",'Reference Tables (Segment)'!K159, IF($J$37="Three-Lanes",'Reference Tables (Segment)'!K160,0))),1)</f>
        <v>1</v>
      </c>
      <c r="I192" s="520"/>
      <c r="J192" s="518">
        <f>IF($J$9="2U",EXP(($J$38*0.028)),1)</f>
        <v>1</v>
      </c>
      <c r="K192" s="519"/>
      <c r="L192" s="519"/>
      <c r="M192" s="491">
        <f>IF($J$9="2U",EXP(($J$39*0.151)),1)</f>
        <v>1</v>
      </c>
      <c r="N192" s="491"/>
      <c r="O192" s="491">
        <f>IF($J$9="4U",EXP(($J$40*0.018)),IF($J$9="4D",EXP(($J$40*0.018)), IF($J$9="OW",EXP(($J$40*0.023)),1)))</f>
        <v>1</v>
      </c>
      <c r="P192" s="491"/>
      <c r="Q192" s="518">
        <f>A192*C192*F192*H192*J192*M192*O192</f>
        <v>0.40114275704073771</v>
      </c>
      <c r="R192" s="519"/>
      <c r="S192" s="24"/>
    </row>
    <row r="194" spans="1:17" ht="13" thickBot="1" x14ac:dyDescent="0.3"/>
    <row r="195" spans="1:17" ht="13.5" thickBot="1" x14ac:dyDescent="0.35">
      <c r="A195" s="513" t="s">
        <v>945</v>
      </c>
      <c r="B195" s="513"/>
      <c r="C195" s="513"/>
      <c r="D195" s="513"/>
      <c r="E195" s="513"/>
      <c r="F195" s="513"/>
      <c r="G195" s="513"/>
      <c r="H195" s="513"/>
      <c r="I195" s="513"/>
      <c r="J195" s="513"/>
      <c r="K195" s="513"/>
      <c r="L195" s="513"/>
      <c r="M195" s="513"/>
      <c r="N195" s="513"/>
      <c r="O195" s="513"/>
      <c r="P195" s="513"/>
      <c r="Q195" s="513"/>
    </row>
    <row r="196" spans="1:17" x14ac:dyDescent="0.25">
      <c r="A196" s="481" t="s">
        <v>16</v>
      </c>
      <c r="B196" s="482"/>
      <c r="C196" s="480" t="s">
        <v>17</v>
      </c>
      <c r="D196" s="480"/>
      <c r="E196" s="480"/>
      <c r="F196" s="481" t="s">
        <v>18</v>
      </c>
      <c r="G196" s="482"/>
      <c r="H196" s="481" t="s">
        <v>19</v>
      </c>
      <c r="I196" s="482"/>
      <c r="J196" s="480" t="s">
        <v>20</v>
      </c>
      <c r="K196" s="480"/>
      <c r="L196" s="480" t="s">
        <v>21</v>
      </c>
      <c r="M196" s="480"/>
      <c r="N196" s="480" t="s">
        <v>22</v>
      </c>
      <c r="O196" s="480"/>
      <c r="P196" s="492" t="s">
        <v>23</v>
      </c>
      <c r="Q196" s="493"/>
    </row>
    <row r="197" spans="1:17" x14ac:dyDescent="0.25">
      <c r="A197" s="549" t="s">
        <v>29</v>
      </c>
      <c r="B197" s="550"/>
      <c r="C197" s="551" t="s">
        <v>79</v>
      </c>
      <c r="D197" s="551"/>
      <c r="E197" s="551"/>
      <c r="F197" s="549" t="s">
        <v>30</v>
      </c>
      <c r="G197" s="550"/>
      <c r="H197" s="552" t="s">
        <v>947</v>
      </c>
      <c r="I197" s="552"/>
      <c r="J197" s="494" t="s">
        <v>925</v>
      </c>
      <c r="K197" s="494"/>
      <c r="L197" s="494" t="s">
        <v>263</v>
      </c>
      <c r="M197" s="494"/>
      <c r="N197" s="496" t="s">
        <v>930</v>
      </c>
      <c r="O197" s="495"/>
      <c r="P197" s="466" t="s">
        <v>456</v>
      </c>
      <c r="Q197" s="467"/>
    </row>
    <row r="198" spans="1:17" x14ac:dyDescent="0.25">
      <c r="A198" s="550"/>
      <c r="B198" s="550"/>
      <c r="C198" s="551"/>
      <c r="D198" s="551"/>
      <c r="E198" s="551"/>
      <c r="F198" s="550"/>
      <c r="G198" s="550"/>
      <c r="H198" s="550"/>
      <c r="I198" s="550"/>
      <c r="J198" s="494"/>
      <c r="K198" s="494"/>
      <c r="L198" s="494"/>
      <c r="M198" s="494"/>
      <c r="N198" s="495"/>
      <c r="O198" s="495"/>
      <c r="P198" s="466"/>
      <c r="Q198" s="467"/>
    </row>
    <row r="199" spans="1:17" x14ac:dyDescent="0.25">
      <c r="A199" s="550"/>
      <c r="B199" s="550"/>
      <c r="C199" s="553" t="s">
        <v>946</v>
      </c>
      <c r="D199" s="553"/>
      <c r="E199" s="553"/>
      <c r="F199" s="507" t="s">
        <v>946</v>
      </c>
      <c r="G199" s="501"/>
      <c r="H199" s="496" t="s">
        <v>952</v>
      </c>
      <c r="I199" s="495"/>
      <c r="J199" s="496" t="s">
        <v>948</v>
      </c>
      <c r="K199" s="495"/>
      <c r="L199" s="495"/>
      <c r="M199" s="495"/>
      <c r="N199" s="554" t="str">
        <f>IF($J$30="SPFs based on regression analysis (applicable with EB method)", "SPFs based on regression analysis (applicable with EB method) (Value = 1.0)", "SPFs based on modified RAP methodology (NOT applicable with EB method) (Value = 0.0)")</f>
        <v>SPFs based on regression analysis (applicable with EB method) (Value = 1.0)</v>
      </c>
      <c r="O199" s="554"/>
      <c r="P199" s="468" t="s">
        <v>931</v>
      </c>
      <c r="Q199" s="469"/>
    </row>
    <row r="200" spans="1:17" ht="29.25" customHeight="1" x14ac:dyDescent="0.25">
      <c r="A200" s="550"/>
      <c r="B200" s="550"/>
      <c r="C200" s="77" t="s">
        <v>80</v>
      </c>
      <c r="D200" s="77" t="s">
        <v>81</v>
      </c>
      <c r="E200" s="77" t="s">
        <v>337</v>
      </c>
      <c r="F200" s="501"/>
      <c r="G200" s="501"/>
      <c r="H200" s="550"/>
      <c r="I200" s="550"/>
      <c r="J200" s="495"/>
      <c r="K200" s="495"/>
      <c r="L200" s="495"/>
      <c r="M200" s="495"/>
      <c r="N200" s="554"/>
      <c r="O200" s="554"/>
      <c r="P200" s="470"/>
      <c r="Q200" s="469"/>
    </row>
    <row r="201" spans="1:17" x14ac:dyDescent="0.25">
      <c r="A201" s="522" t="s">
        <v>31</v>
      </c>
      <c r="B201" s="522"/>
      <c r="C201" s="3">
        <f>IF($J$9="2U",'Reference Tables (Segment)'!I137,IF($J$9="4U",'Reference Tables (Segment)'!I138,IF($J$9="4D",'Reference Tables (Segment)'!I139,IF($J$9="OW",'Reference Tables (Segment)'!I140,"N/A"))))</f>
        <v>-8.4220000000000006</v>
      </c>
      <c r="D201" s="3">
        <f>IF($J$9="2U",'Reference Tables (Segment)'!J137,IF($J$9="4U",'Reference Tables (Segment)'!J138,IF($J$9="4D",'Reference Tables (Segment)'!J139,IF($J$9="OW",'Reference Tables (Segment)'!J140,"N/A"))))</f>
        <v>0.52800000000000002</v>
      </c>
      <c r="E201" s="4">
        <f>IF($J$9="2U",'Reference Tables (Segment)'!K137,IF($J$9="4U",'Reference Tables (Segment)'!K138,IF($J$9="4D",'Reference Tables (Segment)'!K139,IF($J$9="OW",'Reference Tables (Segment)'!K140,"N/A"))))</f>
        <v>0.35899999999999999</v>
      </c>
      <c r="F201" s="455">
        <f>IF($J$9="2U",'Reference Tables (Segment)'!L137,IF($J$9="4U",'Reference Tables (Segment)'!L138,IF($J$9="4D",'Reference Tables (Segment)'!L139,IF($J$9="OW",'Reference Tables (Segment)'!L140,"N/A"))))</f>
        <v>2.347</v>
      </c>
      <c r="G201" s="455"/>
      <c r="H201" s="502">
        <f>IF($J$9="2U",EXP($C201+($D201*LN($J$11))+(E201*LN($J$32))+LN($J$10)), IF($J$9="4U", EXP($C201+($D201*LN($J$11))+(E201*LN($J$32))+LN($J$10)), IF($J$9="4D", EXP($C201+($D201*LN($J$11))+(E201*LN($J$32))+LN($J$10)), IF($J$9="OW", EXP($C201+($D201*LN($J$11))+(E201*LN($J$32))+LN($J$10)),0))))</f>
        <v>0.12033320376596936</v>
      </c>
      <c r="I201" s="502"/>
      <c r="J201" s="474">
        <f>Q192</f>
        <v>0.40114275704073771</v>
      </c>
      <c r="K201" s="475"/>
      <c r="L201" s="474">
        <f>IF($J$9="2U",$S$17,IF($J$9="3T",$S$18,IF($J$9="4U",$S$19,IF($J$9="4D",$S$20,IF($J$9="5T",$S$21,$S$22)))))</f>
        <v>1</v>
      </c>
      <c r="M201" s="475"/>
      <c r="N201" s="456">
        <f>IF($J$30="SPFs based on regression analysis (applicable with EB method)", 1, 0)</f>
        <v>1</v>
      </c>
      <c r="O201" s="456"/>
      <c r="P201" s="472">
        <f>H201*J201*L201*N201</f>
        <v>4.8270793122225833E-2</v>
      </c>
      <c r="Q201" s="473"/>
    </row>
    <row r="202" spans="1:17" x14ac:dyDescent="0.25">
      <c r="A202" s="247" t="s">
        <v>32</v>
      </c>
      <c r="B202" s="247"/>
      <c r="C202" s="246">
        <f>IF($J$9="2U",'Reference Tables (Segment)'!I137,IF($J$9="4U",'Reference Tables (Segment)'!I138,IF($J$9="4D",'Reference Tables (Segment)'!I139,IF($J$9="OW",'Reference Tables (Segment)'!I140,"N/A"))))</f>
        <v>-8.4220000000000006</v>
      </c>
      <c r="D202" s="246">
        <f>IF($J$9="2U",'Reference Tables (Segment)'!J137,IF($J$9="4U",'Reference Tables (Segment)'!J138,IF($J$9="4D",'Reference Tables (Segment)'!J139,IF($J$9="OW",'Reference Tables (Segment)'!J140,"N/A"))))</f>
        <v>0.52800000000000002</v>
      </c>
      <c r="E202" s="4">
        <f>IF($J$9="2U",'Reference Tables (Segment)'!K137,IF($J$9="4U",'Reference Tables (Segment)'!K138,IF($J$9="4D",'Reference Tables (Segment)'!K139,IF($J$9="OW",'Reference Tables (Segment)'!K140,"N/A"))))</f>
        <v>0.35899999999999999</v>
      </c>
      <c r="F202" s="455">
        <f>IF($J$9="2U",'Reference Tables (Segment)'!L137,IF($J$9="4U",'Reference Tables (Segment)'!L138,IF($J$9="4D",'Reference Tables (Segment)'!L139,IF($J$9="OW",'Reference Tables (Segment)'!L140,"N/A"))))</f>
        <v>2.347</v>
      </c>
      <c r="G202" s="455"/>
      <c r="H202" s="502">
        <f>IF($J$9="2U",EXP($C201+($D201*LN($J$11))+(E201*LN($J$32))+LN($J$10)), IF($J$9="4U", EXP($C201+($D201*LN($J$11))+(E201*LN($J$32))+LN($J$10)), IF($J$9="4D", EXP($C201+($D201*LN($J$11))+(E201*LN($J$32))+LN($J$10)), IF($J$9="OW", EXP($C201+($D201*LN($J$11))+(E201*LN($J$32))+LN($J$10)),0))))</f>
        <v>0.12033320376596936</v>
      </c>
      <c r="I202" s="502"/>
      <c r="J202" s="474">
        <f>Q192</f>
        <v>0.40114275704073771</v>
      </c>
      <c r="K202" s="475"/>
      <c r="L202" s="474">
        <f>IF($J$9="2U",$S$17,IF($J$9="3T",$S$18,IF($J$9="4U",$S$19,IF($J$9="4D",$S$20,IF($J$9="5T",$S$21,$S$22)))))</f>
        <v>1</v>
      </c>
      <c r="M202" s="475"/>
      <c r="N202" s="456">
        <f>IF($J$30="SPFs based on regression analysis (applicable with EB method)", 1, 0)</f>
        <v>1</v>
      </c>
      <c r="O202" s="456"/>
      <c r="P202" s="472">
        <f>H202*J202*L202*N202</f>
        <v>4.8270793122225833E-2</v>
      </c>
      <c r="Q202" s="473"/>
    </row>
    <row r="204" spans="1:17" ht="13" thickBot="1" x14ac:dyDescent="0.3"/>
    <row r="205" spans="1:17" ht="14" thickTop="1" thickBot="1" x14ac:dyDescent="0.3">
      <c r="A205" s="267" t="s">
        <v>1028</v>
      </c>
      <c r="B205" s="267"/>
      <c r="C205" s="267"/>
      <c r="D205" s="267"/>
      <c r="E205" s="267"/>
      <c r="F205" s="267"/>
      <c r="G205" s="267"/>
    </row>
    <row r="206" spans="1:17" x14ac:dyDescent="0.25">
      <c r="A206" s="459" t="s">
        <v>16</v>
      </c>
      <c r="B206" s="460"/>
      <c r="C206" s="460"/>
      <c r="D206" s="461" t="s">
        <v>17</v>
      </c>
      <c r="E206" s="462"/>
      <c r="F206" s="461" t="s">
        <v>18</v>
      </c>
      <c r="G206" s="462"/>
    </row>
    <row r="207" spans="1:17" x14ac:dyDescent="0.25">
      <c r="A207" s="463" t="s">
        <v>29</v>
      </c>
      <c r="B207" s="464"/>
      <c r="C207" s="464"/>
      <c r="D207" s="466" t="s">
        <v>268</v>
      </c>
      <c r="E207" s="467"/>
      <c r="F207" s="466" t="s">
        <v>456</v>
      </c>
      <c r="G207" s="467"/>
    </row>
    <row r="208" spans="1:17" x14ac:dyDescent="0.25">
      <c r="A208" s="465"/>
      <c r="B208" s="464"/>
      <c r="C208" s="464"/>
      <c r="D208" s="466"/>
      <c r="E208" s="467"/>
      <c r="F208" s="466"/>
      <c r="G208" s="467"/>
    </row>
    <row r="209" spans="1:14" ht="12.75" customHeight="1" x14ac:dyDescent="0.25">
      <c r="A209" s="465"/>
      <c r="B209" s="464"/>
      <c r="C209" s="464"/>
      <c r="D209" s="468" t="s">
        <v>962</v>
      </c>
      <c r="E209" s="469"/>
      <c r="F209" s="468" t="s">
        <v>1330</v>
      </c>
      <c r="G209" s="469"/>
    </row>
    <row r="210" spans="1:14" x14ac:dyDescent="0.25">
      <c r="A210" s="465"/>
      <c r="B210" s="464"/>
      <c r="C210" s="464"/>
      <c r="D210" s="470"/>
      <c r="E210" s="469"/>
      <c r="F210" s="470"/>
      <c r="G210" s="469"/>
    </row>
    <row r="211" spans="1:14" x14ac:dyDescent="0.25">
      <c r="A211" s="471" t="s">
        <v>31</v>
      </c>
      <c r="B211" s="457"/>
      <c r="C211" s="457"/>
      <c r="D211" s="472">
        <f>IF($J$30="SPFs based on modified RAP methodology (NOT applicable with EB method)",'Ped&amp;Bike (Segment Results)'!C44,0)</f>
        <v>0</v>
      </c>
      <c r="E211" s="473"/>
      <c r="F211" s="472">
        <f>IF($J$30="SPFs based on modified RAP methodology (NOT applicable with EB method)",'Ped&amp;Bike (Segment Results)'!J44,0)</f>
        <v>0</v>
      </c>
      <c r="G211" s="473"/>
    </row>
    <row r="212" spans="1:14" x14ac:dyDescent="0.25">
      <c r="A212" s="457" t="s">
        <v>122</v>
      </c>
      <c r="B212" s="457"/>
      <c r="C212" s="457"/>
      <c r="D212" s="458">
        <f>IF($J$30="SPFs based on modified RAP methodology (NOT applicable with EB method)",'Ped&amp;Bike (Segment Results)'!C44,0)</f>
        <v>0</v>
      </c>
      <c r="E212" s="458"/>
      <c r="F212" s="458">
        <f>IF($J$30="SPFs based on modified RAP methodology (NOT applicable with EB method)",'Ped&amp;Bike (Segment Results)'!J44,0)</f>
        <v>0</v>
      </c>
      <c r="G212" s="458"/>
    </row>
    <row r="215" spans="1:14" ht="13" thickBot="1" x14ac:dyDescent="0.3"/>
    <row r="216" spans="1:14" ht="14" thickTop="1" thickBot="1" x14ac:dyDescent="0.3">
      <c r="A216" s="529" t="s">
        <v>276</v>
      </c>
      <c r="B216" s="599"/>
      <c r="C216" s="599"/>
      <c r="D216" s="599"/>
      <c r="E216" s="599"/>
      <c r="F216" s="599"/>
      <c r="G216" s="599"/>
      <c r="H216" s="599"/>
      <c r="I216" s="600"/>
      <c r="J216" s="600"/>
      <c r="K216" s="600"/>
      <c r="L216" s="600"/>
      <c r="M216" s="600"/>
      <c r="N216" s="600"/>
    </row>
    <row r="217" spans="1:14" x14ac:dyDescent="0.25">
      <c r="A217" s="603" t="s">
        <v>16</v>
      </c>
      <c r="B217" s="604"/>
      <c r="C217" s="604"/>
      <c r="D217" s="604"/>
      <c r="E217" s="604"/>
      <c r="F217" s="601" t="s">
        <v>17</v>
      </c>
      <c r="G217" s="601"/>
      <c r="H217" s="601"/>
      <c r="I217" s="601" t="s">
        <v>18</v>
      </c>
      <c r="J217" s="601"/>
      <c r="K217" s="601"/>
      <c r="L217" s="601" t="s">
        <v>19</v>
      </c>
      <c r="M217" s="601"/>
      <c r="N217" s="602"/>
    </row>
    <row r="218" spans="1:14" ht="13" x14ac:dyDescent="0.3">
      <c r="A218" s="579" t="s">
        <v>46</v>
      </c>
      <c r="B218" s="580"/>
      <c r="C218" s="580"/>
      <c r="D218" s="580"/>
      <c r="E218" s="580"/>
      <c r="F218" s="560" t="s">
        <v>122</v>
      </c>
      <c r="G218" s="560"/>
      <c r="H218" s="560"/>
      <c r="I218" s="560" t="s">
        <v>123</v>
      </c>
      <c r="J218" s="560"/>
      <c r="K218" s="560"/>
      <c r="L218" s="560" t="s">
        <v>31</v>
      </c>
      <c r="M218" s="560"/>
      <c r="N218" s="561"/>
    </row>
    <row r="219" spans="1:14" ht="25.5" customHeight="1" x14ac:dyDescent="0.25">
      <c r="A219" s="581"/>
      <c r="B219" s="582"/>
      <c r="C219" s="582"/>
      <c r="D219" s="582"/>
      <c r="E219" s="582"/>
      <c r="F219" s="586" t="s">
        <v>277</v>
      </c>
      <c r="G219" s="586"/>
      <c r="H219" s="586"/>
      <c r="I219" s="586" t="s">
        <v>278</v>
      </c>
      <c r="J219" s="586"/>
      <c r="K219" s="586"/>
      <c r="L219" s="586" t="s">
        <v>279</v>
      </c>
      <c r="M219" s="586"/>
      <c r="N219" s="605"/>
    </row>
    <row r="220" spans="1:14" ht="23.25" customHeight="1" x14ac:dyDescent="0.25">
      <c r="A220" s="581"/>
      <c r="B220" s="582"/>
      <c r="C220" s="582"/>
      <c r="D220" s="582"/>
      <c r="E220" s="582"/>
      <c r="F220" s="594" t="s">
        <v>963</v>
      </c>
      <c r="G220" s="594"/>
      <c r="H220" s="594"/>
      <c r="I220" s="596" t="s">
        <v>273</v>
      </c>
      <c r="J220" s="596"/>
      <c r="K220" s="596"/>
      <c r="L220" s="594" t="s">
        <v>963</v>
      </c>
      <c r="M220" s="594"/>
      <c r="N220" s="598"/>
    </row>
    <row r="221" spans="1:14" ht="54" customHeight="1" x14ac:dyDescent="0.25">
      <c r="A221" s="583"/>
      <c r="B221" s="584"/>
      <c r="C221" s="584"/>
      <c r="D221" s="584"/>
      <c r="E221" s="584"/>
      <c r="F221" s="595" t="s">
        <v>1110</v>
      </c>
      <c r="G221" s="595"/>
      <c r="H221" s="595"/>
      <c r="I221" s="597"/>
      <c r="J221" s="597"/>
      <c r="K221" s="597"/>
      <c r="L221" s="595" t="s">
        <v>1112</v>
      </c>
      <c r="M221" s="595"/>
      <c r="N221" s="595"/>
    </row>
    <row r="222" spans="1:14" ht="13" x14ac:dyDescent="0.3">
      <c r="A222" s="499" t="s">
        <v>280</v>
      </c>
      <c r="B222" s="497"/>
      <c r="C222" s="497"/>
      <c r="D222" s="497"/>
      <c r="E222" s="497"/>
      <c r="F222" s="497"/>
      <c r="G222" s="497"/>
      <c r="H222" s="497"/>
      <c r="I222" s="497"/>
      <c r="J222" s="497"/>
      <c r="K222" s="497"/>
      <c r="L222" s="497"/>
      <c r="M222" s="497"/>
      <c r="N222" s="498"/>
    </row>
    <row r="223" spans="1:14" x14ac:dyDescent="0.25">
      <c r="A223" s="471" t="s">
        <v>282</v>
      </c>
      <c r="B223" s="522"/>
      <c r="C223" s="522"/>
      <c r="D223" s="522"/>
      <c r="E223" s="522"/>
      <c r="F223" s="502">
        <f>+F78</f>
        <v>0.87288808368786563</v>
      </c>
      <c r="G223" s="455"/>
      <c r="H223" s="455"/>
      <c r="I223" s="502">
        <f>+J78</f>
        <v>2.2815126999751931</v>
      </c>
      <c r="J223" s="455"/>
      <c r="K223" s="455"/>
      <c r="L223" s="502">
        <f>+L78</f>
        <v>3.1544007836630588</v>
      </c>
      <c r="M223" s="455"/>
      <c r="N223" s="509"/>
    </row>
    <row r="224" spans="1:14" x14ac:dyDescent="0.25">
      <c r="A224" s="471" t="s">
        <v>283</v>
      </c>
      <c r="B224" s="522"/>
      <c r="C224" s="522"/>
      <c r="D224" s="522"/>
      <c r="E224" s="522"/>
      <c r="F224" s="502">
        <f>+F79</f>
        <v>8.1310122864075157E-2</v>
      </c>
      <c r="G224" s="455"/>
      <c r="H224" s="455"/>
      <c r="I224" s="502">
        <f>+J79</f>
        <v>1.1730142416324901E-2</v>
      </c>
      <c r="J224" s="455"/>
      <c r="K224" s="455"/>
      <c r="L224" s="502">
        <f>+L79</f>
        <v>9.3040265280400061E-2</v>
      </c>
      <c r="M224" s="455"/>
      <c r="N224" s="509"/>
    </row>
    <row r="225" spans="1:14" x14ac:dyDescent="0.25">
      <c r="A225" s="471" t="s">
        <v>284</v>
      </c>
      <c r="B225" s="522"/>
      <c r="C225" s="522"/>
      <c r="D225" s="522"/>
      <c r="E225" s="522"/>
      <c r="F225" s="502">
        <f>+F80</f>
        <v>0.10163765358009395</v>
      </c>
      <c r="G225" s="455"/>
      <c r="H225" s="455"/>
      <c r="I225" s="502">
        <f>+J80</f>
        <v>0.23167031272241678</v>
      </c>
      <c r="J225" s="455"/>
      <c r="K225" s="455"/>
      <c r="L225" s="502">
        <f>+L80</f>
        <v>0.33330796630251075</v>
      </c>
      <c r="M225" s="455"/>
      <c r="N225" s="509"/>
    </row>
    <row r="226" spans="1:14" x14ac:dyDescent="0.25">
      <c r="A226" s="471" t="s">
        <v>285</v>
      </c>
      <c r="B226" s="457"/>
      <c r="C226" s="457"/>
      <c r="D226" s="457"/>
      <c r="E226" s="457"/>
      <c r="F226" s="502">
        <f>+F81</f>
        <v>1.7936056514134224E-2</v>
      </c>
      <c r="G226" s="455"/>
      <c r="H226" s="455"/>
      <c r="I226" s="502">
        <f>+J81</f>
        <v>9.0908603726517975E-2</v>
      </c>
      <c r="J226" s="455"/>
      <c r="K226" s="455"/>
      <c r="L226" s="502">
        <f>+L81</f>
        <v>0.1088446602406522</v>
      </c>
      <c r="M226" s="455"/>
      <c r="N226" s="509"/>
    </row>
    <row r="227" spans="1:14" x14ac:dyDescent="0.25">
      <c r="A227" s="471" t="s">
        <v>286</v>
      </c>
      <c r="B227" s="457"/>
      <c r="C227" s="457"/>
      <c r="D227" s="457"/>
      <c r="E227" s="457"/>
      <c r="F227" s="502">
        <f>+F82</f>
        <v>8.7288808368786552E-2</v>
      </c>
      <c r="G227" s="455"/>
      <c r="H227" s="455"/>
      <c r="I227" s="502">
        <f>+J82</f>
        <v>0.16128945822446739</v>
      </c>
      <c r="J227" s="455"/>
      <c r="K227" s="455"/>
      <c r="L227" s="502">
        <f>+L82</f>
        <v>0.24857826659325394</v>
      </c>
      <c r="M227" s="455"/>
      <c r="N227" s="509"/>
    </row>
    <row r="228" spans="1:14" x14ac:dyDescent="0.25">
      <c r="A228" s="471" t="s">
        <v>287</v>
      </c>
      <c r="B228" s="457"/>
      <c r="C228" s="457"/>
      <c r="D228" s="457"/>
      <c r="E228" s="457"/>
      <c r="F228" s="502">
        <f>+M141</f>
        <v>0.45392266666666659</v>
      </c>
      <c r="G228" s="455"/>
      <c r="H228" s="455"/>
      <c r="I228" s="502">
        <f>+M142</f>
        <v>0.95141066666666663</v>
      </c>
      <c r="J228" s="455"/>
      <c r="K228" s="455"/>
      <c r="L228" s="502">
        <f>+M140</f>
        <v>1.4053333333333331</v>
      </c>
      <c r="M228" s="455"/>
      <c r="N228" s="509"/>
    </row>
    <row r="229" spans="1:14" x14ac:dyDescent="0.25">
      <c r="A229" s="471" t="s">
        <v>288</v>
      </c>
      <c r="B229" s="457"/>
      <c r="C229" s="457"/>
      <c r="D229" s="457"/>
      <c r="E229" s="457"/>
      <c r="F229" s="502">
        <f>+F83</f>
        <v>3.467637592732617E-2</v>
      </c>
      <c r="G229" s="455"/>
      <c r="H229" s="455"/>
      <c r="I229" s="502">
        <f>+J83</f>
        <v>0.15542438701630493</v>
      </c>
      <c r="J229" s="455"/>
      <c r="K229" s="455"/>
      <c r="L229" s="502">
        <f>+L83</f>
        <v>0.1901007629436311</v>
      </c>
      <c r="M229" s="455"/>
      <c r="N229" s="509"/>
    </row>
    <row r="230" spans="1:14" ht="13" thickBot="1" x14ac:dyDescent="0.3">
      <c r="A230" s="585" t="s">
        <v>289</v>
      </c>
      <c r="B230" s="586"/>
      <c r="C230" s="586"/>
      <c r="D230" s="586"/>
      <c r="E230" s="586"/>
      <c r="F230" s="577">
        <f>SUM(F223:H229)</f>
        <v>1.6496597676089484</v>
      </c>
      <c r="G230" s="578"/>
      <c r="H230" s="578"/>
      <c r="I230" s="577">
        <f>SUM(I223:K229)</f>
        <v>3.8839462707478911</v>
      </c>
      <c r="J230" s="578"/>
      <c r="K230" s="578"/>
      <c r="L230" s="577">
        <f>SUM(L223:N229)</f>
        <v>5.5336060383568402</v>
      </c>
      <c r="M230" s="578"/>
      <c r="N230" s="589"/>
    </row>
    <row r="231" spans="1:14" ht="13" x14ac:dyDescent="0.3">
      <c r="A231" s="591" t="s">
        <v>281</v>
      </c>
      <c r="B231" s="592"/>
      <c r="C231" s="592"/>
      <c r="D231" s="592"/>
      <c r="E231" s="592"/>
      <c r="F231" s="592"/>
      <c r="G231" s="592"/>
      <c r="H231" s="592"/>
      <c r="I231" s="592"/>
      <c r="J231" s="592"/>
      <c r="K231" s="592"/>
      <c r="L231" s="592"/>
      <c r="M231" s="592"/>
      <c r="N231" s="593"/>
    </row>
    <row r="232" spans="1:14" x14ac:dyDescent="0.25">
      <c r="A232" s="471" t="s">
        <v>290</v>
      </c>
      <c r="B232" s="457"/>
      <c r="C232" s="457"/>
      <c r="D232" s="457"/>
      <c r="E232" s="457"/>
      <c r="F232" s="502">
        <f>+F110</f>
        <v>5.0738554778303026E-3</v>
      </c>
      <c r="G232" s="455"/>
      <c r="H232" s="455"/>
      <c r="I232" s="502">
        <f>+J110</f>
        <v>5.8328398143904274E-2</v>
      </c>
      <c r="J232" s="455"/>
      <c r="K232" s="455"/>
      <c r="L232" s="502">
        <f>+L110</f>
        <v>6.3402253621734572E-2</v>
      </c>
      <c r="M232" s="455"/>
      <c r="N232" s="509"/>
    </row>
    <row r="233" spans="1:14" x14ac:dyDescent="0.25">
      <c r="A233" s="471" t="s">
        <v>291</v>
      </c>
      <c r="B233" s="457"/>
      <c r="C233" s="457"/>
      <c r="D233" s="457"/>
      <c r="E233" s="457"/>
      <c r="F233" s="502">
        <f>+F111</f>
        <v>0.14109221194120419</v>
      </c>
      <c r="G233" s="455"/>
      <c r="H233" s="455"/>
      <c r="I233" s="502">
        <f>+J111</f>
        <v>0.67077657865489915</v>
      </c>
      <c r="J233" s="455"/>
      <c r="K233" s="455"/>
      <c r="L233" s="502">
        <f>+L111</f>
        <v>0.81186879059610328</v>
      </c>
      <c r="M233" s="455"/>
      <c r="N233" s="509"/>
    </row>
    <row r="234" spans="1:14" x14ac:dyDescent="0.25">
      <c r="A234" s="471" t="s">
        <v>292</v>
      </c>
      <c r="B234" s="457"/>
      <c r="C234" s="457"/>
      <c r="D234" s="457"/>
      <c r="E234" s="457"/>
      <c r="F234" s="502">
        <f>+F112</f>
        <v>1.951482876088578E-3</v>
      </c>
      <c r="G234" s="455"/>
      <c r="H234" s="455"/>
      <c r="I234" s="502">
        <f>+J112</f>
        <v>1.1488926907132659E-2</v>
      </c>
      <c r="J234" s="455"/>
      <c r="K234" s="455"/>
      <c r="L234" s="502">
        <f>+L112</f>
        <v>1.3440409783221237E-2</v>
      </c>
      <c r="M234" s="455"/>
      <c r="N234" s="509"/>
    </row>
    <row r="235" spans="1:14" x14ac:dyDescent="0.25">
      <c r="A235" s="471" t="s">
        <v>293</v>
      </c>
      <c r="B235" s="457"/>
      <c r="C235" s="457"/>
      <c r="D235" s="457"/>
      <c r="E235" s="457"/>
      <c r="F235" s="502">
        <f>+F113</f>
        <v>4.7030737313734729E-2</v>
      </c>
      <c r="G235" s="455"/>
      <c r="H235" s="455"/>
      <c r="I235" s="502">
        <f>+J113</f>
        <v>0.14316970453503775</v>
      </c>
      <c r="J235" s="455"/>
      <c r="K235" s="455"/>
      <c r="L235" s="502">
        <f>+L113</f>
        <v>0.19020044184877247</v>
      </c>
      <c r="M235" s="455"/>
      <c r="N235" s="509"/>
    </row>
    <row r="236" spans="1:14" x14ac:dyDescent="0.25">
      <c r="A236" s="471" t="s">
        <v>1111</v>
      </c>
      <c r="B236" s="457"/>
      <c r="C236" s="457"/>
      <c r="D236" s="457"/>
      <c r="E236" s="457"/>
      <c r="F236" s="502">
        <f>+M152 +P183 +D212</f>
        <v>1.4347974076619467</v>
      </c>
      <c r="G236" s="455"/>
      <c r="H236" s="455"/>
      <c r="I236" s="502">
        <v>0</v>
      </c>
      <c r="J236" s="502"/>
      <c r="K236" s="502"/>
      <c r="L236" s="502">
        <f>+M151 +P182 +D211</f>
        <v>1.4347974076619467</v>
      </c>
      <c r="M236" s="455"/>
      <c r="N236" s="509"/>
    </row>
    <row r="237" spans="1:14" x14ac:dyDescent="0.25">
      <c r="A237" s="471" t="s">
        <v>1331</v>
      </c>
      <c r="B237" s="457"/>
      <c r="C237" s="457"/>
      <c r="D237" s="457"/>
      <c r="E237" s="457"/>
      <c r="F237" s="502">
        <f>+M162 + P202 +F212</f>
        <v>4.8270793122225833E-2</v>
      </c>
      <c r="G237" s="455"/>
      <c r="H237" s="455"/>
      <c r="I237" s="502">
        <v>0</v>
      </c>
      <c r="J237" s="502"/>
      <c r="K237" s="502"/>
      <c r="L237" s="502">
        <f>+M161 +P201+F211</f>
        <v>4.8270793122225833E-2</v>
      </c>
      <c r="M237" s="455"/>
      <c r="N237" s="509"/>
    </row>
    <row r="238" spans="1:14" ht="13" thickBot="1" x14ac:dyDescent="0.3">
      <c r="A238" s="585" t="s">
        <v>289</v>
      </c>
      <c r="B238" s="586"/>
      <c r="C238" s="586"/>
      <c r="D238" s="586"/>
      <c r="E238" s="586"/>
      <c r="F238" s="577">
        <f>SUM(F232:H237)</f>
        <v>1.6782164883930304</v>
      </c>
      <c r="G238" s="578"/>
      <c r="H238" s="578"/>
      <c r="I238" s="577">
        <f>SUM(I232:K237)</f>
        <v>0.88376360824097377</v>
      </c>
      <c r="J238" s="578"/>
      <c r="K238" s="578"/>
      <c r="L238" s="577">
        <f>SUM(L232:N237)</f>
        <v>2.5619800966340041</v>
      </c>
      <c r="M238" s="578"/>
      <c r="N238" s="589"/>
    </row>
    <row r="239" spans="1:14" ht="13" thickBot="1" x14ac:dyDescent="0.3">
      <c r="A239" s="587" t="s">
        <v>31</v>
      </c>
      <c r="B239" s="588"/>
      <c r="C239" s="588"/>
      <c r="D239" s="588"/>
      <c r="E239" s="588"/>
      <c r="F239" s="575">
        <f>+F230+F238</f>
        <v>3.3278762560019786</v>
      </c>
      <c r="G239" s="576"/>
      <c r="H239" s="576"/>
      <c r="I239" s="575">
        <f>+I230+I238</f>
        <v>4.7677098789888648</v>
      </c>
      <c r="J239" s="576"/>
      <c r="K239" s="576"/>
      <c r="L239" s="575">
        <f>+L230+L238</f>
        <v>8.0955861349908442</v>
      </c>
      <c r="M239" s="576"/>
      <c r="N239" s="590"/>
    </row>
    <row r="241" spans="2:14" x14ac:dyDescent="0.25">
      <c r="G241" s="283"/>
    </row>
    <row r="242" spans="2:14" ht="13" thickBot="1" x14ac:dyDescent="0.3"/>
    <row r="243" spans="2:14" ht="14" thickTop="1" thickBot="1" x14ac:dyDescent="0.3">
      <c r="B243" s="529" t="s">
        <v>294</v>
      </c>
      <c r="C243" s="529"/>
      <c r="D243" s="529"/>
      <c r="E243" s="529"/>
      <c r="F243" s="529"/>
      <c r="G243" s="529"/>
      <c r="H243" s="529"/>
      <c r="I243" s="529"/>
      <c r="J243" s="529"/>
      <c r="K243" s="529"/>
      <c r="L243" s="529"/>
      <c r="M243" s="529"/>
      <c r="N243" s="1"/>
    </row>
    <row r="244" spans="2:14" x14ac:dyDescent="0.25">
      <c r="B244" s="608" t="s">
        <v>16</v>
      </c>
      <c r="C244" s="460"/>
      <c r="D244" s="460"/>
      <c r="E244" s="461" t="s">
        <v>17</v>
      </c>
      <c r="F244" s="461"/>
      <c r="G244" s="461"/>
      <c r="H244" s="514" t="s">
        <v>18</v>
      </c>
      <c r="I244" s="514"/>
      <c r="J244" s="514"/>
      <c r="K244" s="514" t="s">
        <v>19</v>
      </c>
      <c r="L244" s="514"/>
      <c r="M244" s="515"/>
    </row>
    <row r="245" spans="2:14" ht="15.75" customHeight="1" x14ac:dyDescent="0.25">
      <c r="B245" s="463" t="s">
        <v>29</v>
      </c>
      <c r="C245" s="464"/>
      <c r="D245" s="464"/>
      <c r="E245" s="466" t="s">
        <v>295</v>
      </c>
      <c r="F245" s="466"/>
      <c r="G245" s="466"/>
      <c r="H245" s="494" t="s">
        <v>296</v>
      </c>
      <c r="I245" s="494"/>
      <c r="J245" s="494"/>
      <c r="K245" s="639" t="s">
        <v>297</v>
      </c>
      <c r="L245" s="800"/>
      <c r="M245" s="800"/>
    </row>
    <row r="246" spans="2:14" x14ac:dyDescent="0.25">
      <c r="B246" s="465"/>
      <c r="C246" s="464"/>
      <c r="D246" s="464"/>
      <c r="E246" s="466"/>
      <c r="F246" s="466"/>
      <c r="G246" s="466"/>
      <c r="H246" s="494"/>
      <c r="I246" s="494"/>
      <c r="J246" s="494"/>
      <c r="K246" s="640"/>
      <c r="L246" s="801"/>
      <c r="M246" s="801"/>
    </row>
    <row r="247" spans="2:14" x14ac:dyDescent="0.25">
      <c r="B247" s="465"/>
      <c r="C247" s="464"/>
      <c r="D247" s="464"/>
      <c r="E247" s="466"/>
      <c r="F247" s="466"/>
      <c r="G247" s="466"/>
      <c r="H247" s="494"/>
      <c r="I247" s="494"/>
      <c r="J247" s="494"/>
      <c r="K247" s="802"/>
      <c r="L247" s="803"/>
      <c r="M247" s="803"/>
    </row>
    <row r="248" spans="2:14" x14ac:dyDescent="0.25">
      <c r="B248" s="465"/>
      <c r="C248" s="464"/>
      <c r="D248" s="464"/>
      <c r="E248" s="796" t="s">
        <v>298</v>
      </c>
      <c r="F248" s="675"/>
      <c r="G248" s="675"/>
      <c r="H248" s="494"/>
      <c r="I248" s="494"/>
      <c r="J248" s="494"/>
      <c r="K248" s="505" t="s">
        <v>299</v>
      </c>
      <c r="L248" s="804"/>
      <c r="M248" s="804"/>
    </row>
    <row r="249" spans="2:14" x14ac:dyDescent="0.25">
      <c r="B249" s="471" t="s">
        <v>31</v>
      </c>
      <c r="C249" s="457"/>
      <c r="D249" s="457"/>
      <c r="E249" s="798">
        <f>+L239</f>
        <v>8.0955861349908442</v>
      </c>
      <c r="F249" s="798"/>
      <c r="G249" s="798"/>
      <c r="H249" s="797">
        <f>+$J$10</f>
        <v>1</v>
      </c>
      <c r="I249" s="797"/>
      <c r="J249" s="797"/>
      <c r="K249" s="456">
        <f>+E249/H249</f>
        <v>8.0955861349908442</v>
      </c>
      <c r="L249" s="456"/>
      <c r="M249" s="783"/>
    </row>
    <row r="250" spans="2:14" x14ac:dyDescent="0.25">
      <c r="B250" s="471" t="s">
        <v>122</v>
      </c>
      <c r="C250" s="457"/>
      <c r="D250" s="457"/>
      <c r="E250" s="798">
        <f>+F239</f>
        <v>3.3278762560019786</v>
      </c>
      <c r="F250" s="798"/>
      <c r="G250" s="798"/>
      <c r="H250" s="797">
        <f>+$J$10</f>
        <v>1</v>
      </c>
      <c r="I250" s="797"/>
      <c r="J250" s="797"/>
      <c r="K250" s="456">
        <f>+E250/H250</f>
        <v>3.3278762560019786</v>
      </c>
      <c r="L250" s="456"/>
      <c r="M250" s="783"/>
    </row>
    <row r="251" spans="2:14" ht="13" thickBot="1" x14ac:dyDescent="0.3">
      <c r="B251" s="525" t="s">
        <v>123</v>
      </c>
      <c r="C251" s="546"/>
      <c r="D251" s="546"/>
      <c r="E251" s="799">
        <f>+I239</f>
        <v>4.7677098789888648</v>
      </c>
      <c r="F251" s="799"/>
      <c r="G251" s="799"/>
      <c r="H251" s="556">
        <f>+$J$10</f>
        <v>1</v>
      </c>
      <c r="I251" s="556"/>
      <c r="J251" s="556"/>
      <c r="K251" s="794">
        <f>+E251/H251</f>
        <v>4.7677098789888648</v>
      </c>
      <c r="L251" s="794"/>
      <c r="M251" s="795"/>
    </row>
  </sheetData>
  <mergeCells count="805">
    <mergeCell ref="Q188:R189"/>
    <mergeCell ref="Q190:R190"/>
    <mergeCell ref="Q191:R191"/>
    <mergeCell ref="Q192:R192"/>
    <mergeCell ref="A39:G39"/>
    <mergeCell ref="H39:I39"/>
    <mergeCell ref="A40:G40"/>
    <mergeCell ref="H40:I40"/>
    <mergeCell ref="J39:N39"/>
    <mergeCell ref="J40:N40"/>
    <mergeCell ref="M187:N187"/>
    <mergeCell ref="O187:P187"/>
    <mergeCell ref="A186:R186"/>
    <mergeCell ref="Q187:R187"/>
    <mergeCell ref="A113:C113"/>
    <mergeCell ref="D113:E113"/>
    <mergeCell ref="F113:G113"/>
    <mergeCell ref="A124:C124"/>
    <mergeCell ref="D129:E129"/>
    <mergeCell ref="D130:E130"/>
    <mergeCell ref="F123:G123"/>
    <mergeCell ref="F124:G124"/>
    <mergeCell ref="F125:G125"/>
    <mergeCell ref="F126:G126"/>
    <mergeCell ref="B28:M28"/>
    <mergeCell ref="P30:Q35"/>
    <mergeCell ref="H121:I122"/>
    <mergeCell ref="J124:L124"/>
    <mergeCell ref="D112:E112"/>
    <mergeCell ref="F112:G112"/>
    <mergeCell ref="A128:C128"/>
    <mergeCell ref="A129:C129"/>
    <mergeCell ref="A130:C130"/>
    <mergeCell ref="D123:E123"/>
    <mergeCell ref="D124:E124"/>
    <mergeCell ref="D125:E125"/>
    <mergeCell ref="D126:E126"/>
    <mergeCell ref="A127:C127"/>
    <mergeCell ref="D127:E127"/>
    <mergeCell ref="D128:E128"/>
    <mergeCell ref="A125:C125"/>
    <mergeCell ref="A108:C108"/>
    <mergeCell ref="D108:E108"/>
    <mergeCell ref="F108:G108"/>
    <mergeCell ref="A112:C112"/>
    <mergeCell ref="H109:I109"/>
    <mergeCell ref="J109:K109"/>
    <mergeCell ref="H108:I108"/>
    <mergeCell ref="K251:M251"/>
    <mergeCell ref="K244:M244"/>
    <mergeCell ref="E245:G247"/>
    <mergeCell ref="H245:J248"/>
    <mergeCell ref="E248:G248"/>
    <mergeCell ref="B249:D249"/>
    <mergeCell ref="B250:D250"/>
    <mergeCell ref="H249:J249"/>
    <mergeCell ref="H250:J250"/>
    <mergeCell ref="B251:D251"/>
    <mergeCell ref="E249:G249"/>
    <mergeCell ref="E250:G250"/>
    <mergeCell ref="E251:G251"/>
    <mergeCell ref="K245:M247"/>
    <mergeCell ref="K248:M248"/>
    <mergeCell ref="H251:J251"/>
    <mergeCell ref="K250:M250"/>
    <mergeCell ref="B245:D248"/>
    <mergeCell ref="E244:G244"/>
    <mergeCell ref="H244:J244"/>
    <mergeCell ref="B244:D244"/>
    <mergeCell ref="B243:M243"/>
    <mergeCell ref="F109:G109"/>
    <mergeCell ref="K249:M249"/>
    <mergeCell ref="H113:I113"/>
    <mergeCell ref="J113:K113"/>
    <mergeCell ref="L113:N113"/>
    <mergeCell ref="H112:I112"/>
    <mergeCell ref="J112:K112"/>
    <mergeCell ref="L112:N112"/>
    <mergeCell ref="J122:L122"/>
    <mergeCell ref="M135:N135"/>
    <mergeCell ref="J129:L129"/>
    <mergeCell ref="J130:L130"/>
    <mergeCell ref="M130:N130"/>
    <mergeCell ref="M123:N129"/>
    <mergeCell ref="J123:L123"/>
    <mergeCell ref="J127:L127"/>
    <mergeCell ref="J128:L128"/>
    <mergeCell ref="H123:I123"/>
    <mergeCell ref="H124:I124"/>
    <mergeCell ref="H125:I125"/>
    <mergeCell ref="H126:I126"/>
    <mergeCell ref="H127:I127"/>
    <mergeCell ref="H128:I128"/>
    <mergeCell ref="D141:E141"/>
    <mergeCell ref="D142:E142"/>
    <mergeCell ref="D138:E139"/>
    <mergeCell ref="A148:B150"/>
    <mergeCell ref="C148:D148"/>
    <mergeCell ref="E148:F148"/>
    <mergeCell ref="A146:N146"/>
    <mergeCell ref="A141:C141"/>
    <mergeCell ref="F141:G141"/>
    <mergeCell ref="F142:G142"/>
    <mergeCell ref="I141:J141"/>
    <mergeCell ref="I142:J142"/>
    <mergeCell ref="K141:L141"/>
    <mergeCell ref="K142:L142"/>
    <mergeCell ref="A136:C139"/>
    <mergeCell ref="D136:E137"/>
    <mergeCell ref="F140:G140"/>
    <mergeCell ref="M140:N140"/>
    <mergeCell ref="F138:G139"/>
    <mergeCell ref="H138:H139"/>
    <mergeCell ref="I138:J139"/>
    <mergeCell ref="K136:L139"/>
    <mergeCell ref="M138:N139"/>
    <mergeCell ref="H136:H137"/>
    <mergeCell ref="A111:C111"/>
    <mergeCell ref="D111:E111"/>
    <mergeCell ref="F111:G111"/>
    <mergeCell ref="H111:I111"/>
    <mergeCell ref="J111:K111"/>
    <mergeCell ref="L111:N111"/>
    <mergeCell ref="A109:C109"/>
    <mergeCell ref="D109:E109"/>
    <mergeCell ref="H103:I105"/>
    <mergeCell ref="J103:K105"/>
    <mergeCell ref="L103:N105"/>
    <mergeCell ref="A103:C107"/>
    <mergeCell ref="D103:E105"/>
    <mergeCell ref="F103:G105"/>
    <mergeCell ref="D106:E107"/>
    <mergeCell ref="J108:K108"/>
    <mergeCell ref="L108:N108"/>
    <mergeCell ref="L109:N109"/>
    <mergeCell ref="A110:C110"/>
    <mergeCell ref="D110:E110"/>
    <mergeCell ref="F110:G110"/>
    <mergeCell ref="H110:I110"/>
    <mergeCell ref="J110:K110"/>
    <mergeCell ref="L110:N110"/>
    <mergeCell ref="L102:N102"/>
    <mergeCell ref="L89:L90"/>
    <mergeCell ref="M89:M92"/>
    <mergeCell ref="N89:N90"/>
    <mergeCell ref="F106:G107"/>
    <mergeCell ref="H106:I107"/>
    <mergeCell ref="J106:K107"/>
    <mergeCell ref="L106:N107"/>
    <mergeCell ref="A101:N101"/>
    <mergeCell ref="A102:C102"/>
    <mergeCell ref="D102:E102"/>
    <mergeCell ref="F102:G102"/>
    <mergeCell ref="H102:I102"/>
    <mergeCell ref="J102:K102"/>
    <mergeCell ref="K94:K95"/>
    <mergeCell ref="L94:L95"/>
    <mergeCell ref="M94:M95"/>
    <mergeCell ref="N94:N95"/>
    <mergeCell ref="I95:J95"/>
    <mergeCell ref="A96:B97"/>
    <mergeCell ref="C96:C97"/>
    <mergeCell ref="D96:D97"/>
    <mergeCell ref="E96:F97"/>
    <mergeCell ref="G96:H97"/>
    <mergeCell ref="I96:J96"/>
    <mergeCell ref="K96:K97"/>
    <mergeCell ref="L96:L97"/>
    <mergeCell ref="M96:M97"/>
    <mergeCell ref="N96:N97"/>
    <mergeCell ref="I97:J97"/>
    <mergeCell ref="G93:H93"/>
    <mergeCell ref="I93:J93"/>
    <mergeCell ref="A89:B92"/>
    <mergeCell ref="C89:D90"/>
    <mergeCell ref="E89:F90"/>
    <mergeCell ref="G89:H90"/>
    <mergeCell ref="A94:B95"/>
    <mergeCell ref="C94:C95"/>
    <mergeCell ref="D94:D95"/>
    <mergeCell ref="E94:F95"/>
    <mergeCell ref="G94:H95"/>
    <mergeCell ref="I94:J94"/>
    <mergeCell ref="A93:B93"/>
    <mergeCell ref="E57:F58"/>
    <mergeCell ref="L57:L58"/>
    <mergeCell ref="N59:N60"/>
    <mergeCell ref="M49:N49"/>
    <mergeCell ref="C49:E49"/>
    <mergeCell ref="F49:G49"/>
    <mergeCell ref="H49:I49"/>
    <mergeCell ref="J49:L49"/>
    <mergeCell ref="M50:N50"/>
    <mergeCell ref="M51:N51"/>
    <mergeCell ref="N57:N58"/>
    <mergeCell ref="C57:D58"/>
    <mergeCell ref="L59:L60"/>
    <mergeCell ref="H50:I50"/>
    <mergeCell ref="M57:M60"/>
    <mergeCell ref="C59:D59"/>
    <mergeCell ref="A2:N2"/>
    <mergeCell ref="A3:G3"/>
    <mergeCell ref="H3:N3"/>
    <mergeCell ref="A5:C5"/>
    <mergeCell ref="E5:G5"/>
    <mergeCell ref="H5:J5"/>
    <mergeCell ref="K5:N5"/>
    <mergeCell ref="A4:C4"/>
    <mergeCell ref="E4:G4"/>
    <mergeCell ref="H4:J4"/>
    <mergeCell ref="K4:N4"/>
    <mergeCell ref="H6:J6"/>
    <mergeCell ref="K6:N6"/>
    <mergeCell ref="A6:C6"/>
    <mergeCell ref="E6:G6"/>
    <mergeCell ref="A8:G8"/>
    <mergeCell ref="H8:I8"/>
    <mergeCell ref="J8:N8"/>
    <mergeCell ref="A7:C7"/>
    <mergeCell ref="E7:G7"/>
    <mergeCell ref="H7:J7"/>
    <mergeCell ref="K7:N7"/>
    <mergeCell ref="A10:G10"/>
    <mergeCell ref="H10:I10"/>
    <mergeCell ref="J10:N10"/>
    <mergeCell ref="H12:I12"/>
    <mergeCell ref="A9:G9"/>
    <mergeCell ref="H9:I9"/>
    <mergeCell ref="J9:N9"/>
    <mergeCell ref="H11:I11"/>
    <mergeCell ref="A14:G14"/>
    <mergeCell ref="H14:I14"/>
    <mergeCell ref="J14:N14"/>
    <mergeCell ref="A15:G15"/>
    <mergeCell ref="H15:I15"/>
    <mergeCell ref="J15:N15"/>
    <mergeCell ref="J11:N11"/>
    <mergeCell ref="A13:G13"/>
    <mergeCell ref="H13:I13"/>
    <mergeCell ref="J13:N13"/>
    <mergeCell ref="A12:G12"/>
    <mergeCell ref="J12:N12"/>
    <mergeCell ref="A11:D11"/>
    <mergeCell ref="A16:G16"/>
    <mergeCell ref="H16:I16"/>
    <mergeCell ref="J16:N16"/>
    <mergeCell ref="A18:G18"/>
    <mergeCell ref="H18:I18"/>
    <mergeCell ref="J18:N18"/>
    <mergeCell ref="J19:N19"/>
    <mergeCell ref="J20:N20"/>
    <mergeCell ref="H19:I19"/>
    <mergeCell ref="H24:I24"/>
    <mergeCell ref="J26:N26"/>
    <mergeCell ref="M46:N46"/>
    <mergeCell ref="A26:G26"/>
    <mergeCell ref="A27:G27"/>
    <mergeCell ref="J23:N23"/>
    <mergeCell ref="H46:I46"/>
    <mergeCell ref="J24:N24"/>
    <mergeCell ref="A17:G17"/>
    <mergeCell ref="H17:I17"/>
    <mergeCell ref="J17:N17"/>
    <mergeCell ref="A22:G22"/>
    <mergeCell ref="A19:G19"/>
    <mergeCell ref="A21:G21"/>
    <mergeCell ref="A20:G20"/>
    <mergeCell ref="H21:I21"/>
    <mergeCell ref="H22:I22"/>
    <mergeCell ref="H20:I20"/>
    <mergeCell ref="J25:N25"/>
    <mergeCell ref="J21:N21"/>
    <mergeCell ref="J22:N22"/>
    <mergeCell ref="H25:I25"/>
    <mergeCell ref="H26:I26"/>
    <mergeCell ref="A23:G23"/>
    <mergeCell ref="A49:B49"/>
    <mergeCell ref="A47:B48"/>
    <mergeCell ref="C47:E48"/>
    <mergeCell ref="J46:L46"/>
    <mergeCell ref="A45:N45"/>
    <mergeCell ref="A46:B46"/>
    <mergeCell ref="C46:E46"/>
    <mergeCell ref="F46:G46"/>
    <mergeCell ref="H27:I27"/>
    <mergeCell ref="J27:N27"/>
    <mergeCell ref="A32:D32"/>
    <mergeCell ref="A33:D33"/>
    <mergeCell ref="A30:G30"/>
    <mergeCell ref="J30:N30"/>
    <mergeCell ref="A31:G31"/>
    <mergeCell ref="J32:N32"/>
    <mergeCell ref="J33:N33"/>
    <mergeCell ref="J34:N34"/>
    <mergeCell ref="J35:N35"/>
    <mergeCell ref="J36:N36"/>
    <mergeCell ref="J37:N37"/>
    <mergeCell ref="J38:N38"/>
    <mergeCell ref="H34:I34"/>
    <mergeCell ref="A38:G38"/>
    <mergeCell ref="A24:G24"/>
    <mergeCell ref="A25:G25"/>
    <mergeCell ref="H23:I23"/>
    <mergeCell ref="K62:K63"/>
    <mergeCell ref="J50:L50"/>
    <mergeCell ref="A57:B60"/>
    <mergeCell ref="H51:I51"/>
    <mergeCell ref="J51:L51"/>
    <mergeCell ref="A51:B51"/>
    <mergeCell ref="C51:E51"/>
    <mergeCell ref="F47:G48"/>
    <mergeCell ref="C53:E53"/>
    <mergeCell ref="A56:B56"/>
    <mergeCell ref="A55:N55"/>
    <mergeCell ref="E56:F56"/>
    <mergeCell ref="G56:H56"/>
    <mergeCell ref="I56:J56"/>
    <mergeCell ref="M47:N48"/>
    <mergeCell ref="K57:K58"/>
    <mergeCell ref="A61:B61"/>
    <mergeCell ref="A62:B63"/>
    <mergeCell ref="C62:C63"/>
    <mergeCell ref="N62:N63"/>
    <mergeCell ref="H47:I48"/>
    <mergeCell ref="A50:B50"/>
    <mergeCell ref="C50:E50"/>
    <mergeCell ref="F50:G50"/>
    <mergeCell ref="N64:N65"/>
    <mergeCell ref="I62:J62"/>
    <mergeCell ref="I61:J61"/>
    <mergeCell ref="I63:J63"/>
    <mergeCell ref="M62:M63"/>
    <mergeCell ref="J47:L48"/>
    <mergeCell ref="F51:G51"/>
    <mergeCell ref="C56:D56"/>
    <mergeCell ref="G62:H63"/>
    <mergeCell ref="L62:L63"/>
    <mergeCell ref="E59:F60"/>
    <mergeCell ref="G59:H60"/>
    <mergeCell ref="K59:K60"/>
    <mergeCell ref="E62:F63"/>
    <mergeCell ref="E61:F61"/>
    <mergeCell ref="C64:C65"/>
    <mergeCell ref="D64:D65"/>
    <mergeCell ref="E64:F65"/>
    <mergeCell ref="D62:D63"/>
    <mergeCell ref="G57:H58"/>
    <mergeCell ref="I57:J60"/>
    <mergeCell ref="G61:H61"/>
    <mergeCell ref="D71:E73"/>
    <mergeCell ref="D74:E75"/>
    <mergeCell ref="D70:E70"/>
    <mergeCell ref="H70:I70"/>
    <mergeCell ref="L70:N70"/>
    <mergeCell ref="L71:N73"/>
    <mergeCell ref="I64:J64"/>
    <mergeCell ref="G64:H65"/>
    <mergeCell ref="K64:K65"/>
    <mergeCell ref="L64:L65"/>
    <mergeCell ref="A69:N69"/>
    <mergeCell ref="F70:G70"/>
    <mergeCell ref="M64:M65"/>
    <mergeCell ref="A64:B65"/>
    <mergeCell ref="I65:J65"/>
    <mergeCell ref="A70:C70"/>
    <mergeCell ref="A71:C75"/>
    <mergeCell ref="H71:I73"/>
    <mergeCell ref="J71:K73"/>
    <mergeCell ref="H74:I75"/>
    <mergeCell ref="J74:K75"/>
    <mergeCell ref="F74:G75"/>
    <mergeCell ref="F71:G73"/>
    <mergeCell ref="J70:K70"/>
    <mergeCell ref="A79:C79"/>
    <mergeCell ref="A77:C77"/>
    <mergeCell ref="A80:C80"/>
    <mergeCell ref="D76:E76"/>
    <mergeCell ref="H76:I76"/>
    <mergeCell ref="A76:C76"/>
    <mergeCell ref="F76:G76"/>
    <mergeCell ref="J76:K76"/>
    <mergeCell ref="A78:C78"/>
    <mergeCell ref="L76:N76"/>
    <mergeCell ref="F78:G78"/>
    <mergeCell ref="A119:C122"/>
    <mergeCell ref="A123:C123"/>
    <mergeCell ref="L79:N79"/>
    <mergeCell ref="L80:N80"/>
    <mergeCell ref="L81:N81"/>
    <mergeCell ref="L82:N82"/>
    <mergeCell ref="A117:N117"/>
    <mergeCell ref="A118:C118"/>
    <mergeCell ref="J82:K82"/>
    <mergeCell ref="J83:K83"/>
    <mergeCell ref="H79:I79"/>
    <mergeCell ref="H80:I80"/>
    <mergeCell ref="H81:I81"/>
    <mergeCell ref="H82:I82"/>
    <mergeCell ref="F79:G79"/>
    <mergeCell ref="F80:G80"/>
    <mergeCell ref="F81:G81"/>
    <mergeCell ref="F82:G82"/>
    <mergeCell ref="A82:C82"/>
    <mergeCell ref="A83:C83"/>
    <mergeCell ref="D79:E79"/>
    <mergeCell ref="D80:E80"/>
    <mergeCell ref="D81:E81"/>
    <mergeCell ref="M121:N122"/>
    <mergeCell ref="L78:N78"/>
    <mergeCell ref="L83:N83"/>
    <mergeCell ref="H83:I83"/>
    <mergeCell ref="J78:K78"/>
    <mergeCell ref="J79:K79"/>
    <mergeCell ref="J80:K80"/>
    <mergeCell ref="J81:K81"/>
    <mergeCell ref="E93:F93"/>
    <mergeCell ref="F119:G120"/>
    <mergeCell ref="H118:I118"/>
    <mergeCell ref="J118:L118"/>
    <mergeCell ref="M118:N118"/>
    <mergeCell ref="H119:I120"/>
    <mergeCell ref="J119:L120"/>
    <mergeCell ref="M119:N120"/>
    <mergeCell ref="D118:E118"/>
    <mergeCell ref="F118:G118"/>
    <mergeCell ref="F121:G122"/>
    <mergeCell ref="D119:E122"/>
    <mergeCell ref="J121:L121"/>
    <mergeCell ref="D78:E78"/>
    <mergeCell ref="D82:E82"/>
    <mergeCell ref="D83:E83"/>
    <mergeCell ref="L74:N75"/>
    <mergeCell ref="H77:I77"/>
    <mergeCell ref="H78:I78"/>
    <mergeCell ref="G91:H92"/>
    <mergeCell ref="K91:K92"/>
    <mergeCell ref="A87:N87"/>
    <mergeCell ref="A88:B88"/>
    <mergeCell ref="C88:D88"/>
    <mergeCell ref="E88:F88"/>
    <mergeCell ref="G88:H88"/>
    <mergeCell ref="I88:J88"/>
    <mergeCell ref="L91:L92"/>
    <mergeCell ref="N91:N92"/>
    <mergeCell ref="F83:G83"/>
    <mergeCell ref="I89:J92"/>
    <mergeCell ref="K89:K90"/>
    <mergeCell ref="C91:D91"/>
    <mergeCell ref="E91:F92"/>
    <mergeCell ref="D77:E77"/>
    <mergeCell ref="F77:G77"/>
    <mergeCell ref="J77:K77"/>
    <mergeCell ref="L77:N77"/>
    <mergeCell ref="A81:C81"/>
    <mergeCell ref="J125:L125"/>
    <mergeCell ref="J126:L126"/>
    <mergeCell ref="A134:N134"/>
    <mergeCell ref="A135:C135"/>
    <mergeCell ref="D135:E135"/>
    <mergeCell ref="F135:G135"/>
    <mergeCell ref="H129:I129"/>
    <mergeCell ref="H130:I130"/>
    <mergeCell ref="I135:J135"/>
    <mergeCell ref="K135:L135"/>
    <mergeCell ref="A126:C126"/>
    <mergeCell ref="F127:G127"/>
    <mergeCell ref="F128:G128"/>
    <mergeCell ref="F129:G129"/>
    <mergeCell ref="F130:G130"/>
    <mergeCell ref="I136:J137"/>
    <mergeCell ref="M136:N137"/>
    <mergeCell ref="I140:J140"/>
    <mergeCell ref="K140:L140"/>
    <mergeCell ref="A228:E228"/>
    <mergeCell ref="A229:E229"/>
    <mergeCell ref="A216:N216"/>
    <mergeCell ref="F217:H217"/>
    <mergeCell ref="L226:N226"/>
    <mergeCell ref="L227:N227"/>
    <mergeCell ref="L228:N228"/>
    <mergeCell ref="L229:N229"/>
    <mergeCell ref="A162:B162"/>
    <mergeCell ref="M162:N162"/>
    <mergeCell ref="K159:L160"/>
    <mergeCell ref="K161:L161"/>
    <mergeCell ref="K162:L162"/>
    <mergeCell ref="I217:K217"/>
    <mergeCell ref="L217:N217"/>
    <mergeCell ref="A217:E217"/>
    <mergeCell ref="L219:N219"/>
    <mergeCell ref="L223:N223"/>
    <mergeCell ref="D140:E140"/>
    <mergeCell ref="L224:N224"/>
    <mergeCell ref="F219:H219"/>
    <mergeCell ref="F220:H220"/>
    <mergeCell ref="I223:K223"/>
    <mergeCell ref="I224:K224"/>
    <mergeCell ref="F229:H229"/>
    <mergeCell ref="L221:N221"/>
    <mergeCell ref="I228:K228"/>
    <mergeCell ref="I229:K229"/>
    <mergeCell ref="F224:H224"/>
    <mergeCell ref="F225:H225"/>
    <mergeCell ref="F226:H226"/>
    <mergeCell ref="F227:H227"/>
    <mergeCell ref="F221:H221"/>
    <mergeCell ref="I219:K219"/>
    <mergeCell ref="I220:K221"/>
    <mergeCell ref="F228:H228"/>
    <mergeCell ref="L225:N225"/>
    <mergeCell ref="L220:N220"/>
    <mergeCell ref="L238:N238"/>
    <mergeCell ref="L239:N239"/>
    <mergeCell ref="L236:N236"/>
    <mergeCell ref="A232:E232"/>
    <mergeCell ref="A233:E233"/>
    <mergeCell ref="A234:E234"/>
    <mergeCell ref="A235:E235"/>
    <mergeCell ref="I230:K230"/>
    <mergeCell ref="A237:E237"/>
    <mergeCell ref="A236:E236"/>
    <mergeCell ref="F236:H236"/>
    <mergeCell ref="A231:N231"/>
    <mergeCell ref="I237:K237"/>
    <mergeCell ref="F234:H234"/>
    <mergeCell ref="F235:H235"/>
    <mergeCell ref="L237:N237"/>
    <mergeCell ref="L232:N232"/>
    <mergeCell ref="L233:N233"/>
    <mergeCell ref="L234:N234"/>
    <mergeCell ref="L235:N235"/>
    <mergeCell ref="L230:N230"/>
    <mergeCell ref="F237:H237"/>
    <mergeCell ref="F230:H230"/>
    <mergeCell ref="A230:E230"/>
    <mergeCell ref="F239:H239"/>
    <mergeCell ref="I232:K232"/>
    <mergeCell ref="I233:K233"/>
    <mergeCell ref="I234:K234"/>
    <mergeCell ref="I235:K235"/>
    <mergeCell ref="I236:K236"/>
    <mergeCell ref="I238:K238"/>
    <mergeCell ref="I239:K239"/>
    <mergeCell ref="A218:E221"/>
    <mergeCell ref="F232:H232"/>
    <mergeCell ref="F233:H233"/>
    <mergeCell ref="A238:E238"/>
    <mergeCell ref="A239:E239"/>
    <mergeCell ref="F223:H223"/>
    <mergeCell ref="I225:K225"/>
    <mergeCell ref="I226:K226"/>
    <mergeCell ref="I227:K227"/>
    <mergeCell ref="A225:E225"/>
    <mergeCell ref="A226:E226"/>
    <mergeCell ref="A227:E227"/>
    <mergeCell ref="F238:H238"/>
    <mergeCell ref="A222:N222"/>
    <mergeCell ref="A223:E223"/>
    <mergeCell ref="A224:E224"/>
    <mergeCell ref="A161:B161"/>
    <mergeCell ref="C161:D161"/>
    <mergeCell ref="A171:B171"/>
    <mergeCell ref="C171:E171"/>
    <mergeCell ref="F171:G171"/>
    <mergeCell ref="H171:I171"/>
    <mergeCell ref="J171:L171"/>
    <mergeCell ref="M171:N171"/>
    <mergeCell ref="A172:B172"/>
    <mergeCell ref="C172:E172"/>
    <mergeCell ref="F172:G172"/>
    <mergeCell ref="H172:I172"/>
    <mergeCell ref="J172:L172"/>
    <mergeCell ref="M172:N172"/>
    <mergeCell ref="A168:B168"/>
    <mergeCell ref="C168:E168"/>
    <mergeCell ref="F168:G168"/>
    <mergeCell ref="A169:B170"/>
    <mergeCell ref="C169:E170"/>
    <mergeCell ref="F169:G170"/>
    <mergeCell ref="H169:I170"/>
    <mergeCell ref="J169:L170"/>
    <mergeCell ref="M169:N170"/>
    <mergeCell ref="F218:H218"/>
    <mergeCell ref="I218:K218"/>
    <mergeCell ref="L218:N218"/>
    <mergeCell ref="A177:B177"/>
    <mergeCell ref="F177:G177"/>
    <mergeCell ref="H177:I177"/>
    <mergeCell ref="A178:B181"/>
    <mergeCell ref="F178:G179"/>
    <mergeCell ref="H178:I179"/>
    <mergeCell ref="H180:I181"/>
    <mergeCell ref="C177:E177"/>
    <mergeCell ref="C180:E180"/>
    <mergeCell ref="F180:G181"/>
    <mergeCell ref="F182:G182"/>
    <mergeCell ref="F183:G183"/>
    <mergeCell ref="A187:B187"/>
    <mergeCell ref="C187:E187"/>
    <mergeCell ref="F187:G187"/>
    <mergeCell ref="H187:I187"/>
    <mergeCell ref="J187:L187"/>
    <mergeCell ref="A188:B189"/>
    <mergeCell ref="C188:E189"/>
    <mergeCell ref="F188:G189"/>
    <mergeCell ref="H188:I189"/>
    <mergeCell ref="A173:B173"/>
    <mergeCell ref="C173:E173"/>
    <mergeCell ref="F173:G173"/>
    <mergeCell ref="H173:I173"/>
    <mergeCell ref="A158:B160"/>
    <mergeCell ref="C158:D158"/>
    <mergeCell ref="P183:Q183"/>
    <mergeCell ref="O168:P168"/>
    <mergeCell ref="O169:P170"/>
    <mergeCell ref="O171:P171"/>
    <mergeCell ref="A167:P167"/>
    <mergeCell ref="N177:O177"/>
    <mergeCell ref="N178:O179"/>
    <mergeCell ref="N180:O181"/>
    <mergeCell ref="N182:O182"/>
    <mergeCell ref="N183:O183"/>
    <mergeCell ref="A176:Q176"/>
    <mergeCell ref="P180:Q181"/>
    <mergeCell ref="J182:K182"/>
    <mergeCell ref="L182:M182"/>
    <mergeCell ref="P182:Q182"/>
    <mergeCell ref="A182:B182"/>
    <mergeCell ref="H182:I182"/>
    <mergeCell ref="C178:E179"/>
    <mergeCell ref="J173:L173"/>
    <mergeCell ref="M173:N173"/>
    <mergeCell ref="O172:P172"/>
    <mergeCell ref="O173:P173"/>
    <mergeCell ref="E161:F161"/>
    <mergeCell ref="G161:H161"/>
    <mergeCell ref="I161:J161"/>
    <mergeCell ref="M161:N161"/>
    <mergeCell ref="E159:F160"/>
    <mergeCell ref="G159:H160"/>
    <mergeCell ref="I159:J160"/>
    <mergeCell ref="M159:N160"/>
    <mergeCell ref="H168:I168"/>
    <mergeCell ref="J168:L168"/>
    <mergeCell ref="P201:Q201"/>
    <mergeCell ref="F202:G202"/>
    <mergeCell ref="H202:I202"/>
    <mergeCell ref="J202:K202"/>
    <mergeCell ref="L202:M202"/>
    <mergeCell ref="N202:O202"/>
    <mergeCell ref="P202:Q202"/>
    <mergeCell ref="A197:B200"/>
    <mergeCell ref="C197:E198"/>
    <mergeCell ref="F197:G198"/>
    <mergeCell ref="H197:I198"/>
    <mergeCell ref="J197:K198"/>
    <mergeCell ref="L197:M200"/>
    <mergeCell ref="N197:O198"/>
    <mergeCell ref="P197:Q198"/>
    <mergeCell ref="C199:E199"/>
    <mergeCell ref="F199:G200"/>
    <mergeCell ref="H199:I200"/>
    <mergeCell ref="J199:K200"/>
    <mergeCell ref="N199:O200"/>
    <mergeCell ref="P199:Q200"/>
    <mergeCell ref="H201:I201"/>
    <mergeCell ref="J201:K201"/>
    <mergeCell ref="A201:B201"/>
    <mergeCell ref="S15:S16"/>
    <mergeCell ref="Q14:S14"/>
    <mergeCell ref="P14:P16"/>
    <mergeCell ref="A147:B147"/>
    <mergeCell ref="I147:J147"/>
    <mergeCell ref="K147:L147"/>
    <mergeCell ref="C147:D147"/>
    <mergeCell ref="E147:F147"/>
    <mergeCell ref="G147:H147"/>
    <mergeCell ref="M147:N147"/>
    <mergeCell ref="H35:I35"/>
    <mergeCell ref="H36:I36"/>
    <mergeCell ref="H37:I37"/>
    <mergeCell ref="H38:I38"/>
    <mergeCell ref="H33:I33"/>
    <mergeCell ref="H32:I32"/>
    <mergeCell ref="A34:G34"/>
    <mergeCell ref="A35:G35"/>
    <mergeCell ref="A36:G36"/>
    <mergeCell ref="A37:G37"/>
    <mergeCell ref="A142:C142"/>
    <mergeCell ref="M141:N141"/>
    <mergeCell ref="M142:N142"/>
    <mergeCell ref="F136:G137"/>
    <mergeCell ref="A140:C140"/>
    <mergeCell ref="Q15:Q16"/>
    <mergeCell ref="R15:R16"/>
    <mergeCell ref="A152:B152"/>
    <mergeCell ref="I152:J152"/>
    <mergeCell ref="K152:L152"/>
    <mergeCell ref="A156:N156"/>
    <mergeCell ref="G148:H148"/>
    <mergeCell ref="I148:J148"/>
    <mergeCell ref="K148:L148"/>
    <mergeCell ref="M148:N148"/>
    <mergeCell ref="C149:D150"/>
    <mergeCell ref="E149:F150"/>
    <mergeCell ref="G149:H150"/>
    <mergeCell ref="I149:J150"/>
    <mergeCell ref="K149:L150"/>
    <mergeCell ref="M149:N150"/>
    <mergeCell ref="A151:B151"/>
    <mergeCell ref="A29:G29"/>
    <mergeCell ref="A41:G41"/>
    <mergeCell ref="H41:I41"/>
    <mergeCell ref="J41:N41"/>
    <mergeCell ref="A42:G42"/>
    <mergeCell ref="H42:I42"/>
    <mergeCell ref="J42:N42"/>
    <mergeCell ref="M192:N192"/>
    <mergeCell ref="O188:P189"/>
    <mergeCell ref="A195:Q195"/>
    <mergeCell ref="A196:B196"/>
    <mergeCell ref="C196:E196"/>
    <mergeCell ref="A157:B157"/>
    <mergeCell ref="C157:D157"/>
    <mergeCell ref="E157:F157"/>
    <mergeCell ref="G157:H157"/>
    <mergeCell ref="I157:J157"/>
    <mergeCell ref="K157:L157"/>
    <mergeCell ref="M157:N157"/>
    <mergeCell ref="P196:Q196"/>
    <mergeCell ref="A192:B192"/>
    <mergeCell ref="C192:E192"/>
    <mergeCell ref="F192:G192"/>
    <mergeCell ref="H192:I192"/>
    <mergeCell ref="J192:L192"/>
    <mergeCell ref="A190:B190"/>
    <mergeCell ref="C190:E190"/>
    <mergeCell ref="F190:G190"/>
    <mergeCell ref="H190:I190"/>
    <mergeCell ref="J190:L190"/>
    <mergeCell ref="A191:B191"/>
    <mergeCell ref="H183:I183"/>
    <mergeCell ref="J183:K183"/>
    <mergeCell ref="L183:M183"/>
    <mergeCell ref="C159:D160"/>
    <mergeCell ref="C151:D151"/>
    <mergeCell ref="E151:F151"/>
    <mergeCell ref="M188:N189"/>
    <mergeCell ref="M190:N190"/>
    <mergeCell ref="M191:N191"/>
    <mergeCell ref="C191:E191"/>
    <mergeCell ref="F191:G191"/>
    <mergeCell ref="H191:I191"/>
    <mergeCell ref="J191:L191"/>
    <mergeCell ref="G151:H151"/>
    <mergeCell ref="M168:N168"/>
    <mergeCell ref="C162:D162"/>
    <mergeCell ref="E162:F162"/>
    <mergeCell ref="G162:H162"/>
    <mergeCell ref="I162:J162"/>
    <mergeCell ref="I151:J151"/>
    <mergeCell ref="K151:L151"/>
    <mergeCell ref="M151:N151"/>
    <mergeCell ref="C152:D152"/>
    <mergeCell ref="E152:F152"/>
    <mergeCell ref="G152:H152"/>
    <mergeCell ref="M152:N152"/>
    <mergeCell ref="J177:K177"/>
    <mergeCell ref="L177:M177"/>
    <mergeCell ref="F196:G196"/>
    <mergeCell ref="H196:I196"/>
    <mergeCell ref="J196:K196"/>
    <mergeCell ref="L196:M196"/>
    <mergeCell ref="N196:O196"/>
    <mergeCell ref="J188:L189"/>
    <mergeCell ref="O190:P190"/>
    <mergeCell ref="O191:P191"/>
    <mergeCell ref="O192:P192"/>
    <mergeCell ref="P177:Q177"/>
    <mergeCell ref="J178:K179"/>
    <mergeCell ref="L178:M181"/>
    <mergeCell ref="P178:Q179"/>
    <mergeCell ref="J180:K181"/>
    <mergeCell ref="E158:F158"/>
    <mergeCell ref="G158:H158"/>
    <mergeCell ref="I158:J158"/>
    <mergeCell ref="K158:L158"/>
    <mergeCell ref="M158:N158"/>
    <mergeCell ref="F201:G201"/>
    <mergeCell ref="N201:O201"/>
    <mergeCell ref="A212:C212"/>
    <mergeCell ref="D212:E212"/>
    <mergeCell ref="F212:G212"/>
    <mergeCell ref="A206:C206"/>
    <mergeCell ref="D206:E206"/>
    <mergeCell ref="F206:G206"/>
    <mergeCell ref="A207:C210"/>
    <mergeCell ref="D207:E208"/>
    <mergeCell ref="F207:G208"/>
    <mergeCell ref="D209:E210"/>
    <mergeCell ref="F209:G210"/>
    <mergeCell ref="A211:C211"/>
    <mergeCell ref="D211:E211"/>
    <mergeCell ref="F211:G211"/>
    <mergeCell ref="L201:M201"/>
  </mergeCells>
  <conditionalFormatting sqref="J11:N11">
    <cfRule type="cellIs" dxfId="2" priority="1" stopIfTrue="1" operator="greaterThan">
      <formula>$F$11</formula>
    </cfRule>
  </conditionalFormatting>
  <dataValidations count="13">
    <dataValidation type="decimal" allowBlank="1" showInputMessage="1" showErrorMessage="1" sqref="J27:N27 P27" xr:uid="{00000000-0002-0000-0100-000000000000}">
      <formula1>0</formula1>
      <formula2>10</formula2>
    </dataValidation>
    <dataValidation type="list" allowBlank="1" showInputMessage="1" showErrorMessage="1" sqref="J14:N14" xr:uid="{00000000-0002-0000-0100-000001000000}">
      <formula1>UMedWidth</formula1>
    </dataValidation>
    <dataValidation type="decimal" operator="greaterThan" allowBlank="1" showInputMessage="1" showErrorMessage="1" sqref="J10:N10 P10" xr:uid="{00000000-0002-0000-0100-000002000000}">
      <formula1>0</formula1>
    </dataValidation>
    <dataValidation type="decimal" operator="lessThanOrEqual" allowBlank="1" showInputMessage="1" showErrorMessage="1" sqref="J13:N13 P13" xr:uid="{00000000-0002-0000-0100-000003000000}">
      <formula1>1</formula1>
    </dataValidation>
    <dataValidation type="whole" allowBlank="1" showInputMessage="1" showErrorMessage="1" sqref="J11:N11 P11" xr:uid="{00000000-0002-0000-0100-000004000000}">
      <formula1>0</formula1>
      <formula2>66000</formula2>
    </dataValidation>
    <dataValidation type="whole" operator="greaterThan" allowBlank="1" showInputMessage="1" showErrorMessage="1" sqref="K7:P7" xr:uid="{00000000-0002-0000-0100-000005000000}">
      <formula1>1990</formula1>
    </dataValidation>
    <dataValidation type="list" allowBlank="1" showInputMessage="1" showErrorMessage="1" sqref="J15:N16" xr:uid="{00000000-0002-0000-0100-000006000000}">
      <formula1>PresOrNot</formula1>
    </dataValidation>
    <dataValidation type="list" allowBlank="1" showInputMessage="1" showErrorMessage="1" sqref="J12:N12 P12" xr:uid="{00000000-0002-0000-0100-000007000000}">
      <formula1>OnStreetType</formula1>
    </dataValidation>
    <dataValidation type="list" allowBlank="1" showInputMessage="1" showErrorMessage="1" sqref="P26" xr:uid="{00000000-0002-0000-0100-000008000000}">
      <formula1>OffsetFO</formula1>
    </dataValidation>
    <dataValidation type="decimal" operator="greaterThanOrEqual" allowBlank="1" showInputMessage="1" showErrorMessage="1" sqref="J25:N25 P25" xr:uid="{00000000-0002-0000-0100-000009000000}">
      <formula1>0</formula1>
    </dataValidation>
    <dataValidation type="whole" operator="greaterThanOrEqual" allowBlank="1" showInputMessage="1" showErrorMessage="1" sqref="J17:N23" xr:uid="{00000000-0002-0000-0100-00000A000000}">
      <formula1>0</formula1>
    </dataValidation>
    <dataValidation type="list" allowBlank="1" showInputMessage="1" showErrorMessage="1" sqref="J24:N24" xr:uid="{00000000-0002-0000-0100-00000B000000}">
      <formula1>Posted</formula1>
    </dataValidation>
    <dataValidation type="whole" allowBlank="1" showInputMessage="1" showErrorMessage="1" sqref="J26:N26" xr:uid="{00000000-0002-0000-0100-00000C000000}">
      <formula1>2</formula1>
      <formula2>30</formula2>
    </dataValidation>
  </dataValidations>
  <pageMargins left="0.7" right="0.7" top="0.75" bottom="0.75" header="0.3" footer="0.3"/>
  <pageSetup scale="76" fitToHeight="4" orientation="landscape" r:id="rId1"/>
  <headerFooter>
    <oddHeader>&amp;CHSM Urban and Suburban Arterial Predictive Method</oddHeader>
    <oddFooter>&amp;R&amp;P</oddFooter>
  </headerFooter>
  <rowBreaks count="2" manualBreakCount="2">
    <brk id="115" max="13" man="1"/>
    <brk id="214" max="13" man="1"/>
  </rowBreaks>
  <ignoredErrors>
    <ignoredError sqref="A46 C46 F46 H46 J46 M46 A56 C56 E56 G56 I56 K56:N56 A70 D70 F70 H70 J70 L70 A88 C88 E88 G88 I88 K88:N88 A102 D102 F102 H102 J102 L102 A118 D118 F118 H118 J118 M118 A135 D135 F135 H135:I135 K135 M135 A217 F217 I217 L217 B244 E244 H244 K244" numberStoredAsText="1"/>
    <ignoredError sqref="I223:I227 I229 I232:I235" formula="1"/>
  </ignoredErrors>
  <extLst>
    <ext xmlns:x14="http://schemas.microsoft.com/office/spreadsheetml/2009/9/main" uri="{CCE6A557-97BC-4b89-ADB6-D9C93CAAB3DF}">
      <x14:dataValidations xmlns:xm="http://schemas.microsoft.com/office/excel/2006/main" count="6">
        <x14:dataValidation type="list" operator="greaterThan" allowBlank="1" showInputMessage="1" showErrorMessage="1" xr:uid="{00000000-0002-0000-0100-00000D000000}">
          <x14:formula1>
            <xm:f>'Reference Tables (Segment)'!$A$182:$A$187</xm:f>
          </x14:formula1>
          <xm:sqref>J9:N9</xm:sqref>
        </x14:dataValidation>
        <x14:dataValidation type="list" allowBlank="1" showInputMessage="1" showErrorMessage="1" xr:uid="{00000000-0002-0000-0100-00000E000000}">
          <x14:formula1>
            <xm:f>'Reference Tables (Ped Segment )'!$C$171:$C$172</xm:f>
          </x14:formula1>
          <xm:sqref>J30</xm:sqref>
        </x14:dataValidation>
        <x14:dataValidation type="list" allowBlank="1" showInputMessage="1" showErrorMessage="1" xr:uid="{00000000-0002-0000-0100-00000F000000}">
          <x14:formula1>
            <xm:f>'Reference Tables (Segment)'!$B$146:$B$147</xm:f>
          </x14:formula1>
          <xm:sqref>J34:N34</xm:sqref>
        </x14:dataValidation>
        <x14:dataValidation type="list" allowBlank="1" showInputMessage="1" showErrorMessage="1" xr:uid="{00000000-0002-0000-0100-000010000000}">
          <x14:formula1>
            <xm:f>'Reference Tables (Segment)'!$J$152:$J$153</xm:f>
          </x14:formula1>
          <xm:sqref>J36:N36</xm:sqref>
        </x14:dataValidation>
        <x14:dataValidation type="list" allowBlank="1" showInputMessage="1" showErrorMessage="1" xr:uid="{00000000-0002-0000-0100-000011000000}">
          <x14:formula1>
            <xm:f>'Reference Tables (Segment)'!$B$166:$B$168</xm:f>
          </x14:formula1>
          <xm:sqref>J37:N37</xm:sqref>
        </x14:dataValidation>
        <x14:dataValidation type="list" allowBlank="1" showInputMessage="1" showErrorMessage="1" xr:uid="{00000000-0002-0000-0100-000012000000}">
          <x14:formula1>
            <xm:f>'Reference Tables (Segment)'!$J$146:$J$147</xm:f>
          </x14:formula1>
          <xm:sqref>J41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G36"/>
  <sheetViews>
    <sheetView topLeftCell="A3" zoomScale="90" zoomScaleNormal="90" workbookViewId="0">
      <selection activeCell="C3" sqref="C3"/>
    </sheetView>
  </sheetViews>
  <sheetFormatPr defaultColWidth="8.7265625" defaultRowHeight="14.5" x14ac:dyDescent="0.35"/>
  <cols>
    <col min="1" max="1" width="3.81640625" style="198" customWidth="1"/>
    <col min="2" max="2" width="72.81640625" style="198" customWidth="1"/>
    <col min="3" max="4" width="54.1796875" style="198" customWidth="1"/>
    <col min="5" max="7" width="49.1796875" style="198" customWidth="1"/>
    <col min="8" max="16384" width="8.7265625" style="198"/>
  </cols>
  <sheetData>
    <row r="2" spans="2:4" ht="26" x14ac:dyDescent="0.6">
      <c r="B2" s="203" t="s">
        <v>959</v>
      </c>
    </row>
    <row r="3" spans="2:4" ht="21" x14ac:dyDescent="0.5">
      <c r="B3" s="205" t="s">
        <v>644</v>
      </c>
      <c r="C3" s="258" t="s">
        <v>643</v>
      </c>
    </row>
    <row r="5" spans="2:4" x14ac:dyDescent="0.35">
      <c r="C5" s="200" t="s">
        <v>642</v>
      </c>
      <c r="D5" s="200" t="s">
        <v>641</v>
      </c>
    </row>
    <row r="6" spans="2:4" x14ac:dyDescent="0.35">
      <c r="B6" s="199" t="s">
        <v>640</v>
      </c>
      <c r="C6" s="259">
        <v>1</v>
      </c>
      <c r="D6" s="199">
        <f>C6</f>
        <v>1</v>
      </c>
    </row>
    <row r="7" spans="2:4" x14ac:dyDescent="0.35">
      <c r="B7" s="199" t="s">
        <v>639</v>
      </c>
      <c r="C7" s="260">
        <v>10000</v>
      </c>
      <c r="D7" s="260">
        <v>10000</v>
      </c>
    </row>
    <row r="8" spans="2:4" x14ac:dyDescent="0.35">
      <c r="B8" s="199" t="s">
        <v>638</v>
      </c>
      <c r="C8" s="261" t="s">
        <v>608</v>
      </c>
      <c r="D8" s="261" t="s">
        <v>608</v>
      </c>
    </row>
    <row r="9" spans="2:4" x14ac:dyDescent="0.35">
      <c r="B9" s="199" t="s">
        <v>637</v>
      </c>
      <c r="C9" s="261" t="s">
        <v>636</v>
      </c>
      <c r="D9" s="261" t="str">
        <f>C9</f>
        <v>26 to 50</v>
      </c>
    </row>
    <row r="10" spans="2:4" x14ac:dyDescent="0.35">
      <c r="B10" s="199" t="s">
        <v>635</v>
      </c>
      <c r="C10" s="258">
        <v>35</v>
      </c>
      <c r="D10" s="199">
        <f>C10</f>
        <v>35</v>
      </c>
    </row>
    <row r="11" spans="2:4" x14ac:dyDescent="0.35">
      <c r="B11" s="199" t="s">
        <v>634</v>
      </c>
      <c r="C11" s="258" t="s">
        <v>633</v>
      </c>
      <c r="D11" s="258" t="s">
        <v>633</v>
      </c>
    </row>
    <row r="12" spans="2:4" x14ac:dyDescent="0.35">
      <c r="B12" s="199" t="s">
        <v>632</v>
      </c>
      <c r="C12" s="258" t="s">
        <v>631</v>
      </c>
      <c r="D12" s="258" t="s">
        <v>631</v>
      </c>
    </row>
    <row r="13" spans="2:4" ht="36" customHeight="1" x14ac:dyDescent="0.35">
      <c r="B13" s="204" t="s">
        <v>630</v>
      </c>
      <c r="C13" s="262" t="s">
        <v>629</v>
      </c>
      <c r="D13" s="263" t="str">
        <f>C13</f>
        <v>Straight or gently curving (advisory speed &gt;= 60 mph or curve radius &gt; 2600 ft)</v>
      </c>
    </row>
    <row r="14" spans="2:4" x14ac:dyDescent="0.35">
      <c r="B14" s="199" t="s">
        <v>628</v>
      </c>
      <c r="C14" s="258" t="s">
        <v>627</v>
      </c>
      <c r="D14" s="199" t="str">
        <f>C14</f>
        <v>Substantial</v>
      </c>
    </row>
    <row r="15" spans="2:4" x14ac:dyDescent="0.35">
      <c r="B15" s="199" t="s">
        <v>626</v>
      </c>
      <c r="C15" s="258" t="s">
        <v>625</v>
      </c>
      <c r="D15" s="199" t="str">
        <f>C15</f>
        <v>0% to &lt; 7.5%</v>
      </c>
    </row>
    <row r="16" spans="2:4" x14ac:dyDescent="0.35">
      <c r="B16" s="199" t="s">
        <v>624</v>
      </c>
      <c r="C16" s="258" t="s">
        <v>623</v>
      </c>
      <c r="D16" s="258" t="s">
        <v>623</v>
      </c>
    </row>
    <row r="17" spans="2:7" x14ac:dyDescent="0.35">
      <c r="B17" s="199" t="s">
        <v>622</v>
      </c>
      <c r="C17" s="258" t="s">
        <v>596</v>
      </c>
      <c r="D17" s="258" t="s">
        <v>596</v>
      </c>
    </row>
    <row r="18" spans="2:7" x14ac:dyDescent="0.35">
      <c r="B18" s="199" t="s">
        <v>621</v>
      </c>
      <c r="C18" s="258" t="s">
        <v>156</v>
      </c>
      <c r="D18" s="258" t="s">
        <v>156</v>
      </c>
    </row>
    <row r="19" spans="2:7" x14ac:dyDescent="0.35">
      <c r="B19" s="199" t="s">
        <v>603</v>
      </c>
      <c r="C19" s="258" t="s">
        <v>620</v>
      </c>
      <c r="D19" s="258" t="s">
        <v>620</v>
      </c>
    </row>
    <row r="20" spans="2:7" x14ac:dyDescent="0.35">
      <c r="B20" s="199" t="s">
        <v>619</v>
      </c>
      <c r="C20" s="258" t="s">
        <v>156</v>
      </c>
      <c r="D20" s="199" t="str">
        <f>C20</f>
        <v>None</v>
      </c>
    </row>
    <row r="21" spans="2:7" x14ac:dyDescent="0.35">
      <c r="B21" s="199" t="s">
        <v>618</v>
      </c>
      <c r="C21" s="258" t="s">
        <v>156</v>
      </c>
      <c r="D21" s="199" t="str">
        <f>C21</f>
        <v>None</v>
      </c>
    </row>
    <row r="22" spans="2:7" x14ac:dyDescent="0.35">
      <c r="B22" s="199" t="s">
        <v>597</v>
      </c>
      <c r="C22" s="258" t="s">
        <v>596</v>
      </c>
      <c r="D22" s="258" t="s">
        <v>596</v>
      </c>
    </row>
    <row r="23" spans="2:7" x14ac:dyDescent="0.35">
      <c r="B23" s="199" t="s">
        <v>617</v>
      </c>
      <c r="C23" s="258" t="s">
        <v>156</v>
      </c>
      <c r="D23" s="258" t="s">
        <v>156</v>
      </c>
    </row>
    <row r="24" spans="2:7" ht="30.75" customHeight="1" x14ac:dyDescent="0.35"/>
    <row r="25" spans="2:7" ht="26" x14ac:dyDescent="0.6">
      <c r="B25" s="203" t="s">
        <v>616</v>
      </c>
      <c r="C25" s="202" t="s">
        <v>615</v>
      </c>
      <c r="D25" s="264">
        <v>2</v>
      </c>
    </row>
    <row r="26" spans="2:7" x14ac:dyDescent="0.35">
      <c r="C26" s="201" t="s">
        <v>614</v>
      </c>
      <c r="D26" s="201" t="s">
        <v>613</v>
      </c>
      <c r="E26" s="200" t="s">
        <v>612</v>
      </c>
      <c r="F26" s="200" t="s">
        <v>611</v>
      </c>
      <c r="G26" s="200" t="s">
        <v>610</v>
      </c>
    </row>
    <row r="27" spans="2:7" x14ac:dyDescent="0.35">
      <c r="B27" s="199" t="s">
        <v>609</v>
      </c>
      <c r="C27" s="265" t="s">
        <v>608</v>
      </c>
      <c r="D27" s="265" t="s">
        <v>608</v>
      </c>
      <c r="E27" s="265" t="s">
        <v>608</v>
      </c>
      <c r="F27" s="265" t="s">
        <v>608</v>
      </c>
      <c r="G27" s="265" t="s">
        <v>608</v>
      </c>
    </row>
    <row r="28" spans="2:7" x14ac:dyDescent="0.35">
      <c r="B28" s="199" t="s">
        <v>607</v>
      </c>
      <c r="C28" s="258" t="s">
        <v>606</v>
      </c>
      <c r="D28" s="258" t="s">
        <v>606</v>
      </c>
      <c r="E28" s="258" t="s">
        <v>606</v>
      </c>
      <c r="F28" s="258" t="s">
        <v>606</v>
      </c>
      <c r="G28" s="258" t="s">
        <v>606</v>
      </c>
    </row>
    <row r="29" spans="2:7" x14ac:dyDescent="0.35">
      <c r="B29" s="199" t="s">
        <v>605</v>
      </c>
      <c r="C29" s="258" t="s">
        <v>604</v>
      </c>
      <c r="D29" s="258" t="s">
        <v>604</v>
      </c>
      <c r="E29" s="258" t="s">
        <v>604</v>
      </c>
      <c r="F29" s="258" t="s">
        <v>604</v>
      </c>
      <c r="G29" s="258" t="s">
        <v>604</v>
      </c>
    </row>
    <row r="30" spans="2:7" x14ac:dyDescent="0.35">
      <c r="B30" s="199" t="s">
        <v>603</v>
      </c>
      <c r="C30" s="258" t="s">
        <v>602</v>
      </c>
      <c r="D30" s="258" t="s">
        <v>602</v>
      </c>
      <c r="E30" s="258" t="s">
        <v>602</v>
      </c>
      <c r="F30" s="258" t="s">
        <v>602</v>
      </c>
      <c r="G30" s="258" t="s">
        <v>602</v>
      </c>
    </row>
    <row r="31" spans="2:7" x14ac:dyDescent="0.35">
      <c r="B31" s="199" t="s">
        <v>601</v>
      </c>
      <c r="C31" s="258" t="s">
        <v>600</v>
      </c>
      <c r="D31" s="258" t="s">
        <v>600</v>
      </c>
      <c r="E31" s="258" t="s">
        <v>600</v>
      </c>
      <c r="F31" s="258" t="s">
        <v>600</v>
      </c>
      <c r="G31" s="258" t="s">
        <v>600</v>
      </c>
    </row>
    <row r="32" spans="2:7" x14ac:dyDescent="0.35">
      <c r="B32" s="199" t="s">
        <v>599</v>
      </c>
      <c r="C32" s="258" t="s">
        <v>156</v>
      </c>
      <c r="D32" s="258" t="s">
        <v>156</v>
      </c>
      <c r="E32" s="258" t="s">
        <v>156</v>
      </c>
      <c r="F32" s="258" t="s">
        <v>156</v>
      </c>
      <c r="G32" s="258" t="s">
        <v>156</v>
      </c>
    </row>
    <row r="33" spans="2:7" x14ac:dyDescent="0.35">
      <c r="B33" s="199" t="s">
        <v>598</v>
      </c>
      <c r="C33" s="258" t="s">
        <v>156</v>
      </c>
      <c r="D33" s="258" t="s">
        <v>156</v>
      </c>
      <c r="E33" s="258" t="s">
        <v>156</v>
      </c>
      <c r="F33" s="258" t="s">
        <v>156</v>
      </c>
      <c r="G33" s="258" t="s">
        <v>156</v>
      </c>
    </row>
    <row r="34" spans="2:7" x14ac:dyDescent="0.35">
      <c r="B34" s="199" t="s">
        <v>597</v>
      </c>
      <c r="C34" s="258" t="s">
        <v>596</v>
      </c>
      <c r="D34" s="258" t="s">
        <v>596</v>
      </c>
      <c r="E34" s="258" t="s">
        <v>596</v>
      </c>
      <c r="F34" s="258" t="s">
        <v>596</v>
      </c>
      <c r="G34" s="258" t="s">
        <v>596</v>
      </c>
    </row>
    <row r="35" spans="2:7" x14ac:dyDescent="0.35">
      <c r="B35" s="199" t="s">
        <v>595</v>
      </c>
      <c r="C35" s="258" t="s">
        <v>594</v>
      </c>
      <c r="D35" s="258" t="s">
        <v>594</v>
      </c>
      <c r="E35" s="258" t="s">
        <v>593</v>
      </c>
      <c r="F35" s="258" t="s">
        <v>592</v>
      </c>
      <c r="G35" s="258" t="s">
        <v>592</v>
      </c>
    </row>
    <row r="36" spans="2:7" x14ac:dyDescent="0.35">
      <c r="B36" s="199" t="s">
        <v>591</v>
      </c>
      <c r="C36" s="266">
        <v>0</v>
      </c>
      <c r="D36" s="266">
        <v>0</v>
      </c>
      <c r="E36" s="266">
        <v>0</v>
      </c>
      <c r="F36" s="266">
        <v>0</v>
      </c>
      <c r="G36" s="266">
        <v>0</v>
      </c>
    </row>
  </sheetData>
  <dataValidations count="1">
    <dataValidation type="list" allowBlank="1" showInputMessage="1" showErrorMessage="1" sqref="D25" xr:uid="{00000000-0002-0000-0200-000000000000}">
      <formula1>"0,1,2,3,4,5"</formula1>
    </dataValidation>
  </dataValidations>
  <pageMargins left="0.7" right="0.7" top="0.75" bottom="0.75" header="0.51180555555555496" footer="0.51180555555555496"/>
  <pageSetup firstPageNumber="0" orientation="portrait" horizontalDpi="300" verticalDpi="300"/>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'Reference Tables (Ped Segment )'!$B$164:$B$166</xm:f>
          </x14:formula1>
          <xm:sqref>C3</xm:sqref>
        </x14:dataValidation>
        <x14:dataValidation type="list" allowBlank="1" showInputMessage="1" showErrorMessage="1" xr:uid="{00000000-0002-0000-0200-000002000000}">
          <x14:formula1>
            <xm:f>'Reference Tables (Bike Segment)'!$B$51:$B$55</xm:f>
          </x14:formula1>
          <xm:sqref>C21</xm:sqref>
        </x14:dataValidation>
        <x14:dataValidation type="list" allowBlank="1" showInputMessage="1" showErrorMessage="1" xr:uid="{00000000-0002-0000-0200-000003000000}">
          <x14:formula1>
            <xm:f>'Reference Tables (Ped Segment )'!$B$92:$B$94</xm:f>
          </x14:formula1>
          <xm:sqref>C33:G33</xm:sqref>
        </x14:dataValidation>
        <x14:dataValidation type="list" allowBlank="1" showInputMessage="1" showErrorMessage="1" xr:uid="{00000000-0002-0000-0200-000004000000}">
          <x14:formula1>
            <xm:f>IF($G$28='Reference Tables (Ped Segment )'!$C$22,'Reference Tables (Ped Segment )'!$B$23:$B$32,'Reference Tables (Ped Segment )'!$B$23:$B$30)</xm:f>
          </x14:formula1>
          <xm:sqref>G29</xm:sqref>
        </x14:dataValidation>
        <x14:dataValidation type="list" allowBlank="1" showInputMessage="1" showErrorMessage="1" xr:uid="{00000000-0002-0000-0200-000005000000}">
          <x14:formula1>
            <xm:f>IF($F$28='Reference Tables (Ped Segment )'!$C$22,'Reference Tables (Ped Segment )'!$B$23:$B$32,'Reference Tables (Ped Segment )'!$B$23:$B$30)</xm:f>
          </x14:formula1>
          <xm:sqref>F29</xm:sqref>
        </x14:dataValidation>
        <x14:dataValidation type="list" allowBlank="1" showInputMessage="1" showErrorMessage="1" xr:uid="{00000000-0002-0000-0200-000006000000}">
          <x14:formula1>
            <xm:f>IF($E$28='Reference Tables (Ped Segment )'!$C$22,'Reference Tables (Ped Segment )'!$B$23:$B$32,'Reference Tables (Ped Segment )'!$B$23:$B$30)</xm:f>
          </x14:formula1>
          <xm:sqref>E29</xm:sqref>
        </x14:dataValidation>
        <x14:dataValidation type="list" allowBlank="1" showInputMessage="1" showErrorMessage="1" xr:uid="{00000000-0002-0000-0200-000007000000}">
          <x14:formula1>
            <xm:f>IF($D$28='Reference Tables (Ped Segment )'!$C$22,'Reference Tables (Ped Segment )'!$B$23:$B$32,'Reference Tables (Ped Segment )'!$B$23:$B$30)</xm:f>
          </x14:formula1>
          <xm:sqref>D29</xm:sqref>
        </x14:dataValidation>
        <x14:dataValidation type="list" allowBlank="1" showInputMessage="1" showErrorMessage="1" xr:uid="{00000000-0002-0000-0200-000008000000}">
          <x14:formula1>
            <xm:f>'Reference Tables (Ped Segment )'!$B$102:$B$105</xm:f>
          </x14:formula1>
          <x14:formula2>
            <xm:f>0</xm:f>
          </x14:formula2>
          <xm:sqref>C11:D11</xm:sqref>
        </x14:dataValidation>
        <x14:dataValidation type="list" allowBlank="1" showInputMessage="1" showErrorMessage="1" xr:uid="{00000000-0002-0000-0200-000009000000}">
          <x14:formula1>
            <xm:f>IF($C$28='Reference Tables (Ped Segment )'!$C$22,'Reference Tables (Ped Segment )'!$B$23:$B$32,'Reference Tables (Ped Segment )'!$B$23:$B$30)</xm:f>
          </x14:formula1>
          <xm:sqref>C29</xm:sqref>
        </x14:dataValidation>
        <x14:dataValidation type="list" allowBlank="1" showInputMessage="1" showErrorMessage="1" xr:uid="{00000000-0002-0000-0200-00000A000000}">
          <x14:formula1>
            <xm:f>IF(D23&lt;5,"None",'Reference Tables (Ped Segment )'!$B$147:$B$157)</xm:f>
          </x14:formula1>
          <x14:formula2>
            <xm:f>0</xm:f>
          </x14:formula2>
          <xm:sqref>G27</xm:sqref>
        </x14:dataValidation>
        <x14:dataValidation type="list" allowBlank="1" showInputMessage="1" showErrorMessage="1" xr:uid="{00000000-0002-0000-0200-00000B000000}">
          <x14:formula1>
            <xm:f>IF(D23&lt;4,"None",'Reference Tables (Ped Segment )'!$B$147:$B$157)</xm:f>
          </x14:formula1>
          <x14:formula2>
            <xm:f>0</xm:f>
          </x14:formula2>
          <xm:sqref>F27</xm:sqref>
        </x14:dataValidation>
        <x14:dataValidation type="list" allowBlank="1" showInputMessage="1" showErrorMessage="1" xr:uid="{00000000-0002-0000-0200-00000C000000}">
          <x14:formula1>
            <xm:f>IF(D23&lt;3,"None",'Reference Tables (Ped Segment )'!$B$147:$B$157)</xm:f>
          </x14:formula1>
          <x14:formula2>
            <xm:f>0</xm:f>
          </x14:formula2>
          <xm:sqref>E27</xm:sqref>
        </x14:dataValidation>
        <x14:dataValidation type="list" allowBlank="1" showInputMessage="1" showErrorMessage="1" xr:uid="{00000000-0002-0000-0200-00000D000000}">
          <x14:formula1>
            <xm:f>IF(D23&lt;2,"N/A",'Reference Tables (Ped Segment )'!$B$147:$B$157)</xm:f>
          </x14:formula1>
          <x14:formula2>
            <xm:f>0</xm:f>
          </x14:formula2>
          <xm:sqref>D27</xm:sqref>
        </x14:dataValidation>
        <x14:dataValidation type="list" allowBlank="1" showInputMessage="1" showErrorMessage="1" xr:uid="{00000000-0002-0000-0200-00000E000000}">
          <x14:formula1>
            <xm:f>'Reference Tables (Ped Segment )'!$B$147:$B$157</xm:f>
          </x14:formula1>
          <x14:formula2>
            <xm:f>0</xm:f>
          </x14:formula2>
          <xm:sqref>C8:D8 C27</xm:sqref>
        </x14:dataValidation>
        <x14:dataValidation type="list" allowBlank="1" showInputMessage="1" showErrorMessage="1" xr:uid="{00000000-0002-0000-0200-00000F000000}">
          <x14:formula1>
            <xm:f>'Reference Tables (Bike Segment)'!$B$4:$B$12</xm:f>
          </x14:formula1>
          <x14:formula2>
            <xm:f>0</xm:f>
          </x14:formula2>
          <xm:sqref>C23:D23</xm:sqref>
        </x14:dataValidation>
        <x14:dataValidation type="list" allowBlank="1" showInputMessage="1" showErrorMessage="1" xr:uid="{00000000-0002-0000-0200-000010000000}">
          <x14:formula1>
            <xm:f>'Reference Tables (Bike Segment)'!$B$89:$B$99</xm:f>
          </x14:formula1>
          <x14:formula2>
            <xm:f>0</xm:f>
          </x14:formula2>
          <xm:sqref>C9:D9</xm:sqref>
        </x14:dataValidation>
        <x14:dataValidation type="list" allowBlank="1" showInputMessage="1" showErrorMessage="1" xr:uid="{00000000-0002-0000-0200-000011000000}">
          <x14:formula1>
            <xm:f>'Reference Tables (Ped Segment )'!$B$3:$B$12</xm:f>
          </x14:formula1>
          <x14:formula2>
            <xm:f>0</xm:f>
          </x14:formula2>
          <xm:sqref>C18:D18</xm:sqref>
        </x14:dataValidation>
        <x14:dataValidation type="list" allowBlank="1" showInputMessage="1" showErrorMessage="1" xr:uid="{00000000-0002-0000-0200-000012000000}">
          <x14:formula1>
            <xm:f>'Reference Tables (Ped Segment )'!$B$16:$B$19</xm:f>
          </x14:formula1>
          <x14:formula2>
            <xm:f>0</xm:f>
          </x14:formula2>
          <xm:sqref>C19:D19 C30:G30</xm:sqref>
        </x14:dataValidation>
        <x14:dataValidation type="list" allowBlank="1" showInputMessage="1" showErrorMessage="1" xr:uid="{00000000-0002-0000-0200-000013000000}">
          <x14:formula1>
            <xm:f>'Reference Tables (Ped Segment )'!$B$38:$B$40</xm:f>
          </x14:formula1>
          <x14:formula2>
            <xm:f>0</xm:f>
          </x14:formula2>
          <xm:sqref>C31:G31</xm:sqref>
        </x14:dataValidation>
        <x14:dataValidation type="list" allowBlank="1" showInputMessage="1" showErrorMessage="1" xr:uid="{00000000-0002-0000-0200-000014000000}">
          <x14:formula1>
            <xm:f>'Reference Tables (Ped Segment )'!$B$44:$B$46</xm:f>
          </x14:formula1>
          <x14:formula2>
            <xm:f>0</xm:f>
          </x14:formula2>
          <xm:sqref>C32:G32</xm:sqref>
        </x14:dataValidation>
        <x14:dataValidation type="list" allowBlank="1" showInputMessage="1" showErrorMessage="1" xr:uid="{00000000-0002-0000-0200-000015000000}">
          <x14:formula1>
            <xm:f>'Reference Tables (Ped Segment )'!$B$50:$B$52</xm:f>
          </x14:formula1>
          <x14:formula2>
            <xm:f>0</xm:f>
          </x14:formula2>
          <xm:sqref>C12:D12</xm:sqref>
        </x14:dataValidation>
        <x14:dataValidation type="list" allowBlank="1" showInputMessage="1" showErrorMessage="1" xr:uid="{00000000-0002-0000-0200-000016000000}">
          <x14:formula1>
            <xm:f>'Reference Tables (Ped Segment )'!$B$56:$B$59</xm:f>
          </x14:formula1>
          <x14:formula2>
            <xm:f>0</xm:f>
          </x14:formula2>
          <xm:sqref>C13</xm:sqref>
        </x14:dataValidation>
        <x14:dataValidation type="list" allowBlank="1" showInputMessage="1" showErrorMessage="1" xr:uid="{00000000-0002-0000-0200-000017000000}">
          <x14:formula1>
            <xm:f>'Reference Tables (Ped Segment )'!$B$63:$B$65</xm:f>
          </x14:formula1>
          <x14:formula2>
            <xm:f>0</xm:f>
          </x14:formula2>
          <xm:sqref>C14</xm:sqref>
        </x14:dataValidation>
        <x14:dataValidation type="list" allowBlank="1" showInputMessage="1" showErrorMessage="1" xr:uid="{00000000-0002-0000-0200-000018000000}">
          <x14:formula1>
            <xm:f>'Reference Tables (Ped Segment )'!$B$69:$B$71</xm:f>
          </x14:formula1>
          <x14:formula2>
            <xm:f>0</xm:f>
          </x14:formula2>
          <xm:sqref>C15</xm:sqref>
        </x14:dataValidation>
        <x14:dataValidation type="list" allowBlank="1" showInputMessage="1" showErrorMessage="1" xr:uid="{00000000-0002-0000-0200-000019000000}">
          <x14:formula1>
            <xm:f>'Reference Tables (Ped Segment )'!$B$75:$B$76</xm:f>
          </x14:formula1>
          <x14:formula2>
            <xm:f>0</xm:f>
          </x14:formula2>
          <xm:sqref>C16:D16</xm:sqref>
        </x14:dataValidation>
        <x14:dataValidation type="list" allowBlank="1" showInputMessage="1" showErrorMessage="1" xr:uid="{00000000-0002-0000-0200-00001A000000}">
          <x14:formula1>
            <xm:f>'Reference Tables (Ped Segment )'!$B$80:$B$81</xm:f>
          </x14:formula1>
          <x14:formula2>
            <xm:f>0</xm:f>
          </x14:formula2>
          <xm:sqref>C17:D17</xm:sqref>
        </x14:dataValidation>
        <x14:dataValidation type="list" allowBlank="1" showInputMessage="1" showErrorMessage="1" xr:uid="{00000000-0002-0000-0200-00001B000000}">
          <x14:formula1>
            <xm:f>'Reference Tables (Ped Segment )'!$B$85:$B$89</xm:f>
          </x14:formula1>
          <x14:formula2>
            <xm:f>0</xm:f>
          </x14:formula2>
          <xm:sqref>E22:G23 D20:G21 C20</xm:sqref>
        </x14:dataValidation>
        <x14:dataValidation type="list" allowBlank="1" showInputMessage="1" showErrorMessage="1" xr:uid="{00000000-0002-0000-0200-00001C000000}">
          <x14:formula1>
            <xm:f>'Reference Tables (Ped Segment )'!$B$97:$B$98</xm:f>
          </x14:formula1>
          <x14:formula2>
            <xm:f>0</xm:f>
          </x14:formula2>
          <xm:sqref>C22:D22 C34:G34</xm:sqref>
        </x14:dataValidation>
        <x14:dataValidation type="list" allowBlank="1" showInputMessage="1" showErrorMessage="1" xr:uid="{00000000-0002-0000-0200-00001D000000}">
          <x14:formula1>
            <xm:f>'Reference Tables (Ped Segment )'!$B$112:$B$118</xm:f>
          </x14:formula1>
          <x14:formula2>
            <xm:f>0</xm:f>
          </x14:formula2>
          <xm:sqref>C35:G35</xm:sqref>
        </x14:dataValidation>
        <x14:dataValidation type="list" allowBlank="1" showInputMessage="1" showErrorMessage="1" xr:uid="{00000000-0002-0000-0200-00001E000000}">
          <x14:formula1>
            <xm:f>'Reference Tables (Ped Segment )'!$B$129:$B$143</xm:f>
          </x14:formula1>
          <x14:formula2>
            <xm:f>0</xm:f>
          </x14:formula2>
          <xm:sqref>C10</xm:sqref>
        </x14:dataValidation>
        <x14:dataValidation type="list" allowBlank="1" showInputMessage="1" showErrorMessage="1" xr:uid="{00000000-0002-0000-0200-00001F000000}">
          <x14:formula1>
            <xm:f>'Reference Tables (Ped Segment )'!$C$22:$E$22</xm:f>
          </x14:formula1>
          <x14:formula2>
            <xm:f>0</xm:f>
          </x14:formula2>
          <xm:sqref>C28:G28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V210"/>
  <sheetViews>
    <sheetView topLeftCell="C2" zoomScaleNormal="100" workbookViewId="0">
      <selection activeCell="J28" sqref="J28:N28"/>
    </sheetView>
  </sheetViews>
  <sheetFormatPr defaultRowHeight="12.5" x14ac:dyDescent="0.25"/>
  <cols>
    <col min="1" max="6" width="11.7265625" customWidth="1"/>
    <col min="7" max="7" width="19.26953125" customWidth="1"/>
    <col min="8" max="8" width="15.7265625" customWidth="1"/>
    <col min="9" max="10" width="10.7265625" customWidth="1"/>
    <col min="11" max="11" width="11.7265625" customWidth="1"/>
    <col min="12" max="12" width="13.453125" customWidth="1"/>
    <col min="13" max="13" width="13.7265625" customWidth="1"/>
    <col min="14" max="14" width="30.1796875" customWidth="1"/>
    <col min="15" max="15" width="14.26953125" customWidth="1"/>
    <col min="16" max="16" width="64.453125" customWidth="1"/>
    <col min="18" max="18" width="14.453125" customWidth="1"/>
    <col min="19" max="19" width="16.7265625" customWidth="1"/>
    <col min="20" max="22" width="13.7265625" customWidth="1"/>
  </cols>
  <sheetData>
    <row r="1" spans="1:21" ht="13" thickBot="1" x14ac:dyDescent="0.3">
      <c r="A1" s="20"/>
      <c r="B1" s="20"/>
    </row>
    <row r="2" spans="1:21" ht="14.25" customHeight="1" thickTop="1" thickBot="1" x14ac:dyDescent="0.3">
      <c r="A2" s="529" t="s">
        <v>324</v>
      </c>
      <c r="B2" s="599"/>
      <c r="C2" s="599"/>
      <c r="D2" s="599"/>
      <c r="E2" s="615"/>
      <c r="F2" s="615"/>
      <c r="G2" s="615"/>
      <c r="H2" s="615"/>
      <c r="I2" s="615"/>
      <c r="J2" s="615"/>
      <c r="K2" s="615"/>
      <c r="L2" s="615"/>
      <c r="M2" s="615"/>
      <c r="N2" s="615"/>
    </row>
    <row r="3" spans="1:21" ht="13" x14ac:dyDescent="0.3">
      <c r="A3" s="432" t="s">
        <v>0</v>
      </c>
      <c r="B3" s="703"/>
      <c r="C3" s="703"/>
      <c r="D3" s="703"/>
      <c r="E3" s="703"/>
      <c r="F3" s="703"/>
      <c r="G3" s="749"/>
      <c r="H3" s="757" t="s">
        <v>8</v>
      </c>
      <c r="I3" s="758"/>
      <c r="J3" s="758"/>
      <c r="K3" s="758"/>
      <c r="L3" s="758"/>
      <c r="M3" s="758"/>
      <c r="N3" s="758"/>
    </row>
    <row r="4" spans="1:21" ht="13.5" customHeight="1" x14ac:dyDescent="0.25">
      <c r="A4" s="737" t="s">
        <v>1</v>
      </c>
      <c r="B4" s="737"/>
      <c r="C4" s="737"/>
      <c r="D4" s="18"/>
      <c r="E4" s="759" t="s">
        <v>553</v>
      </c>
      <c r="F4" s="740"/>
      <c r="G4" s="760"/>
      <c r="H4" s="761" t="s">
        <v>9</v>
      </c>
      <c r="I4" s="737"/>
      <c r="J4" s="738"/>
      <c r="K4" s="759" t="s">
        <v>556</v>
      </c>
      <c r="L4" s="740"/>
      <c r="M4" s="740"/>
      <c r="N4" s="740"/>
    </row>
    <row r="5" spans="1:21" ht="12.75" customHeight="1" x14ac:dyDescent="0.25">
      <c r="A5" s="703" t="s">
        <v>2</v>
      </c>
      <c r="B5" s="703"/>
      <c r="C5" s="703"/>
      <c r="D5" s="14"/>
      <c r="E5" s="750" t="s">
        <v>554</v>
      </c>
      <c r="F5" s="751"/>
      <c r="G5" s="753"/>
      <c r="H5" s="748" t="s">
        <v>67</v>
      </c>
      <c r="I5" s="703"/>
      <c r="J5" s="749"/>
      <c r="K5" s="750" t="s">
        <v>559</v>
      </c>
      <c r="L5" s="751"/>
      <c r="M5" s="751"/>
      <c r="N5" s="751"/>
    </row>
    <row r="6" spans="1:21" ht="14.25" customHeight="1" x14ac:dyDescent="0.25">
      <c r="A6" s="703" t="s">
        <v>3</v>
      </c>
      <c r="B6" s="703"/>
      <c r="C6" s="703"/>
      <c r="D6" s="14"/>
      <c r="E6" s="752" t="s">
        <v>555</v>
      </c>
      <c r="F6" s="751"/>
      <c r="G6" s="753"/>
      <c r="H6" s="748" t="s">
        <v>11</v>
      </c>
      <c r="I6" s="703"/>
      <c r="J6" s="749"/>
      <c r="K6" s="750" t="s">
        <v>558</v>
      </c>
      <c r="L6" s="751"/>
      <c r="M6" s="751"/>
      <c r="N6" s="751"/>
    </row>
    <row r="7" spans="1:21" ht="16" thickBot="1" x14ac:dyDescent="0.45">
      <c r="A7" s="735"/>
      <c r="B7" s="735"/>
      <c r="C7" s="735"/>
      <c r="D7" s="19"/>
      <c r="E7" s="748"/>
      <c r="F7" s="703"/>
      <c r="G7" s="749"/>
      <c r="H7" s="748" t="s">
        <v>12</v>
      </c>
      <c r="I7" s="703"/>
      <c r="J7" s="749"/>
      <c r="K7" s="755">
        <v>2019</v>
      </c>
      <c r="L7" s="756"/>
      <c r="M7" s="756"/>
      <c r="N7" s="756"/>
      <c r="R7" s="801" t="s">
        <v>989</v>
      </c>
      <c r="S7" s="538" t="s">
        <v>990</v>
      </c>
      <c r="T7" s="538"/>
      <c r="U7" s="538"/>
    </row>
    <row r="8" spans="1:21" ht="13" x14ac:dyDescent="0.3">
      <c r="A8" s="754" t="s">
        <v>4</v>
      </c>
      <c r="B8" s="694"/>
      <c r="C8" s="694"/>
      <c r="D8" s="694"/>
      <c r="E8" s="694"/>
      <c r="F8" s="694"/>
      <c r="G8" s="657"/>
      <c r="H8" s="498" t="s">
        <v>13</v>
      </c>
      <c r="I8" s="657"/>
      <c r="J8" s="498" t="s">
        <v>15</v>
      </c>
      <c r="K8" s="694"/>
      <c r="L8" s="694"/>
      <c r="M8" s="694"/>
      <c r="N8" s="694"/>
      <c r="R8" s="801"/>
      <c r="S8" s="524" t="s">
        <v>953</v>
      </c>
      <c r="T8" s="524" t="s">
        <v>954</v>
      </c>
      <c r="U8" s="524" t="s">
        <v>955</v>
      </c>
    </row>
    <row r="9" spans="1:21" ht="13" thickBot="1" x14ac:dyDescent="0.3">
      <c r="A9" s="693" t="s">
        <v>1332</v>
      </c>
      <c r="B9" s="694"/>
      <c r="C9" s="694"/>
      <c r="D9" s="694"/>
      <c r="E9" s="694"/>
      <c r="F9" s="694"/>
      <c r="G9" s="657"/>
      <c r="H9" s="741" t="s">
        <v>14</v>
      </c>
      <c r="I9" s="738"/>
      <c r="J9" s="817" t="s">
        <v>72</v>
      </c>
      <c r="K9" s="743"/>
      <c r="L9" s="743"/>
      <c r="M9" s="743"/>
      <c r="N9" s="743"/>
      <c r="P9" t="str">
        <f>IF($J$9="3ST","Unsignalized three-leg intersection (stop control on minor-road approaches)",IF($J$9="3SG","Signalized three-leg intersections",IF($J$9="4ST","Unsignalized four-leg intersection (stop control on minor-road approaches)",IF($J$9="4SG","Signalized four-leg intersection between two, two-way roads", "Signalized four-leg intersection between a one-way road and a two-way road"))))</f>
        <v>Signalized four-leg intersection between two, two-way roads</v>
      </c>
      <c r="R9" s="801"/>
      <c r="S9" s="524"/>
      <c r="T9" s="524"/>
      <c r="U9" s="524"/>
    </row>
    <row r="10" spans="1:21" ht="16" thickBot="1" x14ac:dyDescent="0.45">
      <c r="A10" s="693" t="s">
        <v>325</v>
      </c>
      <c r="B10" s="694"/>
      <c r="C10" s="694"/>
      <c r="D10" s="820"/>
      <c r="E10" s="151" t="s">
        <v>522</v>
      </c>
      <c r="F10" s="153">
        <f>IF($J$9="3ST",45700,IF($J$9="4ST",46800,IF($J$9="3SG",58100,67700)))</f>
        <v>67700</v>
      </c>
      <c r="G10" s="152" t="s">
        <v>521</v>
      </c>
      <c r="H10" s="695" t="s">
        <v>14</v>
      </c>
      <c r="I10" s="657"/>
      <c r="J10" s="818">
        <v>10000</v>
      </c>
      <c r="K10" s="819"/>
      <c r="L10" s="819"/>
      <c r="M10" s="819"/>
      <c r="N10" s="819"/>
      <c r="O10" s="96" t="str">
        <f>IF(J10&gt;F10,"AADT out of range","AADT OK")</f>
        <v>AADT OK</v>
      </c>
      <c r="R10" s="20" t="s">
        <v>70</v>
      </c>
      <c r="S10" s="257">
        <v>1</v>
      </c>
      <c r="T10" s="257">
        <v>1</v>
      </c>
      <c r="U10" s="257">
        <v>1</v>
      </c>
    </row>
    <row r="11" spans="1:21" ht="16" thickBot="1" x14ac:dyDescent="0.45">
      <c r="A11" s="693" t="s">
        <v>326</v>
      </c>
      <c r="B11" s="694"/>
      <c r="C11" s="694"/>
      <c r="D11" s="820"/>
      <c r="E11" s="151" t="s">
        <v>522</v>
      </c>
      <c r="F11" s="153">
        <f>IF($J$9="3ST",9300,IF($J$9="4ST",5900,IF($J$9="3SG",16400,33400)))</f>
        <v>33400</v>
      </c>
      <c r="G11" s="152" t="s">
        <v>521</v>
      </c>
      <c r="H11" s="695" t="s">
        <v>14</v>
      </c>
      <c r="I11" s="657"/>
      <c r="J11" s="733">
        <v>10000</v>
      </c>
      <c r="K11" s="734"/>
      <c r="L11" s="734"/>
      <c r="M11" s="734"/>
      <c r="N11" s="734"/>
      <c r="O11" s="96" t="str">
        <f>IF(J11&gt;F11,"AADT out of range","AADT OK")</f>
        <v>AADT OK</v>
      </c>
      <c r="R11" s="20" t="s">
        <v>71</v>
      </c>
      <c r="S11" s="257">
        <v>1</v>
      </c>
      <c r="T11" s="257">
        <v>1</v>
      </c>
      <c r="U11" s="257">
        <v>1</v>
      </c>
    </row>
    <row r="12" spans="1:21" x14ac:dyDescent="0.25">
      <c r="A12" s="693" t="s">
        <v>68</v>
      </c>
      <c r="B12" s="694"/>
      <c r="C12" s="694"/>
      <c r="D12" s="694"/>
      <c r="E12" s="694"/>
      <c r="F12" s="694"/>
      <c r="G12" s="657"/>
      <c r="H12" s="731" t="s">
        <v>54</v>
      </c>
      <c r="I12" s="657"/>
      <c r="J12" s="729" t="s">
        <v>54</v>
      </c>
      <c r="K12" s="729"/>
      <c r="L12" s="729"/>
      <c r="M12" s="729"/>
      <c r="N12" s="729"/>
      <c r="R12" s="20" t="s">
        <v>384</v>
      </c>
      <c r="S12" s="257">
        <v>1</v>
      </c>
      <c r="T12" s="257">
        <v>1</v>
      </c>
      <c r="U12" s="257">
        <v>1</v>
      </c>
    </row>
    <row r="13" spans="1:21" x14ac:dyDescent="0.25">
      <c r="A13" s="693"/>
      <c r="B13" s="694"/>
      <c r="C13" s="694"/>
      <c r="D13" s="694"/>
      <c r="E13" s="694"/>
      <c r="F13" s="694"/>
      <c r="G13" s="657"/>
      <c r="H13" s="821"/>
      <c r="I13" s="822"/>
      <c r="J13" s="474"/>
      <c r="K13" s="823"/>
      <c r="L13" s="823"/>
      <c r="M13" s="823"/>
      <c r="N13" s="823"/>
      <c r="R13" s="20" t="s">
        <v>72</v>
      </c>
      <c r="S13" s="257">
        <v>1</v>
      </c>
      <c r="T13" s="257">
        <v>1</v>
      </c>
      <c r="U13" s="257">
        <v>1</v>
      </c>
    </row>
    <row r="14" spans="1:21" x14ac:dyDescent="0.25">
      <c r="A14" s="693" t="s">
        <v>327</v>
      </c>
      <c r="B14" s="694"/>
      <c r="C14" s="694"/>
      <c r="D14" s="694"/>
      <c r="E14" s="694"/>
      <c r="F14" s="694"/>
      <c r="G14" s="657"/>
      <c r="H14" s="695" t="s">
        <v>14</v>
      </c>
      <c r="I14" s="657"/>
      <c r="J14" s="824" t="s">
        <v>14</v>
      </c>
      <c r="K14" s="694"/>
      <c r="L14" s="694"/>
      <c r="M14" s="694"/>
      <c r="N14" s="694"/>
      <c r="R14" s="20" t="s">
        <v>967</v>
      </c>
      <c r="S14" s="257">
        <v>1</v>
      </c>
      <c r="T14" s="257">
        <v>1</v>
      </c>
      <c r="U14" s="257">
        <v>1</v>
      </c>
    </row>
    <row r="15" spans="1:21" x14ac:dyDescent="0.25">
      <c r="A15" s="814" t="s">
        <v>421</v>
      </c>
      <c r="B15" s="815"/>
      <c r="C15" s="815"/>
      <c r="D15" s="815"/>
      <c r="E15" s="815"/>
      <c r="F15" s="815"/>
      <c r="G15" s="816"/>
      <c r="H15" s="695">
        <v>0</v>
      </c>
      <c r="I15" s="657"/>
      <c r="J15" s="728">
        <v>0</v>
      </c>
      <c r="K15" s="747"/>
      <c r="L15" s="747"/>
      <c r="M15" s="747"/>
      <c r="N15" s="747"/>
      <c r="R15" s="21"/>
      <c r="S15" s="1"/>
      <c r="T15" s="1"/>
      <c r="U15" s="1"/>
    </row>
    <row r="16" spans="1:21" x14ac:dyDescent="0.25">
      <c r="A16" s="814" t="s">
        <v>422</v>
      </c>
      <c r="B16" s="815"/>
      <c r="C16" s="815"/>
      <c r="D16" s="815"/>
      <c r="E16" s="815"/>
      <c r="F16" s="815"/>
      <c r="G16" s="816"/>
      <c r="H16" s="695">
        <v>0</v>
      </c>
      <c r="I16" s="657"/>
      <c r="J16" s="728">
        <v>0</v>
      </c>
      <c r="K16" s="747"/>
      <c r="L16" s="747"/>
      <c r="M16" s="747"/>
      <c r="N16" s="747"/>
    </row>
    <row r="17" spans="1:22" x14ac:dyDescent="0.25">
      <c r="A17" s="693" t="s">
        <v>420</v>
      </c>
      <c r="B17" s="694"/>
      <c r="C17" s="694"/>
      <c r="D17" s="694"/>
      <c r="E17" s="694"/>
      <c r="F17" s="694"/>
      <c r="G17" s="657"/>
      <c r="H17" s="695" t="s">
        <v>14</v>
      </c>
      <c r="I17" s="657"/>
      <c r="J17" s="824" t="s">
        <v>14</v>
      </c>
      <c r="K17" s="694"/>
      <c r="L17" s="694"/>
      <c r="M17" s="694"/>
      <c r="N17" s="694"/>
    </row>
    <row r="18" spans="1:22" ht="13" x14ac:dyDescent="0.3">
      <c r="A18" s="814" t="s">
        <v>433</v>
      </c>
      <c r="B18" s="815"/>
      <c r="C18" s="815"/>
      <c r="D18" s="815"/>
      <c r="E18" s="815"/>
      <c r="F18" s="815"/>
      <c r="G18" s="816"/>
      <c r="H18" s="695">
        <v>0</v>
      </c>
      <c r="I18" s="657"/>
      <c r="J18" s="728">
        <v>0</v>
      </c>
      <c r="K18" s="747"/>
      <c r="L18" s="747"/>
      <c r="M18" s="747"/>
      <c r="N18" s="747"/>
      <c r="S18" s="70" t="s">
        <v>1004</v>
      </c>
    </row>
    <row r="19" spans="1:22" x14ac:dyDescent="0.25">
      <c r="A19" s="814" t="s">
        <v>431</v>
      </c>
      <c r="B19" s="815"/>
      <c r="C19" s="815"/>
      <c r="D19" s="815"/>
      <c r="E19" s="815"/>
      <c r="F19" s="815"/>
      <c r="G19" s="816"/>
      <c r="H19" s="695">
        <v>0</v>
      </c>
      <c r="I19" s="657"/>
      <c r="J19" s="728">
        <v>0</v>
      </c>
      <c r="K19" s="747"/>
      <c r="L19" s="747"/>
      <c r="M19" s="747"/>
      <c r="N19" s="747"/>
    </row>
    <row r="20" spans="1:22" x14ac:dyDescent="0.25">
      <c r="A20" s="814" t="s">
        <v>432</v>
      </c>
      <c r="B20" s="815"/>
      <c r="C20" s="815"/>
      <c r="D20" s="815"/>
      <c r="E20" s="815"/>
      <c r="F20" s="815"/>
      <c r="G20" s="816"/>
      <c r="H20" s="695" t="s">
        <v>14</v>
      </c>
      <c r="I20" s="657"/>
      <c r="J20" s="728">
        <v>0</v>
      </c>
      <c r="K20" s="747"/>
      <c r="L20" s="747"/>
      <c r="M20" s="747"/>
      <c r="N20" s="747"/>
      <c r="S20" s="20" t="s">
        <v>1005</v>
      </c>
      <c r="T20" s="22">
        <f>IF($J$20&gt;0,IF($J$9="3ST",1,IF($J$9="4ST",1,IF($J$21="Permissive",1,IF($J$21="Protected",0.94,0.99)))),1)</f>
        <v>1</v>
      </c>
    </row>
    <row r="21" spans="1:22" x14ac:dyDescent="0.25">
      <c r="A21" s="814" t="s">
        <v>428</v>
      </c>
      <c r="B21" s="815"/>
      <c r="C21" s="815"/>
      <c r="D21" s="815"/>
      <c r="E21" s="815"/>
      <c r="F21" s="815"/>
      <c r="G21" s="816"/>
      <c r="H21" s="731" t="s">
        <v>329</v>
      </c>
      <c r="I21" s="657"/>
      <c r="J21" s="728" t="s">
        <v>329</v>
      </c>
      <c r="K21" s="747"/>
      <c r="L21" s="747"/>
      <c r="M21" s="747"/>
      <c r="N21" s="747"/>
      <c r="S21" s="20" t="s">
        <v>1006</v>
      </c>
      <c r="T21" s="22">
        <f>IF($J$20&gt;1,IF($J$9="3ST",1,IF($J$9="4ST",1,IF($J$22="Permissive",1,IF($J$22="Protected",0.94,0.99)))),1)</f>
        <v>1</v>
      </c>
    </row>
    <row r="22" spans="1:22" x14ac:dyDescent="0.25">
      <c r="A22" s="814" t="s">
        <v>429</v>
      </c>
      <c r="B22" s="815"/>
      <c r="C22" s="815"/>
      <c r="D22" s="815"/>
      <c r="E22" s="815"/>
      <c r="F22" s="815"/>
      <c r="G22" s="816"/>
      <c r="H22" s="695" t="s">
        <v>14</v>
      </c>
      <c r="I22" s="657"/>
      <c r="J22" s="728" t="s">
        <v>329</v>
      </c>
      <c r="K22" s="747"/>
      <c r="L22" s="747"/>
      <c r="M22" s="747"/>
      <c r="N22" s="747"/>
      <c r="S22" s="20" t="s">
        <v>1007</v>
      </c>
      <c r="T22" s="22">
        <f>IF($J$20&gt;2,IF($J$9="3ST",1,IF($J$9="4ST",1,IF($J$23="Permissive",1,IF($J$23="Protected",0.94,0.99)))),1)</f>
        <v>1</v>
      </c>
    </row>
    <row r="23" spans="1:22" x14ac:dyDescent="0.25">
      <c r="A23" s="814" t="s">
        <v>427</v>
      </c>
      <c r="B23" s="815"/>
      <c r="C23" s="815"/>
      <c r="D23" s="815"/>
      <c r="E23" s="815"/>
      <c r="F23" s="815"/>
      <c r="G23" s="816"/>
      <c r="H23" s="695" t="s">
        <v>14</v>
      </c>
      <c r="I23" s="657"/>
      <c r="J23" s="728" t="s">
        <v>329</v>
      </c>
      <c r="K23" s="747"/>
      <c r="L23" s="747"/>
      <c r="M23" s="747"/>
      <c r="N23" s="747"/>
      <c r="S23" s="20" t="s">
        <v>1008</v>
      </c>
      <c r="T23" s="22">
        <f>IF($J$9="3SG",1,IF($J$9="3ST",1,IF($J$9="4ST",1,IF($J$24="Permissive",1,IF($J$24="Protected",0.94,0.99)))*1))</f>
        <v>1</v>
      </c>
    </row>
    <row r="24" spans="1:22" x14ac:dyDescent="0.25">
      <c r="A24" s="814" t="s">
        <v>426</v>
      </c>
      <c r="B24" s="815"/>
      <c r="C24" s="815"/>
      <c r="D24" s="815"/>
      <c r="E24" s="815"/>
      <c r="F24" s="815"/>
      <c r="G24" s="816"/>
      <c r="H24" s="695" t="s">
        <v>14</v>
      </c>
      <c r="I24" s="657"/>
      <c r="J24" s="728" t="s">
        <v>329</v>
      </c>
      <c r="K24" s="747"/>
      <c r="L24" s="747"/>
      <c r="M24" s="747"/>
      <c r="N24" s="747"/>
      <c r="S24" s="20" t="s">
        <v>430</v>
      </c>
      <c r="T24" s="11">
        <f>T20*T21*T22*T23</f>
        <v>1</v>
      </c>
    </row>
    <row r="25" spans="1:22" x14ac:dyDescent="0.25">
      <c r="A25" s="814" t="s">
        <v>434</v>
      </c>
      <c r="B25" s="815"/>
      <c r="C25" s="815"/>
      <c r="D25" s="815"/>
      <c r="E25" s="815"/>
      <c r="F25" s="815"/>
      <c r="G25" s="816"/>
      <c r="H25" s="695">
        <v>0</v>
      </c>
      <c r="I25" s="657"/>
      <c r="J25" s="728">
        <v>0</v>
      </c>
      <c r="K25" s="747"/>
      <c r="L25" s="747"/>
      <c r="M25" s="747"/>
      <c r="N25" s="747"/>
    </row>
    <row r="26" spans="1:22" ht="13.5" thickBot="1" x14ac:dyDescent="0.35">
      <c r="A26" s="827" t="s">
        <v>328</v>
      </c>
      <c r="B26" s="828"/>
      <c r="C26" s="828"/>
      <c r="D26" s="828"/>
      <c r="E26" s="828"/>
      <c r="F26" s="828"/>
      <c r="G26" s="829"/>
      <c r="H26" s="731" t="s">
        <v>54</v>
      </c>
      <c r="I26" s="657"/>
      <c r="J26" s="729" t="s">
        <v>54</v>
      </c>
      <c r="K26" s="729"/>
      <c r="L26" s="729"/>
      <c r="M26" s="729"/>
      <c r="N26" s="729"/>
      <c r="S26" s="70" t="s">
        <v>1009</v>
      </c>
    </row>
    <row r="27" spans="1:22" ht="13.5" thickBot="1" x14ac:dyDescent="0.35">
      <c r="A27" s="825" t="s">
        <v>928</v>
      </c>
      <c r="B27" s="825"/>
      <c r="C27" s="825"/>
      <c r="D27" s="825"/>
      <c r="E27" s="825"/>
      <c r="F27" s="825"/>
      <c r="G27" s="826"/>
      <c r="H27" s="695"/>
      <c r="I27" s="657"/>
      <c r="J27" s="509"/>
      <c r="K27" s="694"/>
      <c r="L27" s="694"/>
      <c r="M27" s="694"/>
      <c r="N27" s="694"/>
    </row>
    <row r="28" spans="1:22" ht="18.75" customHeight="1" x14ac:dyDescent="0.4">
      <c r="A28" s="541" t="s">
        <v>929</v>
      </c>
      <c r="B28" s="541"/>
      <c r="C28" s="541"/>
      <c r="D28" s="541"/>
      <c r="E28" s="541"/>
      <c r="F28" s="541"/>
      <c r="G28" s="541"/>
      <c r="J28" s="716" t="s">
        <v>865</v>
      </c>
      <c r="K28" s="717"/>
      <c r="L28" s="717"/>
      <c r="M28" s="717"/>
      <c r="N28" s="717"/>
      <c r="P28" s="805" t="str">
        <f>IF($J$28="SPFs based on regression analysis (applicable with EB method)", "NOTE: Users should provide input data using this worksheet for pedestrian and bicycle collisions for intersection types 3ST, 4ST, 3SG, 4SG, and 4SG(1x2).","NOTE: Users should provide input data using the Ped&amp;Bike (Intersections) Worksheet for pedestrian and bicycle collisions for all road types.")</f>
        <v>NOTE: Users should provide input data using the Ped&amp;Bike (Intersections) Worksheet for pedestrian and bicycle collisions for all road types.</v>
      </c>
      <c r="Q28" s="805"/>
      <c r="S28" s="88" t="s">
        <v>435</v>
      </c>
      <c r="T28" s="24">
        <f>IF('Reference Tables (Intersection)'!$C$33="No",(IF($J$9="3ST",'Reference Tables (Intersection)'!$D$39,IF($J$9="3SG",'Reference Tables (Intersection)'!$F$39,IF($J$9="4ST",'Reference Tables (Intersection)'!$H$39,'Reference Tables (Intersection)'!$J$39)))),(IF($J$9="3ST",'Reference Tables (Intersection)'!$D$48,IF($J$9="3SG",'Reference Tables (Intersection)'!$F$48,IF($J$9="4ST",'Reference Tables (Intersection)'!$H$48,'Reference Tables (Intersection)'!$J$48)))))</f>
        <v>0.34699999999999998</v>
      </c>
      <c r="U28" s="88" t="s">
        <v>441</v>
      </c>
      <c r="V28" s="24">
        <f>IF('Reference Tables (Intersection)'!$C$33="No",(IF($J$9="3ST",'Reference Tables (Intersection)'!$D$37,IF($J$9="3SG",'Reference Tables (Intersection)'!$F$37,IF($J$9="4ST",'Reference Tables (Intersection)'!$H$37,'Reference Tables (Intersection)'!$J$37)))),(IF($J$9="3ST",'Reference Tables (Intersection)'!$D$46,IF($J$9="3SG",'Reference Tables (Intersection)'!$F$46,IF($J$9="4ST",'Reference Tables (Intersection)'!$H$46,'Reference Tables (Intersection)'!$J$46)))))</f>
        <v>0.45</v>
      </c>
    </row>
    <row r="29" spans="1:22" s="33" customFormat="1" ht="15.5" x14ac:dyDescent="0.4">
      <c r="A29" s="905" t="s">
        <v>964</v>
      </c>
      <c r="B29" s="905"/>
      <c r="C29" s="905"/>
      <c r="D29" s="905"/>
      <c r="E29" s="905"/>
      <c r="F29" s="905"/>
      <c r="G29" s="610"/>
      <c r="H29" s="695" t="s">
        <v>14</v>
      </c>
      <c r="I29" s="657"/>
      <c r="J29" s="726">
        <v>200</v>
      </c>
      <c r="K29" s="730"/>
      <c r="L29" s="730"/>
      <c r="M29" s="730"/>
      <c r="N29" s="730"/>
      <c r="P29" s="805"/>
      <c r="Q29" s="805"/>
      <c r="S29" s="88" t="s">
        <v>436</v>
      </c>
      <c r="T29" s="24">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0.24399999999999999</v>
      </c>
      <c r="U29" s="88" t="s">
        <v>442</v>
      </c>
      <c r="V29" s="24">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0.48299999999999998</v>
      </c>
    </row>
    <row r="30" spans="1:22" ht="15" customHeight="1" x14ac:dyDescent="0.4">
      <c r="A30" s="693" t="s">
        <v>965</v>
      </c>
      <c r="B30" s="694"/>
      <c r="C30" s="694"/>
      <c r="D30" s="694"/>
      <c r="E30" s="694"/>
      <c r="F30" s="694"/>
      <c r="G30" s="657"/>
      <c r="H30" s="695" t="s">
        <v>14</v>
      </c>
      <c r="I30" s="657"/>
      <c r="J30" s="726">
        <v>200</v>
      </c>
      <c r="K30" s="730"/>
      <c r="L30" s="730"/>
      <c r="M30" s="730"/>
      <c r="N30" s="730"/>
      <c r="P30" s="805"/>
      <c r="Q30" s="805"/>
      <c r="S30" s="88" t="s">
        <v>437</v>
      </c>
      <c r="T30" s="24">
        <f>+$K$54</f>
        <v>0.8115267159585341</v>
      </c>
      <c r="U30" s="88" t="s">
        <v>437</v>
      </c>
      <c r="V30" s="24">
        <f>+$K$54</f>
        <v>0.8115267159585341</v>
      </c>
    </row>
    <row r="31" spans="1:22" ht="15.5" x14ac:dyDescent="0.4">
      <c r="A31" s="457" t="s">
        <v>1121</v>
      </c>
      <c r="B31" s="522"/>
      <c r="C31" s="522"/>
      <c r="D31" s="522"/>
      <c r="E31" s="522"/>
      <c r="F31" s="522"/>
      <c r="G31" s="522"/>
      <c r="H31" s="909" t="s">
        <v>65</v>
      </c>
      <c r="I31" s="910"/>
      <c r="J31" s="911" t="s">
        <v>64</v>
      </c>
      <c r="K31" s="912"/>
      <c r="L31" s="912"/>
      <c r="M31" s="912"/>
      <c r="N31" s="912"/>
      <c r="P31" s="805"/>
      <c r="Q31" s="805"/>
      <c r="S31" s="88" t="s">
        <v>438</v>
      </c>
      <c r="T31" s="24">
        <f>+$K$56</f>
        <v>1.8621176787628271</v>
      </c>
      <c r="U31" s="88" t="s">
        <v>438</v>
      </c>
      <c r="V31" s="24">
        <f>+$K$56</f>
        <v>1.8621176787628271</v>
      </c>
    </row>
    <row r="32" spans="1:22" ht="15.5" x14ac:dyDescent="0.4">
      <c r="A32" s="908" t="s">
        <v>1120</v>
      </c>
      <c r="B32" s="908"/>
      <c r="C32" s="908"/>
      <c r="D32" s="908"/>
      <c r="E32" s="908"/>
      <c r="F32" s="908"/>
      <c r="G32" s="908"/>
      <c r="H32" s="906" t="s">
        <v>1016</v>
      </c>
      <c r="I32" s="578"/>
      <c r="J32" s="907" t="s">
        <v>983</v>
      </c>
      <c r="K32" s="907"/>
      <c r="L32" s="907"/>
      <c r="M32" s="907"/>
      <c r="N32" s="907"/>
      <c r="P32" s="805"/>
      <c r="Q32" s="805"/>
      <c r="S32" s="88" t="s">
        <v>439</v>
      </c>
      <c r="T32" s="24">
        <f>+$H$85</f>
        <v>0.23219525459931692</v>
      </c>
      <c r="U32" s="88" t="s">
        <v>439</v>
      </c>
      <c r="V32" s="24">
        <f>+$H$85</f>
        <v>0.23219525459931692</v>
      </c>
    </row>
    <row r="33" spans="1:22" ht="18" x14ac:dyDescent="0.4">
      <c r="A33" s="611" t="s">
        <v>1118</v>
      </c>
      <c r="B33" s="611"/>
      <c r="C33" s="611"/>
      <c r="D33" s="611"/>
      <c r="E33" s="611"/>
      <c r="F33" s="611"/>
      <c r="G33" s="611"/>
      <c r="H33" s="553">
        <v>0</v>
      </c>
      <c r="I33" s="553"/>
      <c r="J33" s="726">
        <v>5</v>
      </c>
      <c r="K33" s="730"/>
      <c r="L33" s="730"/>
      <c r="M33" s="730"/>
      <c r="N33" s="730"/>
      <c r="P33" s="301"/>
      <c r="Q33" s="301"/>
      <c r="S33" s="88" t="s">
        <v>440</v>
      </c>
      <c r="T33" s="24">
        <f>((+T28*T30)+(+T29*T31))/(+T30+T31+T32)</f>
        <v>0.2532680990252823</v>
      </c>
      <c r="U33" s="88" t="s">
        <v>443</v>
      </c>
      <c r="V33" s="24">
        <f>((+V28*V30)+(+V29*V31))/(+V30+V31+V32)</f>
        <v>0.43518914105236989</v>
      </c>
    </row>
    <row r="34" spans="1:22" ht="18.5" thickBot="1" x14ac:dyDescent="0.3">
      <c r="A34" s="831" t="s">
        <v>1119</v>
      </c>
      <c r="B34" s="831"/>
      <c r="C34" s="831"/>
      <c r="D34" s="831"/>
      <c r="E34" s="831"/>
      <c r="F34" s="831"/>
      <c r="G34" s="831"/>
      <c r="H34" s="915">
        <v>0</v>
      </c>
      <c r="I34" s="915"/>
      <c r="J34" s="719">
        <v>3</v>
      </c>
      <c r="K34" s="720"/>
      <c r="L34" s="720"/>
      <c r="M34" s="720"/>
      <c r="N34" s="720"/>
      <c r="P34" s="301"/>
      <c r="Q34" s="301"/>
      <c r="S34" s="88" t="s">
        <v>1010</v>
      </c>
      <c r="T34" s="11">
        <f>1-(T33*(1-0.74))-(V33*(1-1.18))</f>
        <v>1.0124843396428531</v>
      </c>
      <c r="U34" s="88"/>
      <c r="V34" s="24"/>
    </row>
    <row r="36" spans="1:22" ht="13" thickBot="1" x14ac:dyDescent="0.3"/>
    <row r="37" spans="1:22" ht="14" thickTop="1" thickBot="1" x14ac:dyDescent="0.3">
      <c r="A37" s="712" t="s">
        <v>991</v>
      </c>
      <c r="B37" s="713"/>
      <c r="C37" s="713"/>
      <c r="D37" s="713"/>
      <c r="E37" s="713"/>
      <c r="F37" s="713"/>
      <c r="G37" s="713"/>
      <c r="H37" s="713"/>
      <c r="I37" s="713"/>
      <c r="J37" s="713"/>
      <c r="K37" s="713"/>
      <c r="L37" s="713"/>
      <c r="M37" s="713"/>
      <c r="N37" s="713"/>
    </row>
    <row r="38" spans="1:22" x14ac:dyDescent="0.25">
      <c r="A38" s="714" t="s">
        <v>16</v>
      </c>
      <c r="B38" s="618"/>
      <c r="C38" s="830" t="s">
        <v>17</v>
      </c>
      <c r="D38" s="618"/>
      <c r="E38" s="830" t="s">
        <v>18</v>
      </c>
      <c r="F38" s="618"/>
      <c r="G38" s="830" t="s">
        <v>19</v>
      </c>
      <c r="H38" s="618"/>
      <c r="I38" s="830" t="s">
        <v>20</v>
      </c>
      <c r="J38" s="618"/>
      <c r="K38" s="830" t="s">
        <v>21</v>
      </c>
      <c r="L38" s="618"/>
      <c r="M38" s="461" t="s">
        <v>22</v>
      </c>
      <c r="N38" s="721"/>
    </row>
    <row r="39" spans="1:22" x14ac:dyDescent="0.25">
      <c r="A39" s="710" t="s">
        <v>992</v>
      </c>
      <c r="B39" s="681"/>
      <c r="C39" s="710" t="s">
        <v>993</v>
      </c>
      <c r="D39" s="681"/>
      <c r="E39" s="710" t="s">
        <v>994</v>
      </c>
      <c r="F39" s="681"/>
      <c r="G39" s="710" t="s">
        <v>995</v>
      </c>
      <c r="H39" s="681"/>
      <c r="I39" s="710" t="s">
        <v>873</v>
      </c>
      <c r="J39" s="681"/>
      <c r="K39" s="710" t="s">
        <v>996</v>
      </c>
      <c r="L39" s="681"/>
      <c r="M39" s="680" t="s">
        <v>878</v>
      </c>
      <c r="N39" s="704"/>
    </row>
    <row r="40" spans="1:22" x14ac:dyDescent="0.25">
      <c r="A40" s="711"/>
      <c r="B40" s="682"/>
      <c r="C40" s="711"/>
      <c r="D40" s="682"/>
      <c r="E40" s="711"/>
      <c r="F40" s="682"/>
      <c r="G40" s="711"/>
      <c r="H40" s="682"/>
      <c r="I40" s="711"/>
      <c r="J40" s="682"/>
      <c r="K40" s="711"/>
      <c r="L40" s="682"/>
      <c r="M40" s="682"/>
      <c r="N40" s="705"/>
    </row>
    <row r="41" spans="1:22" ht="13" x14ac:dyDescent="0.3">
      <c r="A41" s="709" t="s">
        <v>997</v>
      </c>
      <c r="B41" s="677"/>
      <c r="C41" s="709" t="s">
        <v>998</v>
      </c>
      <c r="D41" s="677"/>
      <c r="E41" s="709" t="s">
        <v>999</v>
      </c>
      <c r="F41" s="677"/>
      <c r="G41" s="709" t="s">
        <v>1000</v>
      </c>
      <c r="H41" s="677"/>
      <c r="I41" s="709" t="s">
        <v>1001</v>
      </c>
      <c r="J41" s="677"/>
      <c r="K41" s="709" t="s">
        <v>1002</v>
      </c>
      <c r="L41" s="677"/>
      <c r="M41" s="762" t="s">
        <v>1003</v>
      </c>
      <c r="N41" s="763"/>
    </row>
    <row r="42" spans="1:22" x14ac:dyDescent="0.25">
      <c r="A42" s="674" t="s">
        <v>512</v>
      </c>
      <c r="B42" s="675"/>
      <c r="C42" s="674" t="s">
        <v>513</v>
      </c>
      <c r="D42" s="675"/>
      <c r="E42" s="674" t="s">
        <v>514</v>
      </c>
      <c r="F42" s="675"/>
      <c r="G42" s="674" t="s">
        <v>331</v>
      </c>
      <c r="H42" s="675"/>
      <c r="I42" s="674" t="s">
        <v>332</v>
      </c>
      <c r="J42" s="675"/>
      <c r="K42" s="674" t="s">
        <v>333</v>
      </c>
      <c r="L42" s="675"/>
      <c r="M42" s="676" t="s">
        <v>334</v>
      </c>
      <c r="N42" s="832"/>
    </row>
    <row r="43" spans="1:22" ht="13" thickBot="1" x14ac:dyDescent="0.3">
      <c r="A43" s="700">
        <f>IF(J9="3ST",IF(J15=0,1,IF(J15=1,'Reference Tables (Intersection)'!AB9,'Reference Tables (Intersection)'!AC9)),IF(J9="4ST",IF(J15=0,1,IF(J15=1,'Reference Tables (Intersection)'!AB11,'Reference Tables (Intersection)'!AC11)),IF(J18=0,1,IF(J18=1,VLOOKUP(J9,'Reference Tables (Intersection)'!Y10:AE12,4,FALSE),IF(J18=2,VLOOKUP(J9,'Reference Tables (Intersection)'!Y10:AE12,5,FALSE),IF(J18=3,VLOOKUP(J9,'Reference Tables (Intersection)'!Y10:AE12,6,FALSE),VLOOKUP(J9,'Reference Tables (Intersection)'!Y10:AE12,7,FALSE)))))))</f>
        <v>1</v>
      </c>
      <c r="B43" s="701"/>
      <c r="C43" s="700">
        <f>IF($J$9="3ST",1,IF($J$9="4ST",1,T24))</f>
        <v>1</v>
      </c>
      <c r="D43" s="701"/>
      <c r="E43" s="700">
        <f>IF(J9="3ST",POWER(0.86,J16),IF(J9="4ST",POWER(0.86,J16),POWER(0.96,J19)))</f>
        <v>1</v>
      </c>
      <c r="F43" s="701"/>
      <c r="G43" s="700">
        <f>IF($J$9="3ST",1,IF(J$9="4ST",1,POWER(0.98,$J$25)))</f>
        <v>1</v>
      </c>
      <c r="H43" s="701"/>
      <c r="I43" s="700">
        <f>IF($J$12="Not Present",1,(1-(IF('Reference Tables (Intersection)'!$C$81="No",VLOOKUP($J$9,'Reference Tables (Intersection)'!$B$84:$G$87,3,FALSE),VLOOKUP($J$9,'Reference Tables (Intersection)'!$B$84:$G$87,5,FALSE)))*0.38))</f>
        <v>1</v>
      </c>
      <c r="J43" s="833"/>
      <c r="K43" s="700">
        <f>IF($J$26="Not Present",1,$T$34)</f>
        <v>1</v>
      </c>
      <c r="L43" s="833"/>
      <c r="M43" s="683">
        <f>+A43*C43*E43*G43*I43*K43</f>
        <v>1</v>
      </c>
      <c r="N43" s="702"/>
    </row>
    <row r="45" spans="1:22" x14ac:dyDescent="0.25">
      <c r="A45" s="512"/>
      <c r="B45" s="703"/>
      <c r="E45" s="22"/>
    </row>
    <row r="46" spans="1:22" ht="13" thickBot="1" x14ac:dyDescent="0.3"/>
    <row r="47" spans="1:22" ht="14" thickTop="1" thickBot="1" x14ac:dyDescent="0.3">
      <c r="A47" s="529" t="s">
        <v>335</v>
      </c>
      <c r="B47" s="599"/>
      <c r="C47" s="599"/>
      <c r="D47" s="599"/>
      <c r="E47" s="599"/>
      <c r="F47" s="599"/>
      <c r="G47" s="599"/>
      <c r="H47" s="599"/>
      <c r="I47" s="599"/>
      <c r="J47" s="615"/>
      <c r="K47" s="615"/>
      <c r="L47" s="615"/>
      <c r="M47" s="615"/>
      <c r="N47" s="615"/>
    </row>
    <row r="48" spans="1:22" x14ac:dyDescent="0.25">
      <c r="A48" s="608" t="s">
        <v>16</v>
      </c>
      <c r="B48" s="460"/>
      <c r="C48" s="602" t="s">
        <v>17</v>
      </c>
      <c r="D48" s="844"/>
      <c r="E48" s="840"/>
      <c r="F48" s="839" t="s">
        <v>18</v>
      </c>
      <c r="G48" s="840"/>
      <c r="H48" s="162" t="s">
        <v>19</v>
      </c>
      <c r="I48" s="616" t="s">
        <v>20</v>
      </c>
      <c r="J48" s="460"/>
      <c r="K48" s="2" t="s">
        <v>21</v>
      </c>
      <c r="L48" s="30" t="s">
        <v>22</v>
      </c>
      <c r="M48" s="30" t="s">
        <v>23</v>
      </c>
      <c r="N48" s="159" t="s">
        <v>24</v>
      </c>
    </row>
    <row r="49" spans="1:14" x14ac:dyDescent="0.25">
      <c r="A49" s="697" t="s">
        <v>29</v>
      </c>
      <c r="B49" s="698"/>
      <c r="C49" s="834" t="s">
        <v>79</v>
      </c>
      <c r="D49" s="835"/>
      <c r="E49" s="836"/>
      <c r="F49" s="841" t="s">
        <v>30</v>
      </c>
      <c r="G49" s="836"/>
      <c r="H49" s="838" t="s">
        <v>336</v>
      </c>
      <c r="I49" s="549" t="s">
        <v>192</v>
      </c>
      <c r="J49" s="622"/>
      <c r="K49" s="552" t="s">
        <v>338</v>
      </c>
      <c r="L49" s="549" t="s">
        <v>925</v>
      </c>
      <c r="M49" s="549" t="s">
        <v>99</v>
      </c>
      <c r="N49" s="845" t="s">
        <v>339</v>
      </c>
    </row>
    <row r="50" spans="1:14" x14ac:dyDescent="0.25">
      <c r="A50" s="699"/>
      <c r="B50" s="699"/>
      <c r="C50" s="574"/>
      <c r="D50" s="837"/>
      <c r="E50" s="565"/>
      <c r="F50" s="574"/>
      <c r="G50" s="565"/>
      <c r="H50" s="682"/>
      <c r="I50" s="622"/>
      <c r="J50" s="622"/>
      <c r="K50" s="554"/>
      <c r="L50" s="554"/>
      <c r="M50" s="554"/>
      <c r="N50" s="845"/>
    </row>
    <row r="51" spans="1:14" x14ac:dyDescent="0.25">
      <c r="A51" s="699"/>
      <c r="B51" s="699"/>
      <c r="C51" s="731" t="s">
        <v>515</v>
      </c>
      <c r="D51" s="648"/>
      <c r="E51" s="657"/>
      <c r="F51" s="842" t="s">
        <v>515</v>
      </c>
      <c r="G51" s="836"/>
      <c r="H51" s="843" t="s">
        <v>444</v>
      </c>
      <c r="I51" s="622"/>
      <c r="J51" s="622"/>
      <c r="K51" s="496" t="s">
        <v>196</v>
      </c>
      <c r="L51" s="619" t="s">
        <v>347</v>
      </c>
      <c r="M51" s="550"/>
      <c r="N51" s="846" t="s">
        <v>198</v>
      </c>
    </row>
    <row r="52" spans="1:14" x14ac:dyDescent="0.25">
      <c r="A52" s="699"/>
      <c r="B52" s="699"/>
      <c r="C52" s="77" t="s">
        <v>80</v>
      </c>
      <c r="D52" s="77" t="s">
        <v>81</v>
      </c>
      <c r="E52" s="77" t="s">
        <v>337</v>
      </c>
      <c r="F52" s="574"/>
      <c r="G52" s="565"/>
      <c r="H52" s="682"/>
      <c r="I52" s="622"/>
      <c r="J52" s="622"/>
      <c r="K52" s="464"/>
      <c r="L52" s="554"/>
      <c r="M52" s="550"/>
      <c r="N52" s="847"/>
    </row>
    <row r="53" spans="1:14" x14ac:dyDescent="0.25">
      <c r="A53" s="657" t="s">
        <v>31</v>
      </c>
      <c r="B53" s="568"/>
      <c r="C53" s="11">
        <f>VLOOKUP($J$9,'Reference Tables (Intersection)'!$B$9:$F$12,2,FALSE)</f>
        <v>-10.99</v>
      </c>
      <c r="D53" s="11">
        <f>VLOOKUP($J$9,'Reference Tables (Intersection)'!$B$9:$F$12,3,FALSE)</f>
        <v>1.07</v>
      </c>
      <c r="E53" s="11">
        <f>VLOOKUP($J$9,'Reference Tables (Intersection)'!$B$9:$F$12,4,FALSE)</f>
        <v>0.23</v>
      </c>
      <c r="F53" s="629">
        <f>VLOOKUP($J$9,'Reference Tables (Intersection)'!$B$9:$F$12,5,FALSE)</f>
        <v>0.39</v>
      </c>
      <c r="G53" s="544"/>
      <c r="H53" s="163">
        <f>EXP(C53+(D53*LN($J$10))+(E53*LN($J$11)))</f>
        <v>2.6736443947213613</v>
      </c>
      <c r="I53" s="503">
        <v>1</v>
      </c>
      <c r="J53" s="613"/>
      <c r="K53" s="3">
        <f>H53*I53</f>
        <v>2.6736443947213613</v>
      </c>
      <c r="L53" s="11">
        <f>+M43</f>
        <v>1</v>
      </c>
      <c r="M53" s="11">
        <f>IF($J$9="3ST",$S$10,IF($J$9="4ST",$S$11,IF($J$9="3SG",$S$12,IF($J$9="4SG",$S$13,$S$14))))</f>
        <v>1</v>
      </c>
      <c r="N53" s="160">
        <f>+K53*L53*M53</f>
        <v>2.6736443947213613</v>
      </c>
    </row>
    <row r="54" spans="1:14" ht="15.5" x14ac:dyDescent="0.4">
      <c r="A54" s="706" t="s">
        <v>32</v>
      </c>
      <c r="B54" s="706"/>
      <c r="C54" s="668">
        <f>VLOOKUP($J$9,'Reference Tables (Intersection)'!$B$14:$F$17,2,FALSE)</f>
        <v>-13.14</v>
      </c>
      <c r="D54" s="668">
        <f>VLOOKUP($J$9,'Reference Tables (Intersection)'!$B$14:$F$17,3,FALSE)</f>
        <v>1.18</v>
      </c>
      <c r="E54" s="668">
        <f>VLOOKUP($J$9,'Reference Tables (Intersection)'!$B$14:$F$17,4,FALSE)</f>
        <v>0.22</v>
      </c>
      <c r="F54" s="687">
        <f>VLOOKUP($J$9,'Reference Tables (Intersection)'!$B$14:$F$17,5,FALSE)</f>
        <v>0.33</v>
      </c>
      <c r="G54" s="688"/>
      <c r="H54" s="851">
        <f>EXP(C54+(D54*LN($J$10))+(E54*LN($J$11)))</f>
        <v>0.78229491589400513</v>
      </c>
      <c r="I54" s="553" t="s">
        <v>199</v>
      </c>
      <c r="J54" s="455"/>
      <c r="K54" s="666">
        <f>H53*I55</f>
        <v>0.8115267159585341</v>
      </c>
      <c r="L54" s="668">
        <f>+M43</f>
        <v>1</v>
      </c>
      <c r="M54" s="668">
        <f>IF($J$9="3ST",$S$10,IF($J$9="4ST",$S$11,IF($J$9="3SG",$S$12,IF($J$9="4SG",$S$13,$S$14))))</f>
        <v>1</v>
      </c>
      <c r="N54" s="848">
        <f>+K54*L54*M54</f>
        <v>0.8115267159585341</v>
      </c>
    </row>
    <row r="55" spans="1:14" x14ac:dyDescent="0.25">
      <c r="A55" s="707"/>
      <c r="B55" s="707"/>
      <c r="C55" s="627"/>
      <c r="D55" s="627"/>
      <c r="E55" s="627"/>
      <c r="F55" s="628"/>
      <c r="G55" s="689"/>
      <c r="H55" s="853"/>
      <c r="I55" s="503">
        <f>+H54/(H54+H56)</f>
        <v>0.30352829178059365</v>
      </c>
      <c r="J55" s="613"/>
      <c r="K55" s="696"/>
      <c r="L55" s="627"/>
      <c r="M55" s="627"/>
      <c r="N55" s="850"/>
    </row>
    <row r="56" spans="1:14" ht="15.5" x14ac:dyDescent="0.4">
      <c r="A56" s="465" t="s">
        <v>33</v>
      </c>
      <c r="B56" s="670"/>
      <c r="C56" s="668">
        <f>VLOOKUP($J$9,'Reference Tables (Intersection)'!$B$19:$F$22,2,FALSE)</f>
        <v>-11.02</v>
      </c>
      <c r="D56" s="668">
        <f>VLOOKUP($J$9,'Reference Tables (Intersection)'!$B$19:$F$22,3,FALSE)</f>
        <v>1.02</v>
      </c>
      <c r="E56" s="668">
        <f>VLOOKUP($J$9,'Reference Tables (Intersection)'!$B$19:$F$22,4,FALSE)</f>
        <v>0.24</v>
      </c>
      <c r="F56" s="687">
        <f>VLOOKUP($J$9,'Reference Tables (Intersection)'!$B$19:$F$22,5,FALSE)</f>
        <v>0.44</v>
      </c>
      <c r="G56" s="688"/>
      <c r="H56" s="851">
        <f>EXP(C56+(D56*LN($J$10))+(E56*LN($J$11)))</f>
        <v>1.7950428054261853</v>
      </c>
      <c r="I56" s="553" t="s">
        <v>200</v>
      </c>
      <c r="J56" s="455"/>
      <c r="K56" s="666">
        <f>H53*I57</f>
        <v>1.8621176787628271</v>
      </c>
      <c r="L56" s="668">
        <f>+M43</f>
        <v>1</v>
      </c>
      <c r="M56" s="668">
        <f>IF($J$9="3ST",$S$10,IF($J$9="4ST",$S$11,IF($J$9="3SG",$S$12,IF($J$9="4SG",$S$13,$S$14))))</f>
        <v>1</v>
      </c>
      <c r="N56" s="848">
        <f>+K56*L56*M56</f>
        <v>1.8621176787628271</v>
      </c>
    </row>
    <row r="57" spans="1:14" ht="13" thickBot="1" x14ac:dyDescent="0.3">
      <c r="A57" s="671"/>
      <c r="B57" s="672"/>
      <c r="C57" s="669"/>
      <c r="D57" s="669"/>
      <c r="E57" s="669"/>
      <c r="F57" s="690"/>
      <c r="G57" s="691"/>
      <c r="H57" s="852"/>
      <c r="I57" s="518">
        <f>I53-I55</f>
        <v>0.69647170821940629</v>
      </c>
      <c r="J57" s="520"/>
      <c r="K57" s="667"/>
      <c r="L57" s="669"/>
      <c r="M57" s="669"/>
      <c r="N57" s="849"/>
    </row>
    <row r="60" spans="1:14" ht="13" thickBot="1" x14ac:dyDescent="0.3"/>
    <row r="61" spans="1:14" ht="14" thickTop="1" thickBot="1" x14ac:dyDescent="0.3">
      <c r="A61" s="529" t="s">
        <v>340</v>
      </c>
      <c r="B61" s="599"/>
      <c r="C61" s="599"/>
      <c r="D61" s="599"/>
      <c r="E61" s="599"/>
      <c r="F61" s="599"/>
      <c r="G61" s="599"/>
      <c r="H61" s="599"/>
      <c r="I61" s="600"/>
      <c r="J61" s="600"/>
      <c r="K61" s="600"/>
      <c r="L61" s="600"/>
      <c r="M61" s="600"/>
      <c r="N61" s="600"/>
    </row>
    <row r="62" spans="1:14" x14ac:dyDescent="0.25">
      <c r="A62" s="608" t="s">
        <v>16</v>
      </c>
      <c r="B62" s="460"/>
      <c r="C62" s="460"/>
      <c r="D62" s="616" t="s">
        <v>17</v>
      </c>
      <c r="E62" s="659"/>
      <c r="F62" s="616" t="s">
        <v>18</v>
      </c>
      <c r="G62" s="616"/>
      <c r="H62" s="514" t="s">
        <v>19</v>
      </c>
      <c r="I62" s="659"/>
      <c r="J62" s="616" t="s">
        <v>20</v>
      </c>
      <c r="K62" s="616"/>
      <c r="L62" s="514" t="s">
        <v>21</v>
      </c>
      <c r="M62" s="659"/>
      <c r="N62" s="660"/>
    </row>
    <row r="63" spans="1:14" x14ac:dyDescent="0.25">
      <c r="A63" s="673" t="s">
        <v>34</v>
      </c>
      <c r="B63" s="549"/>
      <c r="C63" s="522"/>
      <c r="D63" s="494" t="s">
        <v>35</v>
      </c>
      <c r="E63" s="501"/>
      <c r="F63" s="494" t="s">
        <v>341</v>
      </c>
      <c r="G63" s="494"/>
      <c r="H63" s="494" t="s">
        <v>227</v>
      </c>
      <c r="I63" s="501"/>
      <c r="J63" s="494" t="s">
        <v>343</v>
      </c>
      <c r="K63" s="494"/>
      <c r="L63" s="494" t="s">
        <v>344</v>
      </c>
      <c r="M63" s="494"/>
      <c r="N63" s="661"/>
    </row>
    <row r="64" spans="1:14" x14ac:dyDescent="0.25">
      <c r="A64" s="673"/>
      <c r="B64" s="549"/>
      <c r="C64" s="522"/>
      <c r="D64" s="501"/>
      <c r="E64" s="501"/>
      <c r="F64" s="501"/>
      <c r="G64" s="501"/>
      <c r="H64" s="501"/>
      <c r="I64" s="501"/>
      <c r="J64" s="501"/>
      <c r="K64" s="501"/>
      <c r="L64" s="501"/>
      <c r="M64" s="501"/>
      <c r="N64" s="661"/>
    </row>
    <row r="65" spans="1:14" x14ac:dyDescent="0.25">
      <c r="A65" s="475"/>
      <c r="B65" s="455"/>
      <c r="C65" s="522"/>
      <c r="D65" s="501"/>
      <c r="E65" s="501"/>
      <c r="F65" s="501"/>
      <c r="G65" s="501"/>
      <c r="H65" s="501"/>
      <c r="I65" s="501"/>
      <c r="J65" s="501"/>
      <c r="K65" s="501"/>
      <c r="L65" s="501"/>
      <c r="M65" s="501"/>
      <c r="N65" s="661"/>
    </row>
    <row r="66" spans="1:14" x14ac:dyDescent="0.25">
      <c r="A66" s="475"/>
      <c r="B66" s="455"/>
      <c r="C66" s="522"/>
      <c r="D66" s="496" t="s">
        <v>516</v>
      </c>
      <c r="E66" s="522"/>
      <c r="F66" s="570" t="s">
        <v>342</v>
      </c>
      <c r="G66" s="612"/>
      <c r="H66" s="496" t="s">
        <v>516</v>
      </c>
      <c r="I66" s="522"/>
      <c r="J66" s="570" t="s">
        <v>352</v>
      </c>
      <c r="K66" s="612"/>
      <c r="L66" s="570" t="s">
        <v>352</v>
      </c>
      <c r="M66" s="612"/>
      <c r="N66" s="568"/>
    </row>
    <row r="67" spans="1:14" x14ac:dyDescent="0.25">
      <c r="A67" s="475"/>
      <c r="B67" s="455"/>
      <c r="C67" s="522"/>
      <c r="D67" s="455"/>
      <c r="E67" s="522"/>
      <c r="F67" s="455"/>
      <c r="G67" s="455"/>
      <c r="H67" s="455"/>
      <c r="I67" s="522"/>
      <c r="J67" s="455"/>
      <c r="K67" s="455"/>
      <c r="L67" s="455"/>
      <c r="M67" s="455"/>
      <c r="N67" s="568"/>
    </row>
    <row r="68" spans="1:14" x14ac:dyDescent="0.25">
      <c r="A68" s="657" t="s">
        <v>31</v>
      </c>
      <c r="B68" s="522"/>
      <c r="C68" s="522"/>
      <c r="D68" s="502">
        <v>1</v>
      </c>
      <c r="E68" s="502"/>
      <c r="F68" s="503">
        <f>+N54</f>
        <v>0.8115267159585341</v>
      </c>
      <c r="G68" s="475"/>
      <c r="H68" s="502">
        <v>1</v>
      </c>
      <c r="I68" s="502"/>
      <c r="J68" s="503">
        <f>+N56</f>
        <v>1.8621176787628271</v>
      </c>
      <c r="K68" s="475"/>
      <c r="L68" s="503">
        <f>+N53</f>
        <v>2.6736443947213613</v>
      </c>
      <c r="M68" s="648"/>
      <c r="N68" s="648"/>
    </row>
    <row r="69" spans="1:14" ht="15.5" x14ac:dyDescent="0.4">
      <c r="A69" s="657"/>
      <c r="B69" s="522"/>
      <c r="C69" s="522"/>
      <c r="D69" s="522"/>
      <c r="E69" s="522"/>
      <c r="F69" s="623" t="s">
        <v>218</v>
      </c>
      <c r="G69" s="455"/>
      <c r="H69" s="522"/>
      <c r="I69" s="522"/>
      <c r="J69" s="623" t="s">
        <v>219</v>
      </c>
      <c r="K69" s="455"/>
      <c r="L69" s="623" t="s">
        <v>220</v>
      </c>
      <c r="M69" s="455"/>
      <c r="N69" s="509"/>
    </row>
    <row r="70" spans="1:14" x14ac:dyDescent="0.25">
      <c r="A70" s="610" t="s">
        <v>38</v>
      </c>
      <c r="B70" s="522"/>
      <c r="C70" s="522"/>
      <c r="D70" s="503">
        <f>IF('Reference Tables (Intersection)'!$C$33="No", HLOOKUP($J$9,'Reference Tables (Intersection)'!$B$35:$K$41,3,FALSE),HLOOKUP($J$9,'Reference Tables (Intersection)'!$B$44:$K$50,3,FALSE))</f>
        <v>0.45</v>
      </c>
      <c r="E70" s="613"/>
      <c r="F70" s="503">
        <f>+D70*$F$68</f>
        <v>0.36518702218134036</v>
      </c>
      <c r="G70" s="613"/>
      <c r="H70" s="503">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0.48299999999999998</v>
      </c>
      <c r="I70" s="613"/>
      <c r="J70" s="503">
        <f>+H70*$J$68</f>
        <v>0.89940283884244543</v>
      </c>
      <c r="K70" s="613"/>
      <c r="L70" s="502">
        <f>+F70+J70</f>
        <v>1.2645898610237858</v>
      </c>
      <c r="M70" s="502"/>
      <c r="N70" s="503"/>
    </row>
    <row r="71" spans="1:14" x14ac:dyDescent="0.25">
      <c r="A71" s="624" t="s">
        <v>37</v>
      </c>
      <c r="B71" s="522"/>
      <c r="C71" s="522"/>
      <c r="D71" s="503">
        <f>IF('Reference Tables (Intersection)'!$C$33="No", HLOOKUP($J$9,'Reference Tables (Intersection)'!$B$35:$K$41,4,FALSE),HLOOKUP($J$9,'Reference Tables (Intersection)'!$B$44:$K$50,4,FALSE))</f>
        <v>4.9000000000000002E-2</v>
      </c>
      <c r="E71" s="613"/>
      <c r="F71" s="503">
        <f>+D71*$F$68</f>
        <v>3.9764809081968173E-2</v>
      </c>
      <c r="G71" s="613"/>
      <c r="H71" s="503">
        <f>IF('Reference Tables (Intersection)'!$C$33="No",IF($J$9="3ST",'Reference Tables (Intersection)'!E38,IF($J$9="3SG",'Reference Tables (Intersection)'!G38,IF($J$9="4ST",'Reference Tables (Intersection)'!I38,'Reference Tables (Intersection)'!K38))),IF($J$9="3ST",'Reference Tables (Intersection)'!E47,IF($J$9="3SG",'Reference Tables (Intersection)'!G47,IF($J$9="4ST",'Reference Tables (Intersection)'!I47,'Reference Tables (Intersection)'!K47))))</f>
        <v>0.03</v>
      </c>
      <c r="I71" s="613"/>
      <c r="J71" s="503">
        <f>+H71*$J$68</f>
        <v>5.5863530362884807E-2</v>
      </c>
      <c r="K71" s="613"/>
      <c r="L71" s="502">
        <f>+F71+J71</f>
        <v>9.5628339444852981E-2</v>
      </c>
      <c r="M71" s="502"/>
      <c r="N71" s="503"/>
    </row>
    <row r="72" spans="1:14" x14ac:dyDescent="0.25">
      <c r="A72" s="624" t="s">
        <v>36</v>
      </c>
      <c r="B72" s="522"/>
      <c r="C72" s="522"/>
      <c r="D72" s="503">
        <f>IF('Reference Tables (Intersection)'!$C$33="No", HLOOKUP($J$9,'Reference Tables (Intersection)'!$B$35:$K$41,5,FALSE),HLOOKUP($J$9,'Reference Tables (Intersection)'!$B$44:$K$50,5,FALSE))</f>
        <v>0.34699999999999998</v>
      </c>
      <c r="E72" s="613"/>
      <c r="F72" s="503">
        <f>+D72*$F$68</f>
        <v>0.28159977043761131</v>
      </c>
      <c r="G72" s="613"/>
      <c r="H72" s="503">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0.24399999999999999</v>
      </c>
      <c r="I72" s="613"/>
      <c r="J72" s="503">
        <f>+H72*$J$68</f>
        <v>0.45435671361812979</v>
      </c>
      <c r="K72" s="613"/>
      <c r="L72" s="502">
        <f>+F72+J72</f>
        <v>0.7359564840557411</v>
      </c>
      <c r="M72" s="502"/>
      <c r="N72" s="503"/>
    </row>
    <row r="73" spans="1:14" x14ac:dyDescent="0.25">
      <c r="A73" s="624" t="s">
        <v>86</v>
      </c>
      <c r="B73" s="522"/>
      <c r="C73" s="522"/>
      <c r="D73" s="503">
        <f>IF('Reference Tables (Intersection)'!$C$33="No", HLOOKUP($J$9,'Reference Tables (Intersection)'!$B$35:$K$41,6,FALSE),HLOOKUP($J$9,'Reference Tables (Intersection)'!$B$44:$K$50,6,FALSE))</f>
        <v>9.9000000000000005E-2</v>
      </c>
      <c r="E73" s="613"/>
      <c r="F73" s="503">
        <f>+D73*$F$68</f>
        <v>8.0341144879894882E-2</v>
      </c>
      <c r="G73" s="613"/>
      <c r="H73" s="503">
        <f>IF('Reference Tables (Intersection)'!$C$33="No",IF($J$9="3ST",'Reference Tables (Intersection)'!E40,IF($J$9="3SG",'Reference Tables (Intersection)'!G40,IF($J$9="4ST",'Reference Tables (Intersection)'!I40,'Reference Tables (Intersection)'!K40))),IF($J$9="3ST",'Reference Tables (Intersection)'!E49,IF($J$9="3SG",'Reference Tables (Intersection)'!G49,IF($J$9="4ST",'Reference Tables (Intersection)'!I49,'Reference Tables (Intersection)'!K49))))</f>
        <v>3.2000000000000001E-2</v>
      </c>
      <c r="I73" s="613"/>
      <c r="J73" s="503">
        <f>+H73*$J$68</f>
        <v>5.9587765720410468E-2</v>
      </c>
      <c r="K73" s="613"/>
      <c r="L73" s="502">
        <f>+F73+J73</f>
        <v>0.13992891060030535</v>
      </c>
      <c r="M73" s="502"/>
      <c r="N73" s="503"/>
    </row>
    <row r="74" spans="1:14" ht="13" thickBot="1" x14ac:dyDescent="0.3">
      <c r="A74" s="656" t="s">
        <v>226</v>
      </c>
      <c r="B74" s="526"/>
      <c r="C74" s="526"/>
      <c r="D74" s="518">
        <f>IF('Reference Tables (Intersection)'!$C$33="No", HLOOKUP($J$9,'Reference Tables (Intersection)'!$B$35:$K$41,7,FALSE),HLOOKUP($J$9,'Reference Tables (Intersection)'!$B$44:$K$50,7,FALSE))</f>
        <v>5.5E-2</v>
      </c>
      <c r="E74" s="520"/>
      <c r="F74" s="518">
        <f>+D74*$F$68</f>
        <v>4.4633969377719372E-2</v>
      </c>
      <c r="G74" s="520"/>
      <c r="H74" s="518">
        <f>IF('Reference Tables (Intersection)'!$C$33="No",IF($J$9="3ST",'Reference Tables (Intersection)'!E41,IF($J$9="3SG",'Reference Tables (Intersection)'!G41,IF($J$9="4ST",'Reference Tables (Intersection)'!I41,'Reference Tables (Intersection)'!K41))),IF($J$9="3ST",'Reference Tables (Intersection)'!E50,IF($J$9="3SG",'Reference Tables (Intersection)'!G50,IF($J$9="4ST",'Reference Tables (Intersection)'!I50,'Reference Tables (Intersection)'!K50))))</f>
        <v>0.21099999999999999</v>
      </c>
      <c r="I74" s="520"/>
      <c r="J74" s="518">
        <f>+H74*$J$68</f>
        <v>0.3929068302189565</v>
      </c>
      <c r="K74" s="520"/>
      <c r="L74" s="491">
        <f>+F74+J74</f>
        <v>0.43754079959667586</v>
      </c>
      <c r="M74" s="491"/>
      <c r="N74" s="518"/>
    </row>
    <row r="75" spans="1:14" ht="12.75" customHeight="1" x14ac:dyDescent="0.25"/>
    <row r="77" spans="1:14" ht="13" thickBot="1" x14ac:dyDescent="0.3"/>
    <row r="78" spans="1:14" ht="14" thickTop="1" thickBot="1" x14ac:dyDescent="0.3">
      <c r="A78" s="529" t="s">
        <v>345</v>
      </c>
      <c r="B78" s="599"/>
      <c r="C78" s="599"/>
      <c r="D78" s="599"/>
      <c r="E78" s="599"/>
      <c r="F78" s="599"/>
      <c r="G78" s="599"/>
      <c r="H78" s="599"/>
      <c r="I78" s="599"/>
      <c r="J78" s="615"/>
      <c r="K78" s="615"/>
      <c r="L78" s="615"/>
      <c r="M78" s="615"/>
      <c r="N78" s="615"/>
    </row>
    <row r="79" spans="1:14" x14ac:dyDescent="0.25">
      <c r="A79" s="608" t="s">
        <v>16</v>
      </c>
      <c r="B79" s="460"/>
      <c r="C79" s="602" t="s">
        <v>17</v>
      </c>
      <c r="D79" s="844"/>
      <c r="E79" s="840"/>
      <c r="F79" s="839" t="s">
        <v>18</v>
      </c>
      <c r="G79" s="840"/>
      <c r="H79" s="162" t="s">
        <v>19</v>
      </c>
      <c r="I79" s="616" t="s">
        <v>20</v>
      </c>
      <c r="J79" s="460"/>
      <c r="K79" s="2" t="s">
        <v>21</v>
      </c>
      <c r="L79" s="30" t="s">
        <v>22</v>
      </c>
      <c r="M79" s="30" t="s">
        <v>23</v>
      </c>
      <c r="N79" s="159" t="s">
        <v>24</v>
      </c>
    </row>
    <row r="80" spans="1:14" x14ac:dyDescent="0.25">
      <c r="A80" s="800" t="s">
        <v>29</v>
      </c>
      <c r="B80" s="857"/>
      <c r="C80" s="834" t="s">
        <v>79</v>
      </c>
      <c r="D80" s="835"/>
      <c r="E80" s="836"/>
      <c r="F80" s="841" t="s">
        <v>30</v>
      </c>
      <c r="G80" s="836"/>
      <c r="H80" s="838" t="s">
        <v>346</v>
      </c>
      <c r="I80" s="549" t="s">
        <v>192</v>
      </c>
      <c r="J80" s="622"/>
      <c r="K80" s="552" t="s">
        <v>338</v>
      </c>
      <c r="L80" s="549" t="s">
        <v>925</v>
      </c>
      <c r="M80" s="549" t="s">
        <v>99</v>
      </c>
      <c r="N80" s="845" t="s">
        <v>348</v>
      </c>
    </row>
    <row r="81" spans="1:14" x14ac:dyDescent="0.25">
      <c r="A81" s="858"/>
      <c r="B81" s="651"/>
      <c r="C81" s="574"/>
      <c r="D81" s="837"/>
      <c r="E81" s="565"/>
      <c r="F81" s="574"/>
      <c r="G81" s="565"/>
      <c r="H81" s="682"/>
      <c r="I81" s="622"/>
      <c r="J81" s="622"/>
      <c r="K81" s="554"/>
      <c r="L81" s="554"/>
      <c r="M81" s="554"/>
      <c r="N81" s="845"/>
    </row>
    <row r="82" spans="1:14" x14ac:dyDescent="0.25">
      <c r="A82" s="858"/>
      <c r="B82" s="651"/>
      <c r="C82" s="731" t="s">
        <v>517</v>
      </c>
      <c r="D82" s="648"/>
      <c r="E82" s="657"/>
      <c r="F82" s="842" t="s">
        <v>517</v>
      </c>
      <c r="G82" s="861"/>
      <c r="H82" s="843" t="s">
        <v>445</v>
      </c>
      <c r="I82" s="622"/>
      <c r="J82" s="622"/>
      <c r="K82" s="496" t="s">
        <v>196</v>
      </c>
      <c r="L82" s="619" t="s">
        <v>347</v>
      </c>
      <c r="M82" s="550"/>
      <c r="N82" s="846" t="s">
        <v>198</v>
      </c>
    </row>
    <row r="83" spans="1:14" x14ac:dyDescent="0.25">
      <c r="A83" s="858"/>
      <c r="B83" s="651"/>
      <c r="C83" s="625" t="s">
        <v>80</v>
      </c>
      <c r="D83" s="625" t="s">
        <v>81</v>
      </c>
      <c r="E83" s="625" t="s">
        <v>337</v>
      </c>
      <c r="F83" s="530"/>
      <c r="G83" s="531"/>
      <c r="H83" s="862"/>
      <c r="I83" s="622"/>
      <c r="J83" s="622"/>
      <c r="K83" s="464"/>
      <c r="L83" s="554"/>
      <c r="M83" s="550"/>
      <c r="N83" s="847"/>
    </row>
    <row r="84" spans="1:14" x14ac:dyDescent="0.25">
      <c r="A84" s="859"/>
      <c r="B84" s="653"/>
      <c r="C84" s="860"/>
      <c r="D84" s="860"/>
      <c r="E84" s="860"/>
      <c r="F84" s="532"/>
      <c r="G84" s="533"/>
      <c r="H84" s="863"/>
      <c r="I84" s="116"/>
      <c r="J84" s="119"/>
      <c r="K84" s="113"/>
      <c r="L84" s="114"/>
      <c r="M84" s="115"/>
      <c r="N84" s="161"/>
    </row>
    <row r="85" spans="1:14" x14ac:dyDescent="0.25">
      <c r="A85" s="657" t="s">
        <v>31</v>
      </c>
      <c r="B85" s="568"/>
      <c r="C85" s="11">
        <f>VLOOKUP($J$9,'Reference Tables (Intersection)'!$I$9:$M$12,2,FALSE)</f>
        <v>-10.210000000000001</v>
      </c>
      <c r="D85" s="11">
        <f>VLOOKUP($J$9,'Reference Tables (Intersection)'!$I$9:$M$12,3,FALSE)</f>
        <v>0.68</v>
      </c>
      <c r="E85" s="11">
        <f>VLOOKUP($J$9,'Reference Tables (Intersection)'!$I$9:$M$12,4,FALSE)</f>
        <v>0.27</v>
      </c>
      <c r="F85" s="474">
        <f>VLOOKUP($J$9,'Reference Tables (Intersection)'!$I$9:$M$12,5,FALSE)</f>
        <v>0.36</v>
      </c>
      <c r="G85" s="657"/>
      <c r="H85" s="163">
        <f>EXP(C85+(D85*LN($J$10))+(E85*LN($J$11)))</f>
        <v>0.23219525459931692</v>
      </c>
      <c r="I85" s="503">
        <v>1</v>
      </c>
      <c r="J85" s="613"/>
      <c r="K85" s="3">
        <f>H85*I85</f>
        <v>0.23219525459931692</v>
      </c>
      <c r="L85" s="11">
        <f>+M43</f>
        <v>1</v>
      </c>
      <c r="M85" s="11">
        <f>IF($J$9="3ST",$S$10,IF($J$9="4ST",$S$11,IF($J$9="3SG",$S$12,IF($J$9="4SG",$S$13,$S$14))))</f>
        <v>1</v>
      </c>
      <c r="N85" s="160">
        <f>+K85*L85*M85</f>
        <v>0.23219525459931692</v>
      </c>
    </row>
    <row r="86" spans="1:14" ht="15.5" x14ac:dyDescent="0.4">
      <c r="A86" s="706" t="s">
        <v>32</v>
      </c>
      <c r="B86" s="706"/>
      <c r="C86" s="668">
        <f>VLOOKUP($J$9,'Reference Tables (Intersection)'!$I$14:$M$17,2,FALSE)</f>
        <v>-9.25</v>
      </c>
      <c r="D86" s="668">
        <f>VLOOKUP($J$9,'Reference Tables (Intersection)'!$I$14:$M$17,3,FALSE)</f>
        <v>0.43</v>
      </c>
      <c r="E86" s="668">
        <f>VLOOKUP($J$9,'Reference Tables (Intersection)'!$I$14:$M$17,4,FALSE)</f>
        <v>0.28999999999999998</v>
      </c>
      <c r="F86" s="854">
        <f>VLOOKUP($J$9,'Reference Tables (Intersection)'!$I$14:$M$17,5,FALSE)</f>
        <v>0.09</v>
      </c>
      <c r="G86" s="855"/>
      <c r="H86" s="851">
        <f>IF(J9="3ST",H85*0.31,IF(J9="4ST",H85*0.28,(EXP(C86+(D86*LN($J$10))+(E86*LN($J$11))))))</f>
        <v>7.2908143952781473E-2</v>
      </c>
      <c r="I86" s="553" t="s">
        <v>199</v>
      </c>
      <c r="J86" s="455"/>
      <c r="K86" s="666">
        <f>H85*I87</f>
        <v>7.3725978030109926E-2</v>
      </c>
      <c r="L86" s="668">
        <f>+M43</f>
        <v>1</v>
      </c>
      <c r="M86" s="668">
        <f>IF($J$9="3ST",$S$10,IF($J$9="4ST",$S$11,IF($J$9="3SG",$S$12,IF($J$9="4SG",$S$13,$S$14))))</f>
        <v>1</v>
      </c>
      <c r="N86" s="848">
        <f>+K86*L86*M86</f>
        <v>7.3725978030109926E-2</v>
      </c>
    </row>
    <row r="87" spans="1:14" x14ac:dyDescent="0.25">
      <c r="A87" s="707"/>
      <c r="B87" s="707"/>
      <c r="C87" s="627"/>
      <c r="D87" s="627"/>
      <c r="E87" s="627"/>
      <c r="F87" s="792"/>
      <c r="G87" s="856"/>
      <c r="H87" s="853"/>
      <c r="I87" s="503">
        <f>+H86/(H86+H88)</f>
        <v>0.31751716096581595</v>
      </c>
      <c r="J87" s="613"/>
      <c r="K87" s="696"/>
      <c r="L87" s="627"/>
      <c r="M87" s="627"/>
      <c r="N87" s="850"/>
    </row>
    <row r="88" spans="1:14" ht="15.5" x14ac:dyDescent="0.4">
      <c r="A88" s="465" t="s">
        <v>33</v>
      </c>
      <c r="B88" s="670"/>
      <c r="C88" s="865">
        <f>VLOOKUP($J$9,'Reference Tables (Intersection)'!$I$19:$M$22,2,FALSE)</f>
        <v>-11.34</v>
      </c>
      <c r="D88" s="668">
        <f>VLOOKUP($J$9,'Reference Tables (Intersection)'!$I$19:$M$22,3,FALSE)</f>
        <v>0.78</v>
      </c>
      <c r="E88" s="668">
        <f>VLOOKUP($J$9,'Reference Tables (Intersection)'!$I$19:$M$22,4,FALSE)</f>
        <v>0.25</v>
      </c>
      <c r="F88" s="854">
        <f>VLOOKUP($J$9,'Reference Tables (Intersection)'!$I$19:$M$22,5,FALSE)</f>
        <v>0.44</v>
      </c>
      <c r="G88" s="855"/>
      <c r="H88" s="864">
        <f>EXP(C88+(D88*LN($J$10))+(E88*LN($J$11)))</f>
        <v>0.15671139450306534</v>
      </c>
      <c r="I88" s="553" t="s">
        <v>200</v>
      </c>
      <c r="J88" s="455"/>
      <c r="K88" s="666">
        <f>H85*I89</f>
        <v>0.15846927656920698</v>
      </c>
      <c r="L88" s="668">
        <f>+M43</f>
        <v>1</v>
      </c>
      <c r="M88" s="668">
        <f>IF($J$9="3ST",$S$10,IF($J$9="4ST",$S$11,IF($J$9="3SG",$S$12,IF($J$9="4SG",$S$13,$S$14))))</f>
        <v>1</v>
      </c>
      <c r="N88" s="848">
        <f>+K88*L88*M88</f>
        <v>0.15846927656920698</v>
      </c>
    </row>
    <row r="89" spans="1:14" ht="13" thickBot="1" x14ac:dyDescent="0.3">
      <c r="A89" s="671"/>
      <c r="B89" s="672"/>
      <c r="C89" s="669"/>
      <c r="D89" s="669"/>
      <c r="E89" s="669"/>
      <c r="F89" s="866"/>
      <c r="G89" s="867"/>
      <c r="H89" s="852"/>
      <c r="I89" s="518">
        <f>I85-I87</f>
        <v>0.68248283903418405</v>
      </c>
      <c r="J89" s="520"/>
      <c r="K89" s="667"/>
      <c r="L89" s="669"/>
      <c r="M89" s="669"/>
      <c r="N89" s="849"/>
    </row>
    <row r="91" spans="1:14" x14ac:dyDescent="0.25">
      <c r="F91" s="22"/>
    </row>
    <row r="92" spans="1:14" ht="13" thickBot="1" x14ac:dyDescent="0.3"/>
    <row r="93" spans="1:14" ht="14" thickTop="1" thickBot="1" x14ac:dyDescent="0.3">
      <c r="A93" s="529" t="s">
        <v>349</v>
      </c>
      <c r="B93" s="599"/>
      <c r="C93" s="599"/>
      <c r="D93" s="599"/>
      <c r="E93" s="599"/>
      <c r="F93" s="599"/>
      <c r="G93" s="599"/>
      <c r="H93" s="599"/>
      <c r="I93" s="600"/>
      <c r="J93" s="600"/>
      <c r="K93" s="600"/>
      <c r="L93" s="600"/>
      <c r="M93" s="600"/>
      <c r="N93" s="600"/>
    </row>
    <row r="94" spans="1:14" x14ac:dyDescent="0.25">
      <c r="A94" s="608" t="s">
        <v>16</v>
      </c>
      <c r="B94" s="460"/>
      <c r="C94" s="460"/>
      <c r="D94" s="616" t="s">
        <v>17</v>
      </c>
      <c r="E94" s="659"/>
      <c r="F94" s="616" t="s">
        <v>18</v>
      </c>
      <c r="G94" s="616"/>
      <c r="H94" s="514" t="s">
        <v>19</v>
      </c>
      <c r="I94" s="659"/>
      <c r="J94" s="616" t="s">
        <v>20</v>
      </c>
      <c r="K94" s="616"/>
      <c r="L94" s="514" t="s">
        <v>21</v>
      </c>
      <c r="M94" s="659"/>
      <c r="N94" s="660"/>
    </row>
    <row r="95" spans="1:14" x14ac:dyDescent="0.25">
      <c r="A95" s="673" t="s">
        <v>34</v>
      </c>
      <c r="B95" s="549"/>
      <c r="C95" s="522"/>
      <c r="D95" s="494" t="s">
        <v>35</v>
      </c>
      <c r="E95" s="501"/>
      <c r="F95" s="494" t="s">
        <v>357</v>
      </c>
      <c r="G95" s="494"/>
      <c r="H95" s="494" t="s">
        <v>227</v>
      </c>
      <c r="I95" s="501"/>
      <c r="J95" s="494" t="s">
        <v>356</v>
      </c>
      <c r="K95" s="494"/>
      <c r="L95" s="494" t="s">
        <v>355</v>
      </c>
      <c r="M95" s="494"/>
      <c r="N95" s="661"/>
    </row>
    <row r="96" spans="1:14" x14ac:dyDescent="0.25">
      <c r="A96" s="673"/>
      <c r="B96" s="549"/>
      <c r="C96" s="522"/>
      <c r="D96" s="501"/>
      <c r="E96" s="501"/>
      <c r="F96" s="501"/>
      <c r="G96" s="501"/>
      <c r="H96" s="501"/>
      <c r="I96" s="501"/>
      <c r="J96" s="501"/>
      <c r="K96" s="501"/>
      <c r="L96" s="501"/>
      <c r="M96" s="501"/>
      <c r="N96" s="661"/>
    </row>
    <row r="97" spans="1:14" x14ac:dyDescent="0.25">
      <c r="A97" s="475"/>
      <c r="B97" s="455"/>
      <c r="C97" s="522"/>
      <c r="D97" s="501"/>
      <c r="E97" s="501"/>
      <c r="F97" s="501"/>
      <c r="G97" s="501"/>
      <c r="H97" s="501"/>
      <c r="I97" s="501"/>
      <c r="J97" s="501"/>
      <c r="K97" s="501"/>
      <c r="L97" s="501"/>
      <c r="M97" s="501"/>
      <c r="N97" s="661"/>
    </row>
    <row r="98" spans="1:14" x14ac:dyDescent="0.25">
      <c r="A98" s="475"/>
      <c r="B98" s="455"/>
      <c r="C98" s="522"/>
      <c r="D98" s="496" t="s">
        <v>518</v>
      </c>
      <c r="E98" s="522"/>
      <c r="F98" s="570" t="s">
        <v>353</v>
      </c>
      <c r="G98" s="612"/>
      <c r="H98" s="496" t="s">
        <v>518</v>
      </c>
      <c r="I98" s="522"/>
      <c r="J98" s="570" t="s">
        <v>354</v>
      </c>
      <c r="K98" s="612"/>
      <c r="L98" s="570" t="s">
        <v>354</v>
      </c>
      <c r="M98" s="612"/>
      <c r="N98" s="568"/>
    </row>
    <row r="99" spans="1:14" x14ac:dyDescent="0.25">
      <c r="A99" s="475"/>
      <c r="B99" s="455"/>
      <c r="C99" s="522"/>
      <c r="D99" s="455"/>
      <c r="E99" s="522"/>
      <c r="F99" s="455"/>
      <c r="G99" s="455"/>
      <c r="H99" s="455"/>
      <c r="I99" s="522"/>
      <c r="J99" s="455"/>
      <c r="K99" s="455"/>
      <c r="L99" s="455"/>
      <c r="M99" s="455"/>
      <c r="N99" s="568"/>
    </row>
    <row r="100" spans="1:14" x14ac:dyDescent="0.25">
      <c r="A100" s="657" t="s">
        <v>31</v>
      </c>
      <c r="B100" s="522"/>
      <c r="C100" s="522"/>
      <c r="D100" s="502">
        <v>1</v>
      </c>
      <c r="E100" s="502"/>
      <c r="F100" s="503">
        <f>+N86</f>
        <v>7.3725978030109926E-2</v>
      </c>
      <c r="G100" s="475"/>
      <c r="H100" s="502">
        <v>1</v>
      </c>
      <c r="I100" s="502"/>
      <c r="J100" s="503">
        <f>+N88</f>
        <v>0.15846927656920698</v>
      </c>
      <c r="K100" s="475"/>
      <c r="L100" s="503">
        <f>+N85</f>
        <v>0.23219525459931692</v>
      </c>
      <c r="M100" s="648"/>
      <c r="N100" s="648"/>
    </row>
    <row r="101" spans="1:14" ht="13.5" customHeight="1" x14ac:dyDescent="0.4">
      <c r="A101" s="657"/>
      <c r="B101" s="522"/>
      <c r="C101" s="522"/>
      <c r="D101" s="522"/>
      <c r="E101" s="522"/>
      <c r="F101" s="623" t="s">
        <v>218</v>
      </c>
      <c r="G101" s="455"/>
      <c r="H101" s="522"/>
      <c r="I101" s="522"/>
      <c r="J101" s="623" t="s">
        <v>219</v>
      </c>
      <c r="K101" s="455"/>
      <c r="L101" s="623" t="s">
        <v>220</v>
      </c>
      <c r="M101" s="455"/>
      <c r="N101" s="509"/>
    </row>
    <row r="102" spans="1:14" ht="13.5" customHeight="1" x14ac:dyDescent="0.25">
      <c r="A102" s="610" t="s">
        <v>350</v>
      </c>
      <c r="B102" s="522"/>
      <c r="C102" s="522"/>
      <c r="D102" s="503">
        <f>IF('Reference Tables (Intersection)'!$C$56="No", HLOOKUP($J$9,'Reference Tables (Intersection)'!$B$58:$K$65,3,FALSE),HLOOKUP($J$9,'Reference Tables (Intersection)'!$B$68:$K$75,3,FALSE))</f>
        <v>1E-3</v>
      </c>
      <c r="E102" s="613"/>
      <c r="F102" s="503">
        <f t="shared" ref="F102:F107" si="0">+D102*$F$100</f>
        <v>7.3725978030109933E-5</v>
      </c>
      <c r="G102" s="613"/>
      <c r="H102" s="503">
        <f>IF('Reference Tables (Intersection)'!$C$56="No",IF($J$9="3ST",'Reference Tables (Intersection)'!E60,IF($J$9="3SG",'Reference Tables (Intersection)'!G60,IF($J$9="4ST",'Reference Tables (Intersection)'!I60,'Reference Tables (Intersection)'!K60))),IF($J$9="3ST",'Reference Tables (Intersection)'!E70,IF($J$9="3SG",'Reference Tables (Intersection)'!G70,IF($J$9="4ST",'Reference Tables (Intersection)'!I70,'Reference Tables (Intersection)'!K70))))</f>
        <v>1E-3</v>
      </c>
      <c r="I102" s="613"/>
      <c r="J102" s="503">
        <f t="shared" ref="J102:J107" si="1">+H102*$J$100</f>
        <v>1.5846927656920699E-4</v>
      </c>
      <c r="K102" s="613"/>
      <c r="L102" s="502">
        <f t="shared" ref="L102:L107" si="2">+F102+J102</f>
        <v>2.3219525459931693E-4</v>
      </c>
      <c r="M102" s="502"/>
      <c r="N102" s="503"/>
    </row>
    <row r="103" spans="1:14" ht="13.5" customHeight="1" x14ac:dyDescent="0.25">
      <c r="A103" s="624" t="s">
        <v>235</v>
      </c>
      <c r="B103" s="522"/>
      <c r="C103" s="522"/>
      <c r="D103" s="503">
        <f>IF('Reference Tables (Intersection)'!$C$56="No", HLOOKUP($J$9,'Reference Tables (Intersection)'!$B$58:$K$65,4,FALSE),HLOOKUP($J$9,'Reference Tables (Intersection)'!$B$68:$K$75,4,FALSE))</f>
        <v>2E-3</v>
      </c>
      <c r="E103" s="613"/>
      <c r="F103" s="503">
        <f t="shared" si="0"/>
        <v>1.4745195606021987E-4</v>
      </c>
      <c r="G103" s="613"/>
      <c r="H103" s="503">
        <f>IF('Reference Tables (Intersection)'!$C$56="No",IF($J$9="3ST",'Reference Tables (Intersection)'!E61,IF($J$9="3SG",'Reference Tables (Intersection)'!G61,IF($J$9="4ST",'Reference Tables (Intersection)'!I61,'Reference Tables (Intersection)'!K61))),IF($J$9="3ST",'Reference Tables (Intersection)'!E71,IF($J$9="3SG",'Reference Tables (Intersection)'!G71,IF($J$9="4ST",'Reference Tables (Intersection)'!I71,'Reference Tables (Intersection)'!K71))))</f>
        <v>2E-3</v>
      </c>
      <c r="I103" s="613"/>
      <c r="J103" s="503">
        <f t="shared" si="1"/>
        <v>3.1693855313841399E-4</v>
      </c>
      <c r="K103" s="613"/>
      <c r="L103" s="502">
        <f t="shared" si="2"/>
        <v>4.6439050919863385E-4</v>
      </c>
      <c r="M103" s="502"/>
      <c r="N103" s="503"/>
    </row>
    <row r="104" spans="1:14" ht="13.5" customHeight="1" x14ac:dyDescent="0.25">
      <c r="A104" s="624" t="s">
        <v>236</v>
      </c>
      <c r="B104" s="522"/>
      <c r="C104" s="522"/>
      <c r="D104" s="503">
        <f>IF('Reference Tables (Intersection)'!$C$56="No", HLOOKUP($J$9,'Reference Tables (Intersection)'!$B$58:$K$65,5,FALSE),HLOOKUP($J$9,'Reference Tables (Intersection)'!$B$68:$K$75,5,FALSE))</f>
        <v>0.74399999999999999</v>
      </c>
      <c r="E104" s="613"/>
      <c r="F104" s="503">
        <f t="shared" si="0"/>
        <v>5.4852127654401783E-2</v>
      </c>
      <c r="G104" s="613"/>
      <c r="H104" s="503">
        <f>IF('Reference Tables (Intersection)'!$C$56="No",IF($J$9="3ST",'Reference Tables (Intersection)'!E62,IF($J$9="3SG",'Reference Tables (Intersection)'!G62,IF($J$9="4ST",'Reference Tables (Intersection)'!I62,'Reference Tables (Intersection)'!K62))),IF($J$9="3ST",'Reference Tables (Intersection)'!E72,IF($J$9="3SG",'Reference Tables (Intersection)'!G72,IF($J$9="4ST",'Reference Tables (Intersection)'!I72,'Reference Tables (Intersection)'!K72))))</f>
        <v>0.87</v>
      </c>
      <c r="I104" s="613"/>
      <c r="J104" s="503">
        <f t="shared" si="1"/>
        <v>0.13786827061521006</v>
      </c>
      <c r="K104" s="613"/>
      <c r="L104" s="502">
        <f t="shared" si="2"/>
        <v>0.19272039826961185</v>
      </c>
      <c r="M104" s="502"/>
      <c r="N104" s="503"/>
    </row>
    <row r="105" spans="1:14" ht="13.5" customHeight="1" x14ac:dyDescent="0.25">
      <c r="A105" s="624" t="s">
        <v>237</v>
      </c>
      <c r="B105" s="522"/>
      <c r="C105" s="522"/>
      <c r="D105" s="503">
        <f>IF('Reference Tables (Intersection)'!$C$56="No", HLOOKUP($J$9,'Reference Tables (Intersection)'!$B$58:$K$65,6,FALSE),HLOOKUP($J$9,'Reference Tables (Intersection)'!$B$68:$K$75,6,FALSE))</f>
        <v>7.1999999999999995E-2</v>
      </c>
      <c r="E105" s="613"/>
      <c r="F105" s="503">
        <f t="shared" si="0"/>
        <v>5.3082704181679138E-3</v>
      </c>
      <c r="G105" s="613"/>
      <c r="H105" s="503">
        <f>IF('Reference Tables (Intersection)'!$C$56="No",IF($J$9="3ST",'Reference Tables (Intersection)'!E63,IF($J$9="3SG",'Reference Tables (Intersection)'!G63,IF($J$9="4ST",'Reference Tables (Intersection)'!I63,'Reference Tables (Intersection)'!K63))),IF($J$9="3ST",'Reference Tables (Intersection)'!E73,IF($J$9="3SG",'Reference Tables (Intersection)'!G73,IF($J$9="4ST",'Reference Tables (Intersection)'!I73,'Reference Tables (Intersection)'!K73))))</f>
        <v>7.0000000000000007E-2</v>
      </c>
      <c r="I105" s="613"/>
      <c r="J105" s="503">
        <f t="shared" si="1"/>
        <v>1.1092849359844489E-2</v>
      </c>
      <c r="K105" s="613"/>
      <c r="L105" s="502">
        <f t="shared" si="2"/>
        <v>1.6401119778012403E-2</v>
      </c>
      <c r="M105" s="502"/>
      <c r="N105" s="503"/>
    </row>
    <row r="106" spans="1:14" x14ac:dyDescent="0.25">
      <c r="A106" s="624" t="s">
        <v>238</v>
      </c>
      <c r="B106" s="522"/>
      <c r="C106" s="522"/>
      <c r="D106" s="503">
        <f>IF('Reference Tables (Intersection)'!$C$56="No", HLOOKUP($J$9,'Reference Tables (Intersection)'!$B$58:$K$65,7,FALSE),HLOOKUP($J$9,'Reference Tables (Intersection)'!$B$68:$K$75,7,FALSE))</f>
        <v>0.04</v>
      </c>
      <c r="E106" s="613"/>
      <c r="F106" s="503">
        <f t="shared" si="0"/>
        <v>2.9490391212043973E-3</v>
      </c>
      <c r="G106" s="613"/>
      <c r="H106" s="503">
        <f>IF('Reference Tables (Intersection)'!$C$56="No",IF($J$9="3ST",'Reference Tables (Intersection)'!E64,IF($J$9="3SG",'Reference Tables (Intersection)'!G64,IF($J$9="4ST",'Reference Tables (Intersection)'!I64,'Reference Tables (Intersection)'!K64))),IF($J$9="3ST",'Reference Tables (Intersection)'!E74,IF($J$9="3SG",'Reference Tables (Intersection)'!G74,IF($J$9="4ST",'Reference Tables (Intersection)'!I74,'Reference Tables (Intersection)'!K74))))</f>
        <v>2.3E-2</v>
      </c>
      <c r="I106" s="613"/>
      <c r="J106" s="503">
        <f t="shared" si="1"/>
        <v>3.6447933610917606E-3</v>
      </c>
      <c r="K106" s="613"/>
      <c r="L106" s="502">
        <f t="shared" si="2"/>
        <v>6.5938324822961579E-3</v>
      </c>
      <c r="M106" s="502"/>
      <c r="N106" s="503"/>
    </row>
    <row r="107" spans="1:14" ht="13" thickBot="1" x14ac:dyDescent="0.3">
      <c r="A107" s="656" t="s">
        <v>351</v>
      </c>
      <c r="B107" s="526"/>
      <c r="C107" s="526"/>
      <c r="D107" s="518">
        <f>IF('Reference Tables (Intersection)'!$C$56="No", HLOOKUP($J$9,'Reference Tables (Intersection)'!$B$58:$K$65,8,FALSE),HLOOKUP($J$9,'Reference Tables (Intersection)'!$B$68:$K$75,8,FALSE))</f>
        <v>0.14099999999999999</v>
      </c>
      <c r="E107" s="520"/>
      <c r="F107" s="518">
        <f t="shared" si="0"/>
        <v>1.0395362902245499E-2</v>
      </c>
      <c r="G107" s="520"/>
      <c r="H107" s="518">
        <f>IF('Reference Tables (Intersection)'!$C$56="No",IF($J$9="3ST",'Reference Tables (Intersection)'!E65,IF($J$9="3SG",'Reference Tables (Intersection)'!G65,IF($J$9="4ST",'Reference Tables (Intersection)'!I65,'Reference Tables (Intersection)'!K65))),IF($J$9="3ST",'Reference Tables (Intersection)'!E75,IF($J$9="3SG",'Reference Tables (Intersection)'!G75,IF($J$9="4ST",'Reference Tables (Intersection)'!I75,'Reference Tables (Intersection)'!K75))))</f>
        <v>3.4000000000000002E-2</v>
      </c>
      <c r="I107" s="520"/>
      <c r="J107" s="518">
        <f t="shared" si="1"/>
        <v>5.3879554033530374E-3</v>
      </c>
      <c r="K107" s="520"/>
      <c r="L107" s="491">
        <f t="shared" si="2"/>
        <v>1.5783318305598537E-2</v>
      </c>
      <c r="M107" s="491"/>
      <c r="N107" s="518"/>
    </row>
    <row r="110" spans="1:14" ht="13" thickBot="1" x14ac:dyDescent="0.3"/>
    <row r="111" spans="1:14" ht="14.25" customHeight="1" thickBot="1" x14ac:dyDescent="0.3">
      <c r="A111" s="25"/>
      <c r="B111" s="916" t="s">
        <v>1011</v>
      </c>
      <c r="C111" s="916"/>
      <c r="D111" s="916"/>
      <c r="E111" s="916"/>
      <c r="F111" s="916"/>
      <c r="G111" s="916"/>
      <c r="H111" s="916"/>
      <c r="I111" s="916"/>
      <c r="J111" s="916"/>
      <c r="K111" s="916"/>
      <c r="L111" s="916"/>
      <c r="M111" s="916"/>
    </row>
    <row r="112" spans="1:14" x14ac:dyDescent="0.25">
      <c r="A112" s="23"/>
      <c r="B112" s="608" t="s">
        <v>16</v>
      </c>
      <c r="C112" s="460"/>
      <c r="D112" s="460"/>
      <c r="E112" s="459" t="s">
        <v>17</v>
      </c>
      <c r="F112" s="460"/>
      <c r="G112" s="460"/>
      <c r="H112" s="459" t="s">
        <v>18</v>
      </c>
      <c r="I112" s="460"/>
      <c r="J112" s="660"/>
      <c r="K112" s="459" t="s">
        <v>19</v>
      </c>
      <c r="L112" s="460"/>
      <c r="M112" s="660"/>
    </row>
    <row r="113" spans="1:15" ht="28.5" customHeight="1" x14ac:dyDescent="0.25">
      <c r="A113" s="276"/>
      <c r="B113" s="500" t="s">
        <v>1012</v>
      </c>
      <c r="C113" s="507"/>
      <c r="D113" s="507"/>
      <c r="E113" s="507" t="s">
        <v>993</v>
      </c>
      <c r="F113" s="507"/>
      <c r="G113" s="507"/>
      <c r="H113" s="496" t="s">
        <v>1093</v>
      </c>
      <c r="I113" s="496"/>
      <c r="J113" s="496"/>
      <c r="K113" s="505" t="s">
        <v>878</v>
      </c>
      <c r="L113" s="804"/>
      <c r="M113" s="804"/>
    </row>
    <row r="114" spans="1:15" ht="16.5" customHeight="1" x14ac:dyDescent="0.25">
      <c r="A114" s="16"/>
      <c r="B114" s="873" t="s">
        <v>1013</v>
      </c>
      <c r="C114" s="553"/>
      <c r="D114" s="553"/>
      <c r="E114" s="553" t="s">
        <v>1015</v>
      </c>
      <c r="F114" s="553"/>
      <c r="G114" s="553"/>
      <c r="H114" s="553" t="s">
        <v>1116</v>
      </c>
      <c r="I114" s="553"/>
      <c r="J114" s="553"/>
      <c r="K114" s="505" t="s">
        <v>1125</v>
      </c>
      <c r="L114" s="804"/>
      <c r="M114" s="804"/>
    </row>
    <row r="115" spans="1:15" ht="12.75" customHeight="1" x14ac:dyDescent="0.25">
      <c r="A115" s="16"/>
      <c r="B115" s="873" t="s">
        <v>935</v>
      </c>
      <c r="C115" s="553"/>
      <c r="D115" s="553"/>
      <c r="E115" s="553" t="s">
        <v>938</v>
      </c>
      <c r="F115" s="553"/>
      <c r="G115" s="553"/>
      <c r="H115" s="553" t="s">
        <v>1117</v>
      </c>
      <c r="I115" s="553"/>
      <c r="J115" s="553"/>
      <c r="K115" s="553" t="s">
        <v>1115</v>
      </c>
      <c r="L115" s="455"/>
      <c r="M115" s="509"/>
    </row>
    <row r="116" spans="1:15" ht="13" thickBot="1" x14ac:dyDescent="0.3">
      <c r="A116" s="16"/>
      <c r="B116" s="520">
        <f>IF($J$9="4SG",IF($J25&gt;0,'Reference Tables (Intersection)'!D116,1),1)</f>
        <v>1</v>
      </c>
      <c r="C116" s="491"/>
      <c r="D116" s="491"/>
      <c r="E116" s="491">
        <f>IF($J$9="4SG",IF($J$32="Protected/permissive or protected/protected",'Reference Tables (Intersection)'!D123,1),1)</f>
        <v>0.55200000000000005</v>
      </c>
      <c r="F116" s="491"/>
      <c r="G116" s="491"/>
      <c r="H116" s="491">
        <f>IF($J$9="4SG",EXP(($J$34*0.0189)),1)</f>
        <v>1.0583382612871293</v>
      </c>
      <c r="I116" s="491"/>
      <c r="J116" s="518"/>
      <c r="K116" s="556">
        <f>B116*E116*H116</f>
        <v>0.58420272023049535</v>
      </c>
      <c r="L116" s="556"/>
      <c r="M116" s="781"/>
    </row>
    <row r="117" spans="1:15" x14ac:dyDescent="0.25">
      <c r="A117" s="20"/>
      <c r="B117" s="20"/>
      <c r="C117" s="20"/>
      <c r="D117" s="24"/>
      <c r="E117" s="1"/>
      <c r="F117" s="24"/>
      <c r="G117" s="1"/>
      <c r="H117" s="36"/>
      <c r="I117" s="24"/>
      <c r="J117" s="24"/>
      <c r="K117" s="24"/>
      <c r="L117" s="24"/>
    </row>
    <row r="118" spans="1:15" x14ac:dyDescent="0.25">
      <c r="A118" s="20"/>
      <c r="B118" s="20"/>
      <c r="C118" s="20"/>
      <c r="D118" s="28"/>
      <c r="E118" s="1"/>
      <c r="F118" s="28"/>
      <c r="G118" s="1"/>
      <c r="H118" s="277"/>
      <c r="I118" s="28"/>
      <c r="J118" s="1"/>
      <c r="K118" s="24"/>
      <c r="L118" s="24"/>
    </row>
    <row r="119" spans="1:15" ht="13" thickBot="1" x14ac:dyDescent="0.3">
      <c r="A119" s="192"/>
    </row>
    <row r="120" spans="1:15" ht="14.25" customHeight="1" thickBot="1" x14ac:dyDescent="0.3">
      <c r="B120" s="916" t="s">
        <v>1029</v>
      </c>
      <c r="C120" s="916"/>
      <c r="D120" s="916"/>
      <c r="E120" s="916"/>
      <c r="F120" s="916"/>
      <c r="G120" s="916"/>
      <c r="H120" s="916"/>
      <c r="I120" s="916"/>
      <c r="J120" s="916"/>
      <c r="K120" s="916"/>
      <c r="L120" s="916"/>
      <c r="M120" s="916"/>
    </row>
    <row r="121" spans="1:15" x14ac:dyDescent="0.25">
      <c r="B121" s="608" t="s">
        <v>16</v>
      </c>
      <c r="C121" s="460"/>
      <c r="D121" s="460"/>
      <c r="E121" s="459" t="s">
        <v>17</v>
      </c>
      <c r="F121" s="460"/>
      <c r="G121" s="460"/>
      <c r="H121" s="459" t="s">
        <v>18</v>
      </c>
      <c r="I121" s="460"/>
      <c r="J121" s="660"/>
      <c r="K121" s="459" t="s">
        <v>19</v>
      </c>
      <c r="L121" s="460"/>
      <c r="M121" s="660"/>
    </row>
    <row r="122" spans="1:15" ht="33.75" customHeight="1" x14ac:dyDescent="0.25">
      <c r="B122" s="500" t="s">
        <v>1017</v>
      </c>
      <c r="C122" s="507"/>
      <c r="D122" s="507"/>
      <c r="E122" s="507" t="s">
        <v>993</v>
      </c>
      <c r="F122" s="507"/>
      <c r="G122" s="507"/>
      <c r="H122" s="496" t="s">
        <v>1092</v>
      </c>
      <c r="I122" s="496"/>
      <c r="J122" s="496"/>
      <c r="K122" s="505" t="s">
        <v>878</v>
      </c>
      <c r="L122" s="804"/>
      <c r="M122" s="804"/>
      <c r="N122" s="26"/>
      <c r="O122" s="26"/>
    </row>
    <row r="123" spans="1:15" x14ac:dyDescent="0.25">
      <c r="B123" s="873" t="s">
        <v>1018</v>
      </c>
      <c r="C123" s="553"/>
      <c r="D123" s="553"/>
      <c r="E123" s="553" t="s">
        <v>1019</v>
      </c>
      <c r="F123" s="553"/>
      <c r="G123" s="553"/>
      <c r="H123" s="553" t="s">
        <v>1124</v>
      </c>
      <c r="I123" s="553"/>
      <c r="J123" s="553"/>
      <c r="K123" s="505" t="s">
        <v>1126</v>
      </c>
      <c r="L123" s="804"/>
      <c r="M123" s="804"/>
    </row>
    <row r="124" spans="1:15" x14ac:dyDescent="0.25">
      <c r="B124" s="873" t="s">
        <v>1123</v>
      </c>
      <c r="C124" s="553"/>
      <c r="D124" s="553"/>
      <c r="E124" s="553" t="s">
        <v>1014</v>
      </c>
      <c r="F124" s="553"/>
      <c r="G124" s="553"/>
      <c r="H124" s="553" t="s">
        <v>1122</v>
      </c>
      <c r="I124" s="553"/>
      <c r="J124" s="553"/>
      <c r="K124" s="553" t="s">
        <v>1115</v>
      </c>
      <c r="L124" s="455"/>
      <c r="M124" s="509"/>
    </row>
    <row r="125" spans="1:15" ht="15.75" customHeight="1" thickBot="1" x14ac:dyDescent="0.3">
      <c r="B125" s="520">
        <f>IF($J$9="4SG",IF($J$31="Yes",'Reference Tables (Intersection)'!K116,1),1)</f>
        <v>0.61099999999999999</v>
      </c>
      <c r="C125" s="491"/>
      <c r="D125" s="491"/>
      <c r="E125" s="491">
        <f>IF($J$9="4SG",IF($J$32="Protected/permissive or protected/protected",'Reference Tables (Intersection)'!K123,1),1)</f>
        <v>0.58299999999999996</v>
      </c>
      <c r="F125" s="491"/>
      <c r="G125" s="491"/>
      <c r="H125" s="491">
        <f>IF($J$9="4SG",EXP(($J$33*0.11)),1)</f>
        <v>1.7332530178673953</v>
      </c>
      <c r="I125" s="491"/>
      <c r="J125" s="518"/>
      <c r="K125" s="556">
        <f>B125*E125*H125</f>
        <v>0.61740725725359835</v>
      </c>
      <c r="L125" s="556"/>
      <c r="M125" s="781"/>
    </row>
    <row r="126" spans="1:15" x14ac:dyDescent="0.25">
      <c r="K126" s="20"/>
    </row>
    <row r="127" spans="1:15" ht="13" thickBot="1" x14ac:dyDescent="0.3">
      <c r="K127" s="255"/>
      <c r="L127" s="255"/>
      <c r="M127" s="255"/>
    </row>
    <row r="128" spans="1:15" ht="14" thickTop="1" thickBot="1" x14ac:dyDescent="0.3">
      <c r="A128" s="529" t="s">
        <v>1127</v>
      </c>
      <c r="B128" s="529"/>
      <c r="C128" s="529"/>
      <c r="D128" s="529"/>
      <c r="E128" s="529"/>
      <c r="F128" s="529"/>
      <c r="G128" s="529"/>
      <c r="H128" s="529"/>
      <c r="I128" s="529"/>
      <c r="J128" s="529"/>
      <c r="K128" s="529"/>
      <c r="L128" s="529"/>
      <c r="M128" s="255"/>
    </row>
    <row r="129" spans="1:15" x14ac:dyDescent="0.25">
      <c r="A129" s="608" t="s">
        <v>16</v>
      </c>
      <c r="B129" s="460"/>
      <c r="C129" s="460"/>
      <c r="D129" s="514" t="s">
        <v>17</v>
      </c>
      <c r="E129" s="514"/>
      <c r="F129" s="514" t="s">
        <v>18</v>
      </c>
      <c r="G129" s="514"/>
      <c r="H129" s="30" t="s">
        <v>19</v>
      </c>
      <c r="I129" s="514" t="s">
        <v>20</v>
      </c>
      <c r="J129" s="514"/>
      <c r="K129" s="461" t="s">
        <v>1128</v>
      </c>
      <c r="L129" s="462"/>
      <c r="M129" s="255"/>
    </row>
    <row r="130" spans="1:15" x14ac:dyDescent="0.25">
      <c r="A130" s="463" t="s">
        <v>29</v>
      </c>
      <c r="B130" s="464"/>
      <c r="C130" s="464"/>
      <c r="D130" s="892" t="s">
        <v>339</v>
      </c>
      <c r="E130" s="892"/>
      <c r="F130" s="892" t="s">
        <v>348</v>
      </c>
      <c r="G130" s="892"/>
      <c r="H130" s="494" t="s">
        <v>1129</v>
      </c>
      <c r="I130" s="494" t="s">
        <v>1130</v>
      </c>
      <c r="J130" s="494"/>
      <c r="K130" s="466" t="s">
        <v>359</v>
      </c>
      <c r="L130" s="467"/>
      <c r="M130" s="255"/>
    </row>
    <row r="131" spans="1:15" x14ac:dyDescent="0.25">
      <c r="A131" s="465"/>
      <c r="B131" s="464"/>
      <c r="C131" s="464"/>
      <c r="D131" s="892"/>
      <c r="E131" s="892"/>
      <c r="F131" s="892"/>
      <c r="G131" s="892"/>
      <c r="H131" s="494"/>
      <c r="I131" s="494"/>
      <c r="J131" s="494"/>
      <c r="K131" s="466"/>
      <c r="L131" s="467"/>
      <c r="M131" s="255"/>
    </row>
    <row r="132" spans="1:15" x14ac:dyDescent="0.25">
      <c r="A132" s="465"/>
      <c r="B132" s="464"/>
      <c r="C132" s="464"/>
      <c r="D132" s="496" t="s">
        <v>1131</v>
      </c>
      <c r="E132" s="495"/>
      <c r="F132" s="496" t="s">
        <v>1132</v>
      </c>
      <c r="G132" s="495"/>
      <c r="H132" s="496" t="s">
        <v>1133</v>
      </c>
      <c r="I132" s="496" t="s">
        <v>1134</v>
      </c>
      <c r="J132" s="522"/>
      <c r="K132" s="468" t="s">
        <v>1135</v>
      </c>
      <c r="L132" s="469"/>
      <c r="M132" s="255"/>
    </row>
    <row r="133" spans="1:15" x14ac:dyDescent="0.25">
      <c r="A133" s="465"/>
      <c r="B133" s="464"/>
      <c r="C133" s="464"/>
      <c r="D133" s="495"/>
      <c r="E133" s="495"/>
      <c r="F133" s="495"/>
      <c r="G133" s="495"/>
      <c r="H133" s="495"/>
      <c r="I133" s="455"/>
      <c r="J133" s="522"/>
      <c r="K133" s="470"/>
      <c r="L133" s="469"/>
      <c r="M133" s="255"/>
    </row>
    <row r="134" spans="1:15" x14ac:dyDescent="0.25">
      <c r="A134" s="471" t="s">
        <v>31</v>
      </c>
      <c r="B134" s="457"/>
      <c r="C134" s="457"/>
      <c r="D134" s="503" t="str">
        <f>IF($J$9="3SG","--",IF($J$9="4SG","--", IF($J$9="4SG (1x2)","--", N53)))</f>
        <v>--</v>
      </c>
      <c r="E134" s="475"/>
      <c r="F134" s="503" t="str">
        <f>IF($J$9="3SG","--",IF($J$9="4SG","--", IF($J$9="4SG (1x2)","--", N85)))</f>
        <v>--</v>
      </c>
      <c r="G134" s="475"/>
      <c r="H134" s="302" t="str">
        <f>IF($J$9="3SG","--",IF($J$9="4SG","--", IF($J$9="4SG (1x2)","--",(D134+F134))))</f>
        <v>--</v>
      </c>
      <c r="I134" s="503" t="str">
        <f>IF($J$9="3ST",0.021,IF($J$9="4ST",0.022,"--"))</f>
        <v>--</v>
      </c>
      <c r="J134" s="613"/>
      <c r="K134" s="472" t="str">
        <f>IF($J$9="3SG","0",IF($J$9="4SG","0", IF($J$9="4SG (1x2)","0",(D134*F134))))</f>
        <v>0</v>
      </c>
      <c r="L134" s="473"/>
      <c r="M134" s="255"/>
    </row>
    <row r="135" spans="1:15" ht="13" thickBot="1" x14ac:dyDescent="0.3">
      <c r="A135" s="525" t="s">
        <v>122</v>
      </c>
      <c r="B135" s="546"/>
      <c r="C135" s="546"/>
      <c r="D135" s="527" t="s">
        <v>14</v>
      </c>
      <c r="E135" s="609"/>
      <c r="F135" s="527" t="s">
        <v>14</v>
      </c>
      <c r="G135" s="609"/>
      <c r="H135" s="310" t="s">
        <v>14</v>
      </c>
      <c r="I135" s="527" t="s">
        <v>14</v>
      </c>
      <c r="J135" s="609"/>
      <c r="K135" s="547" t="str">
        <f>+K134</f>
        <v>0</v>
      </c>
      <c r="L135" s="548"/>
      <c r="M135" s="255"/>
    </row>
    <row r="136" spans="1:15" x14ac:dyDescent="0.25">
      <c r="A136" s="192" t="s">
        <v>1136</v>
      </c>
      <c r="M136" s="255"/>
    </row>
    <row r="139" spans="1:15" ht="13" thickBot="1" x14ac:dyDescent="0.3">
      <c r="A139" s="243"/>
      <c r="B139" s="243"/>
      <c r="C139" s="243"/>
      <c r="D139" s="243"/>
      <c r="E139" s="243"/>
      <c r="F139" s="243"/>
      <c r="G139" s="243"/>
      <c r="H139" s="243"/>
      <c r="I139" s="243"/>
      <c r="J139" s="243"/>
      <c r="K139" s="243"/>
      <c r="L139" s="243"/>
      <c r="M139" s="243"/>
      <c r="N139" s="243"/>
      <c r="O139" s="243"/>
    </row>
    <row r="140" spans="1:15" ht="13.5" thickBot="1" x14ac:dyDescent="0.3">
      <c r="A140" s="914" t="s">
        <v>1137</v>
      </c>
      <c r="B140" s="914"/>
      <c r="C140" s="914"/>
      <c r="D140" s="914"/>
      <c r="E140" s="914"/>
      <c r="F140" s="914"/>
      <c r="G140" s="914"/>
      <c r="H140" s="914"/>
      <c r="I140" s="914"/>
      <c r="J140" s="914"/>
      <c r="K140" s="914"/>
      <c r="L140" s="914"/>
      <c r="M140" s="914"/>
      <c r="N140" s="914"/>
      <c r="O140" s="914"/>
    </row>
    <row r="141" spans="1:15" ht="12.75" customHeight="1" x14ac:dyDescent="0.25">
      <c r="A141" s="608" t="s">
        <v>16</v>
      </c>
      <c r="B141" s="660"/>
      <c r="C141" s="515" t="s">
        <v>17</v>
      </c>
      <c r="D141" s="883"/>
      <c r="E141" s="459"/>
      <c r="F141" s="515" t="s">
        <v>18</v>
      </c>
      <c r="G141" s="883"/>
      <c r="H141" s="459"/>
      <c r="I141" s="514" t="s">
        <v>19</v>
      </c>
      <c r="J141" s="514"/>
      <c r="K141" s="514" t="s">
        <v>20</v>
      </c>
      <c r="L141" s="514"/>
      <c r="M141" s="30" t="s">
        <v>21</v>
      </c>
      <c r="N141" s="30" t="s">
        <v>22</v>
      </c>
      <c r="O141" s="197" t="s">
        <v>23</v>
      </c>
    </row>
    <row r="142" spans="1:15" ht="23.25" customHeight="1" x14ac:dyDescent="0.25">
      <c r="A142" s="870" t="s">
        <v>29</v>
      </c>
      <c r="B142" s="871"/>
      <c r="C142" s="834" t="s">
        <v>79</v>
      </c>
      <c r="D142" s="877"/>
      <c r="E142" s="878"/>
      <c r="F142" s="639" t="s">
        <v>30</v>
      </c>
      <c r="G142" s="800"/>
      <c r="H142" s="884"/>
      <c r="I142" s="494" t="s">
        <v>1024</v>
      </c>
      <c r="J142" s="494"/>
      <c r="K142" s="494" t="s">
        <v>878</v>
      </c>
      <c r="L142" s="494"/>
      <c r="M142" s="494" t="s">
        <v>358</v>
      </c>
      <c r="N142" s="504" t="s">
        <v>930</v>
      </c>
      <c r="O142" s="467" t="s">
        <v>523</v>
      </c>
    </row>
    <row r="143" spans="1:15" ht="21.75" customHeight="1" x14ac:dyDescent="0.25">
      <c r="A143" s="775"/>
      <c r="B143" s="775"/>
      <c r="C143" s="879"/>
      <c r="D143" s="880"/>
      <c r="E143" s="881"/>
      <c r="F143" s="802"/>
      <c r="G143" s="803"/>
      <c r="H143" s="885"/>
      <c r="I143" s="494"/>
      <c r="J143" s="494"/>
      <c r="K143" s="494"/>
      <c r="L143" s="494"/>
      <c r="M143" s="494"/>
      <c r="N143" s="622"/>
      <c r="O143" s="467"/>
    </row>
    <row r="144" spans="1:15" x14ac:dyDescent="0.25">
      <c r="A144" s="775"/>
      <c r="B144" s="775"/>
      <c r="C144" s="731" t="s">
        <v>519</v>
      </c>
      <c r="D144" s="882"/>
      <c r="E144" s="873"/>
      <c r="F144" s="886" t="s">
        <v>519</v>
      </c>
      <c r="G144" s="887"/>
      <c r="H144" s="888"/>
      <c r="I144" s="496" t="s">
        <v>446</v>
      </c>
      <c r="J144" s="495"/>
      <c r="K144" s="496" t="s">
        <v>1334</v>
      </c>
      <c r="L144" s="495"/>
      <c r="M144" s="494"/>
      <c r="N144" s="622" t="str">
        <f>IF($J$28="SPFs based on regression analysis (applicable with EB method)", "SPFs based on regression analysis (applicable with EB method) (Value = 1.0)", "SPFs based on modified RAP methodology (NOT applicable with EB method) (Value = 0.0)")</f>
        <v>SPFs based on modified RAP methodology (NOT applicable with EB method) (Value = 0.0)</v>
      </c>
      <c r="O144" s="534" t="s">
        <v>931</v>
      </c>
    </row>
    <row r="145" spans="1:15" ht="34.5" customHeight="1" x14ac:dyDescent="0.25">
      <c r="A145" s="776"/>
      <c r="B145" s="776"/>
      <c r="C145" s="117" t="s">
        <v>80</v>
      </c>
      <c r="D145" s="117" t="s">
        <v>81</v>
      </c>
      <c r="E145" s="117" t="s">
        <v>337</v>
      </c>
      <c r="F145" s="889"/>
      <c r="G145" s="890"/>
      <c r="H145" s="891"/>
      <c r="I145" s="495"/>
      <c r="J145" s="495"/>
      <c r="K145" s="495"/>
      <c r="L145" s="495"/>
      <c r="M145" s="494"/>
      <c r="N145" s="622"/>
      <c r="O145" s="469"/>
    </row>
    <row r="146" spans="1:15" x14ac:dyDescent="0.25">
      <c r="A146" s="657" t="s">
        <v>31</v>
      </c>
      <c r="B146" s="568"/>
      <c r="C146" s="3">
        <f>IF($J$9="3ST",'Reference Tables (Intersection)'!C105, IF($J$9="3SG",'Reference Tables (Intersection)'!C106, IF($J$9="4ST",'Reference Tables (Intersection)'!C107, IF($J$9="4SG",'Reference Tables (Intersection)'!C108, IF($J$9="4SG (1x2)",'Reference Tables (Intersection)'!C109,"N/A")))))</f>
        <v>-19.085000000000001</v>
      </c>
      <c r="D146" s="3">
        <f>IF($J$9="3ST",'Reference Tables (Intersection)'!D105, IF($J$9="3SG",'Reference Tables (Intersection)'!D106, IF($J$9="4ST",'Reference Tables (Intersection)'!D107, IF($J$9="4SG",'Reference Tables (Intersection)'!D108, IF($J$9="4SG (1x2)",'Reference Tables (Intersection)'!D109,"N/A")))))</f>
        <v>1.518</v>
      </c>
      <c r="E146" s="3">
        <f>IF($J$9="3ST",'Reference Tables (Intersection)'!E105, IF($J$9="3SG",'Reference Tables (Intersection)'!E106, IF($J$9="4ST",'Reference Tables (Intersection)'!E107, IF($J$9="4SG",'Reference Tables (Intersection)'!E108, IF($J$9="4SG (1x2)",'Reference Tables (Intersection)'!E109,"N/A")))))</f>
        <v>0.39500000000000002</v>
      </c>
      <c r="F146" s="503">
        <f>IF($J$9="3ST",'Reference Tables (Intersection)'!F105, IF($J$9="3SG",'Reference Tables (Intersection)'!F106, IF($J$9="4ST",'Reference Tables (Intersection)'!F107, IF($J$9="4SG",'Reference Tables (Intersection)'!F108, IF($J$9="4SG (1x2)",'Reference Tables (Intersection)'!F109,"N/A")))))</f>
        <v>0.52</v>
      </c>
      <c r="G146" s="872"/>
      <c r="H146" s="613"/>
      <c r="I146" s="503">
        <f>IF($J$9="3ST","--",IF($J$9="4ST","--",EXP($C$146+($D$146*LN($J$10+$J$11))+($E$146*LN($J$29)))))</f>
        <v>0.14104581173341993</v>
      </c>
      <c r="J146" s="613"/>
      <c r="K146" s="474">
        <f>+$K$116</f>
        <v>0.58420272023049535</v>
      </c>
      <c r="L146" s="904"/>
      <c r="M146" s="11">
        <f>IF($J$9="3ST",$T$10,IF($J$9="4ST",$T$11,IF($J$9="3SG",$T$12,IF($J$9="4SG",$T$13,$T$14))))</f>
        <v>1</v>
      </c>
      <c r="N146" s="4">
        <f>IF($J$28="SPFs based on regression analysis (applicable with EB method)", 1, 0)</f>
        <v>0</v>
      </c>
      <c r="O146" s="382">
        <f>IF($J$9="3ST",0,IF($J$9="4ST",0, I146*K146*M146*N146))</f>
        <v>0</v>
      </c>
    </row>
    <row r="147" spans="1:15" ht="13" thickBot="1" x14ac:dyDescent="0.3">
      <c r="A147" s="868" t="s">
        <v>32</v>
      </c>
      <c r="B147" s="869"/>
      <c r="C147" s="127" t="s">
        <v>14</v>
      </c>
      <c r="D147" s="127" t="s">
        <v>14</v>
      </c>
      <c r="E147" s="127" t="s">
        <v>14</v>
      </c>
      <c r="F147" s="874" t="s">
        <v>14</v>
      </c>
      <c r="G147" s="875"/>
      <c r="H147" s="876"/>
      <c r="I147" s="903" t="s">
        <v>14</v>
      </c>
      <c r="J147" s="520"/>
      <c r="K147" s="527" t="s">
        <v>14</v>
      </c>
      <c r="L147" s="609"/>
      <c r="M147" s="13">
        <f>IF($J$9="3ST",$T$10,IF($J$9="4ST",$T$11,IF($J$9="3SG",$T$12,IF($J$9="4SG",$T$13,$T$14))))</f>
        <v>1</v>
      </c>
      <c r="N147" s="75">
        <f>IF($J$28="SPFs based on regression analysis (applicable with EB method)", 1, 0)</f>
        <v>0</v>
      </c>
      <c r="O147" s="164">
        <f>O146</f>
        <v>0</v>
      </c>
    </row>
    <row r="150" spans="1:15" ht="13" thickBot="1" x14ac:dyDescent="0.3">
      <c r="A150" s="243"/>
      <c r="B150" s="243"/>
      <c r="C150" s="243"/>
      <c r="D150" s="243"/>
      <c r="E150" s="243"/>
      <c r="F150" s="243"/>
      <c r="G150" s="243"/>
      <c r="H150" s="243"/>
      <c r="I150" s="243"/>
      <c r="J150" s="243"/>
      <c r="K150" s="243"/>
      <c r="L150" s="243"/>
      <c r="M150" s="243"/>
      <c r="N150" s="243"/>
      <c r="O150" s="243"/>
    </row>
    <row r="151" spans="1:15" ht="14.5" customHeight="1" thickBot="1" x14ac:dyDescent="0.3">
      <c r="A151" s="914" t="s">
        <v>1025</v>
      </c>
      <c r="B151" s="914"/>
      <c r="C151" s="914"/>
      <c r="D151" s="914"/>
      <c r="E151" s="914"/>
      <c r="F151" s="914"/>
      <c r="G151" s="914"/>
      <c r="H151" s="914"/>
      <c r="I151" s="914"/>
      <c r="J151" s="914"/>
      <c r="K151" s="914"/>
      <c r="L151" s="914"/>
      <c r="M151" s="914"/>
      <c r="N151" s="914"/>
      <c r="O151" s="914"/>
    </row>
    <row r="152" spans="1:15" x14ac:dyDescent="0.25">
      <c r="A152" s="608" t="s">
        <v>16</v>
      </c>
      <c r="B152" s="660"/>
      <c r="C152" s="515" t="s">
        <v>17</v>
      </c>
      <c r="D152" s="883"/>
      <c r="E152" s="459"/>
      <c r="F152" s="515" t="s">
        <v>18</v>
      </c>
      <c r="G152" s="883"/>
      <c r="H152" s="459"/>
      <c r="I152" s="514" t="s">
        <v>19</v>
      </c>
      <c r="J152" s="514"/>
      <c r="K152" s="514" t="s">
        <v>20</v>
      </c>
      <c r="L152" s="514"/>
      <c r="M152" s="30" t="s">
        <v>21</v>
      </c>
      <c r="N152" s="30" t="s">
        <v>22</v>
      </c>
      <c r="O152" s="197" t="s">
        <v>23</v>
      </c>
    </row>
    <row r="153" spans="1:15" ht="15.75" customHeight="1" x14ac:dyDescent="0.25">
      <c r="A153" s="870" t="s">
        <v>29</v>
      </c>
      <c r="B153" s="871"/>
      <c r="C153" s="834" t="s">
        <v>79</v>
      </c>
      <c r="D153" s="877"/>
      <c r="E153" s="878"/>
      <c r="F153" s="639" t="s">
        <v>30</v>
      </c>
      <c r="G153" s="800"/>
      <c r="H153" s="884"/>
      <c r="I153" s="494" t="s">
        <v>1023</v>
      </c>
      <c r="J153" s="494"/>
      <c r="K153" s="494" t="s">
        <v>878</v>
      </c>
      <c r="L153" s="494"/>
      <c r="M153" s="494" t="s">
        <v>358</v>
      </c>
      <c r="N153" s="504" t="s">
        <v>1026</v>
      </c>
      <c r="O153" s="467" t="s">
        <v>1022</v>
      </c>
    </row>
    <row r="154" spans="1:15" ht="24" customHeight="1" x14ac:dyDescent="0.25">
      <c r="A154" s="775"/>
      <c r="B154" s="775"/>
      <c r="C154" s="879"/>
      <c r="D154" s="880"/>
      <c r="E154" s="881"/>
      <c r="F154" s="802"/>
      <c r="G154" s="803"/>
      <c r="H154" s="885"/>
      <c r="I154" s="494"/>
      <c r="J154" s="494"/>
      <c r="K154" s="494"/>
      <c r="L154" s="494"/>
      <c r="M154" s="494"/>
      <c r="N154" s="622"/>
      <c r="O154" s="467"/>
    </row>
    <row r="155" spans="1:15" ht="30" customHeight="1" x14ac:dyDescent="0.25">
      <c r="A155" s="775"/>
      <c r="B155" s="775"/>
      <c r="C155" s="731" t="s">
        <v>1020</v>
      </c>
      <c r="D155" s="882"/>
      <c r="E155" s="873"/>
      <c r="F155" s="886" t="s">
        <v>1020</v>
      </c>
      <c r="G155" s="887"/>
      <c r="H155" s="888"/>
      <c r="I155" s="496" t="s">
        <v>1021</v>
      </c>
      <c r="J155" s="495"/>
      <c r="K155" s="496" t="s">
        <v>1333</v>
      </c>
      <c r="L155" s="495"/>
      <c r="M155" s="494"/>
      <c r="N155" s="913" t="str">
        <f>IF($J$28="SPFs based on regression analysis (applicable with EB method)", "SPFs based on regression analysis (applicable with EB method) (Value = 1.0)", "SPFs based on modified RAP methodology (NOT applicable with EB method) (Value = 0.0)")</f>
        <v>SPFs based on modified RAP methodology (NOT applicable with EB method) (Value = 0.0)</v>
      </c>
      <c r="O155" s="534" t="s">
        <v>931</v>
      </c>
    </row>
    <row r="156" spans="1:15" ht="27.75" customHeight="1" x14ac:dyDescent="0.25">
      <c r="A156" s="776"/>
      <c r="B156" s="776"/>
      <c r="C156" s="117" t="s">
        <v>80</v>
      </c>
      <c r="D156" s="117" t="s">
        <v>81</v>
      </c>
      <c r="E156" s="117" t="s">
        <v>337</v>
      </c>
      <c r="F156" s="889"/>
      <c r="G156" s="890"/>
      <c r="H156" s="891"/>
      <c r="I156" s="495"/>
      <c r="J156" s="495"/>
      <c r="K156" s="495"/>
      <c r="L156" s="495"/>
      <c r="M156" s="494"/>
      <c r="N156" s="913"/>
      <c r="O156" s="469"/>
    </row>
    <row r="157" spans="1:15" x14ac:dyDescent="0.25">
      <c r="A157" s="657" t="s">
        <v>31</v>
      </c>
      <c r="B157" s="568"/>
      <c r="C157" s="3">
        <f>IF($J$9="3ST",'Reference Tables (Intersection)'!J105, IF($J$9="3SG",'Reference Tables (Intersection)'!J106, IF($J$9="4ST",'Reference Tables (Intersection)'!J107, IF($J$9="4SG",'Reference Tables (Intersection)'!J108, IF($J$9="4SG (1x2)",'Reference Tables (Intersection)'!J109,"N/A")))))</f>
        <v>-13.887</v>
      </c>
      <c r="D157" s="3">
        <f>IF($J$9="3ST",'Reference Tables (Intersection)'!K105, IF($J$9="3SG",'Reference Tables (Intersection)'!K106, IF($J$9="4ST",'Reference Tables (Intersection)'!K107, IF($J$9="4SG",'Reference Tables (Intersection)'!K108, IF($J$9="4SG (1x2)",'Reference Tables (Intersection)'!K109,"N/A")))))</f>
        <v>0.92400000000000004</v>
      </c>
      <c r="E157" s="3">
        <f>IF($J$9="3ST",'Reference Tables (Intersection)'!L105, IF($J$9="3SG",'Reference Tables (Intersection)'!L106, IF($J$9="4ST",'Reference Tables (Intersection)'!L107, IF($J$9="4SG",'Reference Tables (Intersection)'!L108, IF($J$9="4SG (1x2)",'Reference Tables (Intersection)'!L109,"N/A")))))</f>
        <v>0.498</v>
      </c>
      <c r="F157" s="503">
        <f>IF($J$9="3ST",'Reference Tables (Intersection)'!M105, IF($J$9="3SG",'Reference Tables (Intersection)'!M106, IF($J$9="4ST",'Reference Tables (Intersection)'!M107, IF($J$9="4SG",'Reference Tables (Intersection)'!M108, IF($J$9="4SG (1x2)",'Reference Tables (Intersection)'!M109,"N/A")))))</f>
        <v>5.5E-2</v>
      </c>
      <c r="G157" s="872"/>
      <c r="H157" s="613"/>
      <c r="I157" s="503">
        <f>EXP($C$157+($D$157*LN($J$10+$J$11))+($E$157*LN($J$30)))</f>
        <v>0.12274877979640962</v>
      </c>
      <c r="J157" s="613"/>
      <c r="K157" s="474">
        <f>+$K$125</f>
        <v>0.61740725725359835</v>
      </c>
      <c r="L157" s="904"/>
      <c r="M157" s="11">
        <f>IF($J$9="3ST",$U$10,IF($J$9="4ST",$U$11,IF($J$9="3SG",$U$12,IF($J$9="4SG",$U$13,$U$14))))</f>
        <v>1</v>
      </c>
      <c r="N157" s="4">
        <f>IF($J$28="SPFs based on regression analysis (applicable with EB method)", 1, 0)</f>
        <v>0</v>
      </c>
      <c r="O157" s="196">
        <f>I157*K157*M157*N157</f>
        <v>0</v>
      </c>
    </row>
    <row r="158" spans="1:15" ht="13" thickBot="1" x14ac:dyDescent="0.3">
      <c r="A158" s="868" t="s">
        <v>32</v>
      </c>
      <c r="B158" s="869"/>
      <c r="C158" s="127" t="s">
        <v>14</v>
      </c>
      <c r="D158" s="127" t="s">
        <v>14</v>
      </c>
      <c r="E158" s="127" t="s">
        <v>14</v>
      </c>
      <c r="F158" s="874" t="s">
        <v>14</v>
      </c>
      <c r="G158" s="875"/>
      <c r="H158" s="876"/>
      <c r="I158" s="903" t="s">
        <v>14</v>
      </c>
      <c r="J158" s="520"/>
      <c r="K158" s="527" t="s">
        <v>14</v>
      </c>
      <c r="L158" s="609"/>
      <c r="M158" s="13">
        <f>IF($J$9="3ST",$U$10,IF($J$9="4ST",$U$11,IF($J$9="3SG",$U$12,IF($J$9="4SG",$U$13,$U$14))))</f>
        <v>1</v>
      </c>
      <c r="N158" s="75">
        <f>IF($J$28="SPFs based on regression analysis (applicable with EB method)", 1, 0)</f>
        <v>0</v>
      </c>
      <c r="O158" s="164">
        <f>O157</f>
        <v>0</v>
      </c>
    </row>
    <row r="159" spans="1:15" x14ac:dyDescent="0.25">
      <c r="A159" s="192"/>
    </row>
    <row r="160" spans="1:15" x14ac:dyDescent="0.25">
      <c r="A160" s="192"/>
    </row>
    <row r="161" spans="1:14" x14ac:dyDescent="0.25">
      <c r="A161" s="192"/>
    </row>
    <row r="162" spans="1:14" ht="13" thickBot="1" x14ac:dyDescent="0.3">
      <c r="A162" s="192"/>
    </row>
    <row r="163" spans="1:14" ht="14" thickTop="1" thickBot="1" x14ac:dyDescent="0.3">
      <c r="A163" s="267" t="s">
        <v>1041</v>
      </c>
      <c r="B163" s="267"/>
      <c r="C163" s="267"/>
      <c r="D163" s="267"/>
      <c r="E163" s="267"/>
      <c r="F163" s="267"/>
      <c r="G163" s="267"/>
    </row>
    <row r="164" spans="1:14" x14ac:dyDescent="0.25">
      <c r="A164" s="459" t="s">
        <v>16</v>
      </c>
      <c r="B164" s="460"/>
      <c r="C164" s="460"/>
      <c r="D164" s="461" t="s">
        <v>17</v>
      </c>
      <c r="E164" s="462"/>
      <c r="F164" s="461" t="s">
        <v>18</v>
      </c>
      <c r="G164" s="462"/>
    </row>
    <row r="165" spans="1:14" x14ac:dyDescent="0.25">
      <c r="A165" s="463" t="s">
        <v>29</v>
      </c>
      <c r="B165" s="464"/>
      <c r="C165" s="464"/>
      <c r="D165" s="466" t="s">
        <v>359</v>
      </c>
      <c r="E165" s="467"/>
      <c r="F165" s="466" t="s">
        <v>524</v>
      </c>
      <c r="G165" s="467"/>
    </row>
    <row r="166" spans="1:14" x14ac:dyDescent="0.25">
      <c r="A166" s="465"/>
      <c r="B166" s="464"/>
      <c r="C166" s="464"/>
      <c r="D166" s="466"/>
      <c r="E166" s="467"/>
      <c r="F166" s="466"/>
      <c r="G166" s="467"/>
    </row>
    <row r="167" spans="1:14" x14ac:dyDescent="0.25">
      <c r="A167" s="465"/>
      <c r="B167" s="464"/>
      <c r="C167" s="464"/>
      <c r="D167" s="468" t="s">
        <v>1040</v>
      </c>
      <c r="E167" s="469"/>
      <c r="F167" s="468" t="s">
        <v>1039</v>
      </c>
      <c r="G167" s="469"/>
    </row>
    <row r="168" spans="1:14" x14ac:dyDescent="0.25">
      <c r="A168" s="465"/>
      <c r="B168" s="464"/>
      <c r="C168" s="464"/>
      <c r="D168" s="470"/>
      <c r="E168" s="469"/>
      <c r="F168" s="470"/>
      <c r="G168" s="469"/>
    </row>
    <row r="169" spans="1:14" x14ac:dyDescent="0.25">
      <c r="A169" s="471" t="s">
        <v>31</v>
      </c>
      <c r="B169" s="457"/>
      <c r="C169" s="457"/>
      <c r="D169" s="472">
        <f>IF($J$28="SPFs based on modified RAP methodology (NOT applicable with EB method)",'Ped&amp;Bike (Intersection Results)'!C80,0)</f>
        <v>5.0555484787500005</v>
      </c>
      <c r="E169" s="473"/>
      <c r="F169" s="472">
        <f>IF($J$28="SPFs based on modified RAP methodology (NOT applicable with EB method)",'Ped&amp;Bike (Intersection Results)'!F80,0)</f>
        <v>0.13576752276819248</v>
      </c>
      <c r="G169" s="473"/>
    </row>
    <row r="170" spans="1:14" x14ac:dyDescent="0.25">
      <c r="A170" s="457" t="s">
        <v>122</v>
      </c>
      <c r="B170" s="457"/>
      <c r="C170" s="457"/>
      <c r="D170" s="458">
        <f>D169</f>
        <v>5.0555484787500005</v>
      </c>
      <c r="E170" s="458"/>
      <c r="F170" s="458">
        <f>F169</f>
        <v>0.13576752276819248</v>
      </c>
      <c r="G170" s="458"/>
    </row>
    <row r="171" spans="1:14" x14ac:dyDescent="0.25">
      <c r="A171" s="192"/>
    </row>
    <row r="172" spans="1:14" x14ac:dyDescent="0.25">
      <c r="A172" s="192"/>
    </row>
    <row r="173" spans="1:14" x14ac:dyDescent="0.25">
      <c r="A173" s="192"/>
    </row>
    <row r="175" spans="1:14" ht="13" thickBot="1" x14ac:dyDescent="0.3"/>
    <row r="176" spans="1:14" ht="14" thickTop="1" thickBot="1" x14ac:dyDescent="0.3">
      <c r="A176" s="529" t="s">
        <v>360</v>
      </c>
      <c r="B176" s="599"/>
      <c r="C176" s="599"/>
      <c r="D176" s="599"/>
      <c r="E176" s="599"/>
      <c r="F176" s="599"/>
      <c r="G176" s="599"/>
      <c r="H176" s="599"/>
      <c r="I176" s="600"/>
      <c r="J176" s="600"/>
      <c r="K176" s="600"/>
      <c r="L176" s="600"/>
      <c r="M176" s="600"/>
      <c r="N176" s="600"/>
    </row>
    <row r="177" spans="1:14" x14ac:dyDescent="0.25">
      <c r="A177" s="603" t="s">
        <v>16</v>
      </c>
      <c r="B177" s="604"/>
      <c r="C177" s="604"/>
      <c r="D177" s="604"/>
      <c r="E177" s="604"/>
      <c r="F177" s="601" t="s">
        <v>17</v>
      </c>
      <c r="G177" s="601"/>
      <c r="H177" s="601"/>
      <c r="I177" s="601" t="s">
        <v>18</v>
      </c>
      <c r="J177" s="601"/>
      <c r="K177" s="601"/>
      <c r="L177" s="601" t="s">
        <v>19</v>
      </c>
      <c r="M177" s="601"/>
      <c r="N177" s="602"/>
    </row>
    <row r="178" spans="1:14" ht="13" x14ac:dyDescent="0.3">
      <c r="A178" s="898" t="s">
        <v>46</v>
      </c>
      <c r="B178" s="899"/>
      <c r="C178" s="899"/>
      <c r="D178" s="899"/>
      <c r="E178" s="857"/>
      <c r="F178" s="560" t="s">
        <v>122</v>
      </c>
      <c r="G178" s="560"/>
      <c r="H178" s="560"/>
      <c r="I178" s="560" t="s">
        <v>123</v>
      </c>
      <c r="J178" s="560"/>
      <c r="K178" s="560"/>
      <c r="L178" s="560" t="s">
        <v>31</v>
      </c>
      <c r="M178" s="560"/>
      <c r="N178" s="561"/>
    </row>
    <row r="179" spans="1:14" x14ac:dyDescent="0.25">
      <c r="A179" s="858"/>
      <c r="B179" s="858"/>
      <c r="C179" s="858"/>
      <c r="D179" s="858"/>
      <c r="E179" s="651"/>
      <c r="F179" s="586" t="s">
        <v>361</v>
      </c>
      <c r="G179" s="586"/>
      <c r="H179" s="586"/>
      <c r="I179" s="586" t="s">
        <v>362</v>
      </c>
      <c r="J179" s="586"/>
      <c r="K179" s="586"/>
      <c r="L179" s="586" t="s">
        <v>363</v>
      </c>
      <c r="M179" s="586"/>
      <c r="N179" s="605"/>
    </row>
    <row r="180" spans="1:14" ht="33" customHeight="1" x14ac:dyDescent="0.25">
      <c r="A180" s="859"/>
      <c r="B180" s="859"/>
      <c r="C180" s="859"/>
      <c r="D180" s="859"/>
      <c r="E180" s="653"/>
      <c r="F180" s="894" t="s">
        <v>1138</v>
      </c>
      <c r="G180" s="894"/>
      <c r="H180" s="894"/>
      <c r="I180" s="895"/>
      <c r="J180" s="896"/>
      <c r="K180" s="897"/>
      <c r="L180" s="894" t="s">
        <v>1138</v>
      </c>
      <c r="M180" s="894"/>
      <c r="N180" s="894"/>
    </row>
    <row r="181" spans="1:14" ht="13" x14ac:dyDescent="0.3">
      <c r="A181" s="499" t="s">
        <v>280</v>
      </c>
      <c r="B181" s="497"/>
      <c r="C181" s="497"/>
      <c r="D181" s="497"/>
      <c r="E181" s="497"/>
      <c r="F181" s="497"/>
      <c r="G181" s="497"/>
      <c r="H181" s="497"/>
      <c r="I181" s="497"/>
      <c r="J181" s="497"/>
      <c r="K181" s="497"/>
      <c r="L181" s="497"/>
      <c r="M181" s="497"/>
      <c r="N181" s="498"/>
    </row>
    <row r="182" spans="1:14" x14ac:dyDescent="0.25">
      <c r="A182" s="471" t="s">
        <v>364</v>
      </c>
      <c r="B182" s="522"/>
      <c r="C182" s="522"/>
      <c r="D182" s="522"/>
      <c r="E182" s="522"/>
      <c r="F182" s="502">
        <f>+F70</f>
        <v>0.36518702218134036</v>
      </c>
      <c r="G182" s="455"/>
      <c r="H182" s="455"/>
      <c r="I182" s="502">
        <f>+J70</f>
        <v>0.89940283884244543</v>
      </c>
      <c r="J182" s="455"/>
      <c r="K182" s="455"/>
      <c r="L182" s="502">
        <f>+L70</f>
        <v>1.2645898610237858</v>
      </c>
      <c r="M182" s="455"/>
      <c r="N182" s="509"/>
    </row>
    <row r="183" spans="1:14" x14ac:dyDescent="0.25">
      <c r="A183" s="471" t="s">
        <v>365</v>
      </c>
      <c r="B183" s="522"/>
      <c r="C183" s="522"/>
      <c r="D183" s="522"/>
      <c r="E183" s="522"/>
      <c r="F183" s="502">
        <f>+F71</f>
        <v>3.9764809081968173E-2</v>
      </c>
      <c r="G183" s="455"/>
      <c r="H183" s="455"/>
      <c r="I183" s="502">
        <f>+J71</f>
        <v>5.5863530362884807E-2</v>
      </c>
      <c r="J183" s="455"/>
      <c r="K183" s="455"/>
      <c r="L183" s="502">
        <f>+L71</f>
        <v>9.5628339444852981E-2</v>
      </c>
      <c r="M183" s="455"/>
      <c r="N183" s="509"/>
    </row>
    <row r="184" spans="1:14" x14ac:dyDescent="0.25">
      <c r="A184" s="471" t="s">
        <v>366</v>
      </c>
      <c r="B184" s="522"/>
      <c r="C184" s="522"/>
      <c r="D184" s="522"/>
      <c r="E184" s="522"/>
      <c r="F184" s="502">
        <f>+F72</f>
        <v>0.28159977043761131</v>
      </c>
      <c r="G184" s="455"/>
      <c r="H184" s="455"/>
      <c r="I184" s="502">
        <f>+J72</f>
        <v>0.45435671361812979</v>
      </c>
      <c r="J184" s="455"/>
      <c r="K184" s="455"/>
      <c r="L184" s="502">
        <f>+L72</f>
        <v>0.7359564840557411</v>
      </c>
      <c r="M184" s="455"/>
      <c r="N184" s="509"/>
    </row>
    <row r="185" spans="1:14" x14ac:dyDescent="0.25">
      <c r="A185" s="471" t="s">
        <v>367</v>
      </c>
      <c r="B185" s="457"/>
      <c r="C185" s="457"/>
      <c r="D185" s="457"/>
      <c r="E185" s="457"/>
      <c r="F185" s="502">
        <f>+F73</f>
        <v>8.0341144879894882E-2</v>
      </c>
      <c r="G185" s="455"/>
      <c r="H185" s="455"/>
      <c r="I185" s="502">
        <f>+J73</f>
        <v>5.9587765720410468E-2</v>
      </c>
      <c r="J185" s="455"/>
      <c r="K185" s="455"/>
      <c r="L185" s="502">
        <f>+L73</f>
        <v>0.13992891060030535</v>
      </c>
      <c r="M185" s="455"/>
      <c r="N185" s="509"/>
    </row>
    <row r="186" spans="1:14" x14ac:dyDescent="0.25">
      <c r="A186" s="471" t="s">
        <v>368</v>
      </c>
      <c r="B186" s="457"/>
      <c r="C186" s="457"/>
      <c r="D186" s="457"/>
      <c r="E186" s="457"/>
      <c r="F186" s="502">
        <f>+F74</f>
        <v>4.4633969377719372E-2</v>
      </c>
      <c r="G186" s="455"/>
      <c r="H186" s="455"/>
      <c r="I186" s="502">
        <f>+J74</f>
        <v>0.3929068302189565</v>
      </c>
      <c r="J186" s="455"/>
      <c r="K186" s="455"/>
      <c r="L186" s="502">
        <f>+L74</f>
        <v>0.43754079959667586</v>
      </c>
      <c r="M186" s="455"/>
      <c r="N186" s="509"/>
    </row>
    <row r="187" spans="1:14" ht="13" thickBot="1" x14ac:dyDescent="0.3">
      <c r="A187" s="585" t="s">
        <v>289</v>
      </c>
      <c r="B187" s="586"/>
      <c r="C187" s="586"/>
      <c r="D187" s="586"/>
      <c r="E187" s="586"/>
      <c r="F187" s="577">
        <f>SUM(F182:H186)</f>
        <v>0.8115267159585341</v>
      </c>
      <c r="G187" s="578"/>
      <c r="H187" s="578"/>
      <c r="I187" s="577">
        <f>SUM(I182:K186)</f>
        <v>1.8621176787628269</v>
      </c>
      <c r="J187" s="578"/>
      <c r="K187" s="578"/>
      <c r="L187" s="577">
        <f>SUM(L182:N186)</f>
        <v>2.6736443947213608</v>
      </c>
      <c r="M187" s="578"/>
      <c r="N187" s="589"/>
    </row>
    <row r="188" spans="1:14" ht="13" x14ac:dyDescent="0.3">
      <c r="A188" s="591" t="s">
        <v>281</v>
      </c>
      <c r="B188" s="592"/>
      <c r="C188" s="592"/>
      <c r="D188" s="592"/>
      <c r="E188" s="592"/>
      <c r="F188" s="592"/>
      <c r="G188" s="592"/>
      <c r="H188" s="592"/>
      <c r="I188" s="592"/>
      <c r="J188" s="592"/>
      <c r="K188" s="592"/>
      <c r="L188" s="592"/>
      <c r="M188" s="592"/>
      <c r="N188" s="593"/>
    </row>
    <row r="189" spans="1:14" x14ac:dyDescent="0.25">
      <c r="A189" s="471" t="s">
        <v>369</v>
      </c>
      <c r="B189" s="457"/>
      <c r="C189" s="457"/>
      <c r="D189" s="457"/>
      <c r="E189" s="457"/>
      <c r="F189" s="502">
        <f t="shared" ref="F189:F194" si="3">+F102</f>
        <v>7.3725978030109933E-5</v>
      </c>
      <c r="G189" s="455"/>
      <c r="H189" s="455"/>
      <c r="I189" s="502">
        <f t="shared" ref="I189:I194" si="4">+J102</f>
        <v>1.5846927656920699E-4</v>
      </c>
      <c r="J189" s="455"/>
      <c r="K189" s="455"/>
      <c r="L189" s="502">
        <f t="shared" ref="L189:L194" si="5">+L102</f>
        <v>2.3219525459931693E-4</v>
      </c>
      <c r="M189" s="455"/>
      <c r="N189" s="509"/>
    </row>
    <row r="190" spans="1:14" x14ac:dyDescent="0.25">
      <c r="A190" s="471" t="s">
        <v>370</v>
      </c>
      <c r="B190" s="457"/>
      <c r="C190" s="457"/>
      <c r="D190" s="457"/>
      <c r="E190" s="457"/>
      <c r="F190" s="502">
        <f t="shared" si="3"/>
        <v>1.4745195606021987E-4</v>
      </c>
      <c r="G190" s="455"/>
      <c r="H190" s="455"/>
      <c r="I190" s="502">
        <f t="shared" si="4"/>
        <v>3.1693855313841399E-4</v>
      </c>
      <c r="J190" s="455"/>
      <c r="K190" s="455"/>
      <c r="L190" s="502">
        <f t="shared" si="5"/>
        <v>4.6439050919863385E-4</v>
      </c>
      <c r="M190" s="455"/>
      <c r="N190" s="509"/>
    </row>
    <row r="191" spans="1:14" x14ac:dyDescent="0.25">
      <c r="A191" s="471" t="s">
        <v>371</v>
      </c>
      <c r="B191" s="457"/>
      <c r="C191" s="457"/>
      <c r="D191" s="457"/>
      <c r="E191" s="457"/>
      <c r="F191" s="502">
        <f t="shared" si="3"/>
        <v>5.4852127654401783E-2</v>
      </c>
      <c r="G191" s="455"/>
      <c r="H191" s="455"/>
      <c r="I191" s="502">
        <f t="shared" si="4"/>
        <v>0.13786827061521006</v>
      </c>
      <c r="J191" s="455"/>
      <c r="K191" s="455"/>
      <c r="L191" s="502">
        <f t="shared" si="5"/>
        <v>0.19272039826961185</v>
      </c>
      <c r="M191" s="455"/>
      <c r="N191" s="509"/>
    </row>
    <row r="192" spans="1:14" x14ac:dyDescent="0.25">
      <c r="A192" s="471" t="s">
        <v>372</v>
      </c>
      <c r="B192" s="457"/>
      <c r="C192" s="457"/>
      <c r="D192" s="457"/>
      <c r="E192" s="457"/>
      <c r="F192" s="502">
        <f t="shared" si="3"/>
        <v>5.3082704181679138E-3</v>
      </c>
      <c r="G192" s="455"/>
      <c r="H192" s="455"/>
      <c r="I192" s="502">
        <f t="shared" si="4"/>
        <v>1.1092849359844489E-2</v>
      </c>
      <c r="J192" s="455"/>
      <c r="K192" s="455"/>
      <c r="L192" s="502">
        <f t="shared" si="5"/>
        <v>1.6401119778012403E-2</v>
      </c>
      <c r="M192" s="455"/>
      <c r="N192" s="509"/>
    </row>
    <row r="193" spans="1:14" x14ac:dyDescent="0.25">
      <c r="A193" s="471" t="s">
        <v>373</v>
      </c>
      <c r="B193" s="457"/>
      <c r="C193" s="457"/>
      <c r="D193" s="457"/>
      <c r="E193" s="457"/>
      <c r="F193" s="502">
        <f t="shared" si="3"/>
        <v>2.9490391212043973E-3</v>
      </c>
      <c r="G193" s="455"/>
      <c r="H193" s="455"/>
      <c r="I193" s="502">
        <f t="shared" si="4"/>
        <v>3.6447933610917606E-3</v>
      </c>
      <c r="J193" s="455"/>
      <c r="K193" s="455"/>
      <c r="L193" s="502">
        <f t="shared" si="5"/>
        <v>6.5938324822961579E-3</v>
      </c>
      <c r="M193" s="455"/>
      <c r="N193" s="509"/>
    </row>
    <row r="194" spans="1:14" x14ac:dyDescent="0.25">
      <c r="A194" s="471" t="s">
        <v>374</v>
      </c>
      <c r="B194" s="457"/>
      <c r="C194" s="457"/>
      <c r="D194" s="457"/>
      <c r="E194" s="457"/>
      <c r="F194" s="502">
        <f t="shared" si="3"/>
        <v>1.0395362902245499E-2</v>
      </c>
      <c r="G194" s="455"/>
      <c r="H194" s="455"/>
      <c r="I194" s="502">
        <f t="shared" si="4"/>
        <v>5.3879554033530374E-3</v>
      </c>
      <c r="J194" s="455"/>
      <c r="K194" s="455"/>
      <c r="L194" s="502">
        <f t="shared" si="5"/>
        <v>1.5783318305598537E-2</v>
      </c>
      <c r="M194" s="455"/>
      <c r="N194" s="509"/>
    </row>
    <row r="195" spans="1:14" x14ac:dyDescent="0.25">
      <c r="A195" s="471" t="s">
        <v>1337</v>
      </c>
      <c r="B195" s="457"/>
      <c r="C195" s="457"/>
      <c r="D195" s="457"/>
      <c r="E195" s="457"/>
      <c r="F195" s="502">
        <f>K135+O147+D170</f>
        <v>5.0555484787500005</v>
      </c>
      <c r="G195" s="455"/>
      <c r="H195" s="455"/>
      <c r="I195" s="502">
        <v>0</v>
      </c>
      <c r="J195" s="502"/>
      <c r="K195" s="502"/>
      <c r="L195" s="502">
        <f>K134+O146+D169</f>
        <v>5.0555484787500005</v>
      </c>
      <c r="M195" s="455"/>
      <c r="N195" s="509"/>
    </row>
    <row r="196" spans="1:14" x14ac:dyDescent="0.25">
      <c r="A196" s="471" t="s">
        <v>1338</v>
      </c>
      <c r="B196" s="457"/>
      <c r="C196" s="457"/>
      <c r="D196" s="457"/>
      <c r="E196" s="457"/>
      <c r="F196" s="502">
        <f>O158+F170</f>
        <v>0.13576752276819248</v>
      </c>
      <c r="G196" s="455"/>
      <c r="H196" s="455"/>
      <c r="I196" s="502">
        <v>0</v>
      </c>
      <c r="J196" s="502"/>
      <c r="K196" s="502"/>
      <c r="L196" s="502">
        <f>O157+F169</f>
        <v>0.13576752276819248</v>
      </c>
      <c r="M196" s="455"/>
      <c r="N196" s="509"/>
    </row>
    <row r="197" spans="1:14" ht="13" thickBot="1" x14ac:dyDescent="0.3">
      <c r="A197" s="585" t="s">
        <v>289</v>
      </c>
      <c r="B197" s="586"/>
      <c r="C197" s="586"/>
      <c r="D197" s="586"/>
      <c r="E197" s="586"/>
      <c r="F197" s="577">
        <f>SUM(F189:H196)</f>
        <v>5.265041979548303</v>
      </c>
      <c r="G197" s="578"/>
      <c r="H197" s="578"/>
      <c r="I197" s="577">
        <f>SUM(I189:K196)</f>
        <v>0.15846927656920698</v>
      </c>
      <c r="J197" s="578"/>
      <c r="K197" s="578"/>
      <c r="L197" s="577">
        <f>SUM(L189:N196)</f>
        <v>5.4235112561175098</v>
      </c>
      <c r="M197" s="578"/>
      <c r="N197" s="589"/>
    </row>
    <row r="198" spans="1:14" ht="13" thickBot="1" x14ac:dyDescent="0.3">
      <c r="A198" s="587" t="s">
        <v>31</v>
      </c>
      <c r="B198" s="588"/>
      <c r="C198" s="588"/>
      <c r="D198" s="588"/>
      <c r="E198" s="588"/>
      <c r="F198" s="575">
        <f>+F187+F197</f>
        <v>6.076568695506837</v>
      </c>
      <c r="G198" s="576"/>
      <c r="H198" s="576"/>
      <c r="I198" s="575">
        <f>+I187+I197</f>
        <v>2.0205869553320337</v>
      </c>
      <c r="J198" s="576"/>
      <c r="K198" s="576"/>
      <c r="L198" s="575">
        <f>+L187+L197</f>
        <v>8.0971556508388716</v>
      </c>
      <c r="M198" s="576"/>
      <c r="N198" s="590"/>
    </row>
    <row r="200" spans="1:14" x14ac:dyDescent="0.25">
      <c r="G200" s="283"/>
    </row>
    <row r="201" spans="1:14" ht="13" thickBot="1" x14ac:dyDescent="0.3"/>
    <row r="202" spans="1:14" ht="14" thickTop="1" thickBot="1" x14ac:dyDescent="0.35">
      <c r="E202" s="900" t="s">
        <v>375</v>
      </c>
      <c r="F202" s="900"/>
      <c r="G202" s="900"/>
      <c r="H202" s="900"/>
      <c r="I202" s="900"/>
      <c r="J202" s="900"/>
      <c r="K202" s="900"/>
    </row>
    <row r="203" spans="1:14" x14ac:dyDescent="0.25">
      <c r="E203" s="459" t="s">
        <v>16</v>
      </c>
      <c r="F203" s="514"/>
      <c r="G203" s="514"/>
      <c r="H203" s="461" t="s">
        <v>17</v>
      </c>
      <c r="I203" s="461"/>
      <c r="J203" s="461"/>
      <c r="K203" s="462"/>
    </row>
    <row r="204" spans="1:14" x14ac:dyDescent="0.25">
      <c r="E204" s="463" t="s">
        <v>39</v>
      </c>
      <c r="F204" s="464"/>
      <c r="G204" s="464"/>
      <c r="H204" s="466" t="s">
        <v>376</v>
      </c>
      <c r="I204" s="466"/>
      <c r="J204" s="466"/>
      <c r="K204" s="467"/>
    </row>
    <row r="205" spans="1:14" x14ac:dyDescent="0.25">
      <c r="E205" s="465"/>
      <c r="F205" s="464"/>
      <c r="G205" s="464"/>
      <c r="H205" s="466"/>
      <c r="I205" s="466"/>
      <c r="J205" s="466"/>
      <c r="K205" s="467"/>
    </row>
    <row r="206" spans="1:14" x14ac:dyDescent="0.25">
      <c r="E206" s="465"/>
      <c r="F206" s="464"/>
      <c r="G206" s="464"/>
      <c r="H206" s="470"/>
      <c r="I206" s="470"/>
      <c r="J206" s="470"/>
      <c r="K206" s="469"/>
    </row>
    <row r="207" spans="1:14" x14ac:dyDescent="0.25">
      <c r="E207" s="465"/>
      <c r="F207" s="464"/>
      <c r="G207" s="464"/>
      <c r="H207" s="796" t="s">
        <v>377</v>
      </c>
      <c r="I207" s="796"/>
      <c r="J207" s="796"/>
      <c r="K207" s="902"/>
    </row>
    <row r="208" spans="1:14" x14ac:dyDescent="0.25">
      <c r="E208" s="471" t="s">
        <v>31</v>
      </c>
      <c r="F208" s="457"/>
      <c r="G208" s="457"/>
      <c r="H208" s="798">
        <f>+L198</f>
        <v>8.0971556508388716</v>
      </c>
      <c r="I208" s="798"/>
      <c r="J208" s="798"/>
      <c r="K208" s="901"/>
    </row>
    <row r="209" spans="5:11" x14ac:dyDescent="0.25">
      <c r="E209" s="471" t="s">
        <v>122</v>
      </c>
      <c r="F209" s="457"/>
      <c r="G209" s="457"/>
      <c r="H209" s="798">
        <f>+F198</f>
        <v>6.076568695506837</v>
      </c>
      <c r="I209" s="798"/>
      <c r="J209" s="798"/>
      <c r="K209" s="901"/>
    </row>
    <row r="210" spans="5:11" ht="13" thickBot="1" x14ac:dyDescent="0.3">
      <c r="E210" s="525" t="s">
        <v>123</v>
      </c>
      <c r="F210" s="546"/>
      <c r="G210" s="546"/>
      <c r="H210" s="799">
        <f>+I198</f>
        <v>2.0205869553320337</v>
      </c>
      <c r="I210" s="799"/>
      <c r="J210" s="799"/>
      <c r="K210" s="893"/>
    </row>
  </sheetData>
  <mergeCells count="597">
    <mergeCell ref="A135:C135"/>
    <mergeCell ref="D135:E135"/>
    <mergeCell ref="F135:G135"/>
    <mergeCell ref="I135:J135"/>
    <mergeCell ref="K135:L135"/>
    <mergeCell ref="I130:J131"/>
    <mergeCell ref="K130:L131"/>
    <mergeCell ref="D132:E133"/>
    <mergeCell ref="F132:G133"/>
    <mergeCell ref="H132:H133"/>
    <mergeCell ref="I132:J133"/>
    <mergeCell ref="K132:L133"/>
    <mergeCell ref="A134:C134"/>
    <mergeCell ref="D134:E134"/>
    <mergeCell ref="F134:G134"/>
    <mergeCell ref="I134:J134"/>
    <mergeCell ref="K134:L134"/>
    <mergeCell ref="K113:M113"/>
    <mergeCell ref="K114:M114"/>
    <mergeCell ref="K122:M122"/>
    <mergeCell ref="K123:M123"/>
    <mergeCell ref="B120:M120"/>
    <mergeCell ref="A128:L128"/>
    <mergeCell ref="H114:J114"/>
    <mergeCell ref="A129:C129"/>
    <mergeCell ref="D129:E129"/>
    <mergeCell ref="F129:G129"/>
    <mergeCell ref="I129:J129"/>
    <mergeCell ref="K129:L129"/>
    <mergeCell ref="H33:I33"/>
    <mergeCell ref="H34:I34"/>
    <mergeCell ref="J33:N33"/>
    <mergeCell ref="J34:N34"/>
    <mergeCell ref="B111:M111"/>
    <mergeCell ref="K121:M121"/>
    <mergeCell ref="A165:C168"/>
    <mergeCell ref="D165:E166"/>
    <mergeCell ref="F165:G166"/>
    <mergeCell ref="D167:E168"/>
    <mergeCell ref="F167:G168"/>
    <mergeCell ref="A152:B152"/>
    <mergeCell ref="C152:E152"/>
    <mergeCell ref="F152:H152"/>
    <mergeCell ref="A153:B156"/>
    <mergeCell ref="C153:E154"/>
    <mergeCell ref="F153:H154"/>
    <mergeCell ref="C155:E155"/>
    <mergeCell ref="F155:H156"/>
    <mergeCell ref="A157:B157"/>
    <mergeCell ref="F157:H157"/>
    <mergeCell ref="I141:J141"/>
    <mergeCell ref="H122:J122"/>
    <mergeCell ref="H123:J123"/>
    <mergeCell ref="A169:C169"/>
    <mergeCell ref="D169:E169"/>
    <mergeCell ref="F169:G169"/>
    <mergeCell ref="A170:C170"/>
    <mergeCell ref="D170:E170"/>
    <mergeCell ref="F170:G170"/>
    <mergeCell ref="A164:C164"/>
    <mergeCell ref="D164:E164"/>
    <mergeCell ref="F164:G164"/>
    <mergeCell ref="A18:G18"/>
    <mergeCell ref="H19:I19"/>
    <mergeCell ref="A158:B158"/>
    <mergeCell ref="F158:H158"/>
    <mergeCell ref="N153:N154"/>
    <mergeCell ref="N142:N143"/>
    <mergeCell ref="N155:N156"/>
    <mergeCell ref="N144:N145"/>
    <mergeCell ref="A140:O140"/>
    <mergeCell ref="A151:O151"/>
    <mergeCell ref="M153:M156"/>
    <mergeCell ref="O153:O154"/>
    <mergeCell ref="O155:O156"/>
    <mergeCell ref="O142:O143"/>
    <mergeCell ref="I158:J158"/>
    <mergeCell ref="K158:L158"/>
    <mergeCell ref="K152:L152"/>
    <mergeCell ref="I155:J156"/>
    <mergeCell ref="K155:L156"/>
    <mergeCell ref="I157:J157"/>
    <mergeCell ref="K157:L157"/>
    <mergeCell ref="K153:L154"/>
    <mergeCell ref="I153:J154"/>
    <mergeCell ref="I152:J152"/>
    <mergeCell ref="I193:K193"/>
    <mergeCell ref="L193:N193"/>
    <mergeCell ref="A28:G28"/>
    <mergeCell ref="J28:N28"/>
    <mergeCell ref="P28:Q32"/>
    <mergeCell ref="A29:G29"/>
    <mergeCell ref="H29:I29"/>
    <mergeCell ref="R7:R9"/>
    <mergeCell ref="S7:U7"/>
    <mergeCell ref="S8:S9"/>
    <mergeCell ref="T8:T9"/>
    <mergeCell ref="U8:U9"/>
    <mergeCell ref="H32:I32"/>
    <mergeCell ref="J32:N32"/>
    <mergeCell ref="A32:G32"/>
    <mergeCell ref="J29:N29"/>
    <mergeCell ref="J23:N23"/>
    <mergeCell ref="A22:G22"/>
    <mergeCell ref="H22:I22"/>
    <mergeCell ref="A31:G31"/>
    <mergeCell ref="H31:I31"/>
    <mergeCell ref="J31:N31"/>
    <mergeCell ref="H18:I18"/>
    <mergeCell ref="J18:N18"/>
    <mergeCell ref="L187:N187"/>
    <mergeCell ref="H204:K206"/>
    <mergeCell ref="I189:K189"/>
    <mergeCell ref="L189:N189"/>
    <mergeCell ref="L197:N197"/>
    <mergeCell ref="A25:G25"/>
    <mergeCell ref="H25:I25"/>
    <mergeCell ref="J25:N25"/>
    <mergeCell ref="A17:G17"/>
    <mergeCell ref="H17:I17"/>
    <mergeCell ref="J17:N17"/>
    <mergeCell ref="A45:B45"/>
    <mergeCell ref="A24:G24"/>
    <mergeCell ref="H24:I24"/>
    <mergeCell ref="J22:N22"/>
    <mergeCell ref="I146:J146"/>
    <mergeCell ref="I147:J147"/>
    <mergeCell ref="K146:L146"/>
    <mergeCell ref="K147:L147"/>
    <mergeCell ref="A141:B141"/>
    <mergeCell ref="K141:L141"/>
    <mergeCell ref="M142:M145"/>
    <mergeCell ref="L186:N186"/>
    <mergeCell ref="A187:E187"/>
    <mergeCell ref="H203:K203"/>
    <mergeCell ref="A197:E197"/>
    <mergeCell ref="F197:H197"/>
    <mergeCell ref="F194:H194"/>
    <mergeCell ref="I194:K194"/>
    <mergeCell ref="L194:N194"/>
    <mergeCell ref="A195:E195"/>
    <mergeCell ref="F195:H195"/>
    <mergeCell ref="I195:K195"/>
    <mergeCell ref="L195:N195"/>
    <mergeCell ref="I196:K196"/>
    <mergeCell ref="L196:N196"/>
    <mergeCell ref="E209:G209"/>
    <mergeCell ref="H208:K208"/>
    <mergeCell ref="H209:K209"/>
    <mergeCell ref="A184:E184"/>
    <mergeCell ref="F184:H184"/>
    <mergeCell ref="I184:K184"/>
    <mergeCell ref="F187:H187"/>
    <mergeCell ref="I187:K187"/>
    <mergeCell ref="A186:E186"/>
    <mergeCell ref="F186:H186"/>
    <mergeCell ref="I186:K186"/>
    <mergeCell ref="I197:K197"/>
    <mergeCell ref="A196:E196"/>
    <mergeCell ref="F196:H196"/>
    <mergeCell ref="A189:E189"/>
    <mergeCell ref="A192:E192"/>
    <mergeCell ref="A190:E190"/>
    <mergeCell ref="F191:H191"/>
    <mergeCell ref="F192:H192"/>
    <mergeCell ref="A188:N188"/>
    <mergeCell ref="F189:H189"/>
    <mergeCell ref="A193:E193"/>
    <mergeCell ref="F193:H193"/>
    <mergeCell ref="H207:K207"/>
    <mergeCell ref="L185:N185"/>
    <mergeCell ref="A181:N181"/>
    <mergeCell ref="A182:E182"/>
    <mergeCell ref="F182:H182"/>
    <mergeCell ref="I182:K182"/>
    <mergeCell ref="L182:N182"/>
    <mergeCell ref="A178:E180"/>
    <mergeCell ref="E208:G208"/>
    <mergeCell ref="E204:G207"/>
    <mergeCell ref="A191:E191"/>
    <mergeCell ref="F190:H190"/>
    <mergeCell ref="I190:K190"/>
    <mergeCell ref="L190:N190"/>
    <mergeCell ref="I191:K191"/>
    <mergeCell ref="A194:E194"/>
    <mergeCell ref="A198:E198"/>
    <mergeCell ref="F198:H198"/>
    <mergeCell ref="I198:K198"/>
    <mergeCell ref="L198:N198"/>
    <mergeCell ref="I192:K192"/>
    <mergeCell ref="L191:N191"/>
    <mergeCell ref="L192:N192"/>
    <mergeCell ref="E202:K202"/>
    <mergeCell ref="E203:G203"/>
    <mergeCell ref="E210:G210"/>
    <mergeCell ref="H210:K210"/>
    <mergeCell ref="A176:N176"/>
    <mergeCell ref="A177:E177"/>
    <mergeCell ref="F177:H177"/>
    <mergeCell ref="I177:K177"/>
    <mergeCell ref="L177:N177"/>
    <mergeCell ref="F178:H178"/>
    <mergeCell ref="I178:K178"/>
    <mergeCell ref="L178:N178"/>
    <mergeCell ref="A183:E183"/>
    <mergeCell ref="F183:H183"/>
    <mergeCell ref="I183:K183"/>
    <mergeCell ref="L183:N183"/>
    <mergeCell ref="I179:K179"/>
    <mergeCell ref="L179:N179"/>
    <mergeCell ref="F180:H180"/>
    <mergeCell ref="L180:N180"/>
    <mergeCell ref="I180:K180"/>
    <mergeCell ref="F179:H179"/>
    <mergeCell ref="L184:N184"/>
    <mergeCell ref="A185:E185"/>
    <mergeCell ref="F185:H185"/>
    <mergeCell ref="I185:K185"/>
    <mergeCell ref="K142:L143"/>
    <mergeCell ref="K144:L145"/>
    <mergeCell ref="O144:O145"/>
    <mergeCell ref="B115:D115"/>
    <mergeCell ref="E115:G115"/>
    <mergeCell ref="H115:J115"/>
    <mergeCell ref="B116:D116"/>
    <mergeCell ref="E116:G116"/>
    <mergeCell ref="H116:J116"/>
    <mergeCell ref="C142:E143"/>
    <mergeCell ref="C144:E144"/>
    <mergeCell ref="C141:E141"/>
    <mergeCell ref="F141:H141"/>
    <mergeCell ref="F142:H143"/>
    <mergeCell ref="F144:H145"/>
    <mergeCell ref="B121:D121"/>
    <mergeCell ref="K115:M115"/>
    <mergeCell ref="K116:M116"/>
    <mergeCell ref="K124:M124"/>
    <mergeCell ref="K125:M125"/>
    <mergeCell ref="A130:C133"/>
    <mergeCell ref="D130:E131"/>
    <mergeCell ref="F130:G131"/>
    <mergeCell ref="H130:H131"/>
    <mergeCell ref="A147:B147"/>
    <mergeCell ref="A142:B145"/>
    <mergeCell ref="B113:D113"/>
    <mergeCell ref="A146:B146"/>
    <mergeCell ref="F146:H146"/>
    <mergeCell ref="E121:G121"/>
    <mergeCell ref="H121:J121"/>
    <mergeCell ref="B122:D122"/>
    <mergeCell ref="E122:G122"/>
    <mergeCell ref="B123:D123"/>
    <mergeCell ref="E123:G123"/>
    <mergeCell ref="B124:D124"/>
    <mergeCell ref="E124:G124"/>
    <mergeCell ref="B125:D125"/>
    <mergeCell ref="E125:G125"/>
    <mergeCell ref="F147:H147"/>
    <mergeCell ref="B114:D114"/>
    <mergeCell ref="E113:G113"/>
    <mergeCell ref="H124:J124"/>
    <mergeCell ref="E114:G114"/>
    <mergeCell ref="H125:J125"/>
    <mergeCell ref="H113:J113"/>
    <mergeCell ref="I144:J145"/>
    <mergeCell ref="I142:J143"/>
    <mergeCell ref="B112:D112"/>
    <mergeCell ref="A105:C105"/>
    <mergeCell ref="D105:E105"/>
    <mergeCell ref="F105:G105"/>
    <mergeCell ref="H105:I105"/>
    <mergeCell ref="J105:K105"/>
    <mergeCell ref="L105:N105"/>
    <mergeCell ref="E112:G112"/>
    <mergeCell ref="H112:J112"/>
    <mergeCell ref="A107:C107"/>
    <mergeCell ref="D107:E107"/>
    <mergeCell ref="F107:G107"/>
    <mergeCell ref="H107:I107"/>
    <mergeCell ref="J107:K107"/>
    <mergeCell ref="L107:N107"/>
    <mergeCell ref="A106:C106"/>
    <mergeCell ref="D106:E106"/>
    <mergeCell ref="F106:G106"/>
    <mergeCell ref="H106:I106"/>
    <mergeCell ref="J106:K106"/>
    <mergeCell ref="L106:N106"/>
    <mergeCell ref="K112:M112"/>
    <mergeCell ref="A104:C104"/>
    <mergeCell ref="D104:E104"/>
    <mergeCell ref="F104:G104"/>
    <mergeCell ref="H104:I104"/>
    <mergeCell ref="J104:K104"/>
    <mergeCell ref="L104:N104"/>
    <mergeCell ref="A100:C100"/>
    <mergeCell ref="D100:E100"/>
    <mergeCell ref="F100:G100"/>
    <mergeCell ref="A102:C102"/>
    <mergeCell ref="D102:E102"/>
    <mergeCell ref="F102:G102"/>
    <mergeCell ref="H102:I102"/>
    <mergeCell ref="J102:K102"/>
    <mergeCell ref="L102:N102"/>
    <mergeCell ref="A103:C103"/>
    <mergeCell ref="D103:E103"/>
    <mergeCell ref="F103:G103"/>
    <mergeCell ref="H103:I103"/>
    <mergeCell ref="J103:K103"/>
    <mergeCell ref="L103:N103"/>
    <mergeCell ref="H101:I101"/>
    <mergeCell ref="J101:K101"/>
    <mergeCell ref="H100:I100"/>
    <mergeCell ref="J100:K100"/>
    <mergeCell ref="L100:N100"/>
    <mergeCell ref="L101:N101"/>
    <mergeCell ref="A101:C101"/>
    <mergeCell ref="D101:E101"/>
    <mergeCell ref="F101:G101"/>
    <mergeCell ref="H95:I97"/>
    <mergeCell ref="J95:K97"/>
    <mergeCell ref="L95:N97"/>
    <mergeCell ref="A95:C99"/>
    <mergeCell ref="D95:E97"/>
    <mergeCell ref="F95:G97"/>
    <mergeCell ref="F98:G99"/>
    <mergeCell ref="H98:I99"/>
    <mergeCell ref="J98:K99"/>
    <mergeCell ref="L98:N99"/>
    <mergeCell ref="D98:E99"/>
    <mergeCell ref="A93:N93"/>
    <mergeCell ref="A94:C94"/>
    <mergeCell ref="D94:E94"/>
    <mergeCell ref="F94:G94"/>
    <mergeCell ref="H94:I94"/>
    <mergeCell ref="J94:K94"/>
    <mergeCell ref="N88:N89"/>
    <mergeCell ref="I89:J89"/>
    <mergeCell ref="K86:K87"/>
    <mergeCell ref="L86:L87"/>
    <mergeCell ref="M86:M87"/>
    <mergeCell ref="N86:N87"/>
    <mergeCell ref="I87:J87"/>
    <mergeCell ref="L94:N94"/>
    <mergeCell ref="L88:L89"/>
    <mergeCell ref="M88:M89"/>
    <mergeCell ref="F82:G84"/>
    <mergeCell ref="H82:H84"/>
    <mergeCell ref="H88:H89"/>
    <mergeCell ref="I88:J88"/>
    <mergeCell ref="K88:K89"/>
    <mergeCell ref="A88:B89"/>
    <mergeCell ref="C88:C89"/>
    <mergeCell ref="D88:D89"/>
    <mergeCell ref="E88:E89"/>
    <mergeCell ref="F88:G89"/>
    <mergeCell ref="A85:B85"/>
    <mergeCell ref="F85:G85"/>
    <mergeCell ref="L80:L81"/>
    <mergeCell ref="M80:M83"/>
    <mergeCell ref="N80:N81"/>
    <mergeCell ref="C82:E82"/>
    <mergeCell ref="K82:K83"/>
    <mergeCell ref="L82:L83"/>
    <mergeCell ref="N82:N83"/>
    <mergeCell ref="I85:J85"/>
    <mergeCell ref="A86:B87"/>
    <mergeCell ref="C86:C87"/>
    <mergeCell ref="D86:D87"/>
    <mergeCell ref="E86:E87"/>
    <mergeCell ref="F86:G87"/>
    <mergeCell ref="H86:H87"/>
    <mergeCell ref="I86:J86"/>
    <mergeCell ref="C80:E81"/>
    <mergeCell ref="F80:G81"/>
    <mergeCell ref="H80:H81"/>
    <mergeCell ref="I80:J83"/>
    <mergeCell ref="K80:K81"/>
    <mergeCell ref="A80:B84"/>
    <mergeCell ref="C83:C84"/>
    <mergeCell ref="D83:D84"/>
    <mergeCell ref="E83:E84"/>
    <mergeCell ref="A78:N78"/>
    <mergeCell ref="A79:B79"/>
    <mergeCell ref="C79:E79"/>
    <mergeCell ref="F79:G79"/>
    <mergeCell ref="I79:J79"/>
    <mergeCell ref="L73:N73"/>
    <mergeCell ref="L74:N74"/>
    <mergeCell ref="A73:C73"/>
    <mergeCell ref="D73:E73"/>
    <mergeCell ref="F73:G73"/>
    <mergeCell ref="H73:I73"/>
    <mergeCell ref="J73:K73"/>
    <mergeCell ref="A74:C74"/>
    <mergeCell ref="D74:E74"/>
    <mergeCell ref="F74:G74"/>
    <mergeCell ref="H74:I74"/>
    <mergeCell ref="J74:K74"/>
    <mergeCell ref="A71:C71"/>
    <mergeCell ref="D71:E71"/>
    <mergeCell ref="F71:G71"/>
    <mergeCell ref="H71:I71"/>
    <mergeCell ref="J71:K71"/>
    <mergeCell ref="L71:N71"/>
    <mergeCell ref="A72:C72"/>
    <mergeCell ref="D72:E72"/>
    <mergeCell ref="F72:G72"/>
    <mergeCell ref="H72:I72"/>
    <mergeCell ref="J72:K72"/>
    <mergeCell ref="L72:N72"/>
    <mergeCell ref="A70:C70"/>
    <mergeCell ref="D70:E70"/>
    <mergeCell ref="F70:G70"/>
    <mergeCell ref="H70:I70"/>
    <mergeCell ref="J70:K70"/>
    <mergeCell ref="L70:N70"/>
    <mergeCell ref="A68:C68"/>
    <mergeCell ref="D68:E68"/>
    <mergeCell ref="F68:G68"/>
    <mergeCell ref="D66:E67"/>
    <mergeCell ref="H69:I69"/>
    <mergeCell ref="J69:K69"/>
    <mergeCell ref="H68:I68"/>
    <mergeCell ref="J68:K68"/>
    <mergeCell ref="H63:I65"/>
    <mergeCell ref="J63:K65"/>
    <mergeCell ref="L63:N65"/>
    <mergeCell ref="A63:C67"/>
    <mergeCell ref="D63:E65"/>
    <mergeCell ref="F63:G65"/>
    <mergeCell ref="F66:G67"/>
    <mergeCell ref="H66:I67"/>
    <mergeCell ref="J66:K67"/>
    <mergeCell ref="L66:N67"/>
    <mergeCell ref="L68:N68"/>
    <mergeCell ref="L69:N69"/>
    <mergeCell ref="A69:C69"/>
    <mergeCell ref="D69:E69"/>
    <mergeCell ref="F69:G69"/>
    <mergeCell ref="H56:H57"/>
    <mergeCell ref="A61:N61"/>
    <mergeCell ref="L56:L57"/>
    <mergeCell ref="F62:G62"/>
    <mergeCell ref="H62:I62"/>
    <mergeCell ref="J62:K62"/>
    <mergeCell ref="A53:B53"/>
    <mergeCell ref="A54:B55"/>
    <mergeCell ref="C54:C55"/>
    <mergeCell ref="D54:D55"/>
    <mergeCell ref="A56:B57"/>
    <mergeCell ref="C56:C57"/>
    <mergeCell ref="D56:D57"/>
    <mergeCell ref="F53:G53"/>
    <mergeCell ref="F54:G55"/>
    <mergeCell ref="F56:G57"/>
    <mergeCell ref="H54:H55"/>
    <mergeCell ref="C48:E48"/>
    <mergeCell ref="M43:N43"/>
    <mergeCell ref="M49:M52"/>
    <mergeCell ref="N49:N50"/>
    <mergeCell ref="L51:L52"/>
    <mergeCell ref="N51:N52"/>
    <mergeCell ref="A62:C62"/>
    <mergeCell ref="D62:E62"/>
    <mergeCell ref="N56:N57"/>
    <mergeCell ref="I57:J57"/>
    <mergeCell ref="N54:N55"/>
    <mergeCell ref="I55:J55"/>
    <mergeCell ref="M56:M57"/>
    <mergeCell ref="L62:N62"/>
    <mergeCell ref="K56:K57"/>
    <mergeCell ref="L54:L55"/>
    <mergeCell ref="M54:M55"/>
    <mergeCell ref="E54:E55"/>
    <mergeCell ref="I53:J53"/>
    <mergeCell ref="I54:J54"/>
    <mergeCell ref="I56:J56"/>
    <mergeCell ref="K54:K55"/>
    <mergeCell ref="A49:B52"/>
    <mergeCell ref="E56:E57"/>
    <mergeCell ref="I43:J43"/>
    <mergeCell ref="A41:B41"/>
    <mergeCell ref="A43:B43"/>
    <mergeCell ref="E42:F42"/>
    <mergeCell ref="E43:F43"/>
    <mergeCell ref="G42:H42"/>
    <mergeCell ref="G43:H43"/>
    <mergeCell ref="K42:L42"/>
    <mergeCell ref="I49:J52"/>
    <mergeCell ref="K49:K50"/>
    <mergeCell ref="C49:E50"/>
    <mergeCell ref="C51:E51"/>
    <mergeCell ref="H49:H50"/>
    <mergeCell ref="C43:D43"/>
    <mergeCell ref="K51:K52"/>
    <mergeCell ref="F48:G48"/>
    <mergeCell ref="F49:G50"/>
    <mergeCell ref="F51:G52"/>
    <mergeCell ref="H51:H52"/>
    <mergeCell ref="K43:L43"/>
    <mergeCell ref="L49:L50"/>
    <mergeCell ref="A47:N47"/>
    <mergeCell ref="A48:B48"/>
    <mergeCell ref="I48:J48"/>
    <mergeCell ref="M42:N42"/>
    <mergeCell ref="K41:L41"/>
    <mergeCell ref="E38:F38"/>
    <mergeCell ref="G38:H38"/>
    <mergeCell ref="I38:J38"/>
    <mergeCell ref="G39:H40"/>
    <mergeCell ref="G41:H41"/>
    <mergeCell ref="A39:B40"/>
    <mergeCell ref="A42:B42"/>
    <mergeCell ref="C41:D41"/>
    <mergeCell ref="C42:D42"/>
    <mergeCell ref="I42:J42"/>
    <mergeCell ref="J19:N19"/>
    <mergeCell ref="H20:I20"/>
    <mergeCell ref="I39:J40"/>
    <mergeCell ref="C39:D40"/>
    <mergeCell ref="J20:N20"/>
    <mergeCell ref="A20:G20"/>
    <mergeCell ref="H21:I21"/>
    <mergeCell ref="J21:N21"/>
    <mergeCell ref="H26:I26"/>
    <mergeCell ref="J26:N26"/>
    <mergeCell ref="A30:G30"/>
    <mergeCell ref="J30:N30"/>
    <mergeCell ref="K39:L40"/>
    <mergeCell ref="A19:G19"/>
    <mergeCell ref="A26:G26"/>
    <mergeCell ref="H27:I27"/>
    <mergeCell ref="A38:B38"/>
    <mergeCell ref="C38:D38"/>
    <mergeCell ref="H30:I30"/>
    <mergeCell ref="K38:L38"/>
    <mergeCell ref="J24:N24"/>
    <mergeCell ref="A37:N37"/>
    <mergeCell ref="A33:G33"/>
    <mergeCell ref="A34:G34"/>
    <mergeCell ref="H11:I11"/>
    <mergeCell ref="J11:N11"/>
    <mergeCell ref="A12:G12"/>
    <mergeCell ref="H12:I12"/>
    <mergeCell ref="I41:J41"/>
    <mergeCell ref="M38:N38"/>
    <mergeCell ref="M39:N40"/>
    <mergeCell ref="M41:N41"/>
    <mergeCell ref="A13:G13"/>
    <mergeCell ref="A11:D11"/>
    <mergeCell ref="H13:I13"/>
    <mergeCell ref="J13:N13"/>
    <mergeCell ref="A14:G14"/>
    <mergeCell ref="H14:I14"/>
    <mergeCell ref="J14:N14"/>
    <mergeCell ref="J12:N12"/>
    <mergeCell ref="E39:F40"/>
    <mergeCell ref="E41:F41"/>
    <mergeCell ref="A23:G23"/>
    <mergeCell ref="H23:I23"/>
    <mergeCell ref="J27:N27"/>
    <mergeCell ref="A21:G21"/>
    <mergeCell ref="A27:G27"/>
    <mergeCell ref="A15:G15"/>
    <mergeCell ref="A8:G8"/>
    <mergeCell ref="H8:I8"/>
    <mergeCell ref="J8:N8"/>
    <mergeCell ref="A9:G9"/>
    <mergeCell ref="H9:I9"/>
    <mergeCell ref="J9:N9"/>
    <mergeCell ref="H10:I10"/>
    <mergeCell ref="J10:N10"/>
    <mergeCell ref="A10:D10"/>
    <mergeCell ref="H15:I15"/>
    <mergeCell ref="J15:N15"/>
    <mergeCell ref="A16:G16"/>
    <mergeCell ref="H16:I16"/>
    <mergeCell ref="J16:N16"/>
    <mergeCell ref="A2:N2"/>
    <mergeCell ref="A3:G3"/>
    <mergeCell ref="H3:N3"/>
    <mergeCell ref="A4:C4"/>
    <mergeCell ref="E4:G4"/>
    <mergeCell ref="H4:J4"/>
    <mergeCell ref="K4:N4"/>
    <mergeCell ref="A5:C5"/>
    <mergeCell ref="E5:G5"/>
    <mergeCell ref="H5:J5"/>
    <mergeCell ref="K5:N5"/>
    <mergeCell ref="A6:C6"/>
    <mergeCell ref="E6:G6"/>
    <mergeCell ref="H6:J6"/>
    <mergeCell ref="K6:N6"/>
    <mergeCell ref="A7:C7"/>
    <mergeCell ref="E7:G7"/>
    <mergeCell ref="H7:J7"/>
    <mergeCell ref="K7:N7"/>
  </mergeCells>
  <conditionalFormatting sqref="J10:N10">
    <cfRule type="cellIs" dxfId="1" priority="2" stopIfTrue="1" operator="greaterThan">
      <formula>$F$10</formula>
    </cfRule>
  </conditionalFormatting>
  <conditionalFormatting sqref="J11:N11">
    <cfRule type="cellIs" dxfId="0" priority="1" stopIfTrue="1" operator="greaterThan">
      <formula>$F$11</formula>
    </cfRule>
  </conditionalFormatting>
  <dataValidations count="8">
    <dataValidation type="whole" operator="greaterThanOrEqual" allowBlank="1" showInputMessage="1" showErrorMessage="1" sqref="J27:N27 K30:N30 J29:J30 J33:N34" xr:uid="{00000000-0002-0000-0300-000000000000}">
      <formula1>0</formula1>
    </dataValidation>
    <dataValidation type="list" allowBlank="1" showInputMessage="1" showErrorMessage="1" sqref="J26:N26 J12:N12" xr:uid="{00000000-0002-0000-0300-000001000000}">
      <formula1>PresOrNot</formula1>
    </dataValidation>
    <dataValidation type="list" operator="greaterThanOrEqual" allowBlank="1" showInputMessage="1" showErrorMessage="1" sqref="J21:N24" xr:uid="{00000000-0002-0000-0300-000002000000}">
      <formula1>Phasing2</formula1>
    </dataValidation>
    <dataValidation type="list" operator="greaterThanOrEqual" allowBlank="1" showInputMessage="1" showErrorMessage="1" sqref="J18:N20 J25:N25" xr:uid="{00000000-0002-0000-0300-000003000000}">
      <formula1>TLanes</formula1>
    </dataValidation>
    <dataValidation type="whole" operator="greaterThan" allowBlank="1" showInputMessage="1" showErrorMessage="1" sqref="K7:N7" xr:uid="{00000000-0002-0000-0300-000004000000}">
      <formula1>1990</formula1>
    </dataValidation>
    <dataValidation type="whole" allowBlank="1" showInputMessage="1" showErrorMessage="1" sqref="J11:N11" xr:uid="{00000000-0002-0000-0300-000005000000}">
      <formula1>0</formula1>
      <formula2>49100</formula2>
    </dataValidation>
    <dataValidation type="whole" allowBlank="1" showInputMessage="1" showErrorMessage="1" sqref="J10:N10" xr:uid="{00000000-0002-0000-0300-000006000000}">
      <formula1>0</formula1>
      <formula2>80200</formula2>
    </dataValidation>
    <dataValidation type="list" operator="greaterThanOrEqual" allowBlank="1" showInputMessage="1" showErrorMessage="1" sqref="J15:N16" xr:uid="{00000000-0002-0000-0300-000007000000}">
      <formula1>UnsigApproach</formula1>
    </dataValidation>
  </dataValidations>
  <pageMargins left="0.88" right="0.28999999999999998" top="0.79" bottom="0.75" header="0.3" footer="0.3"/>
  <pageSetup scale="77" fitToHeight="4" orientation="landscape" r:id="rId1"/>
  <headerFooter>
    <oddHeader>&amp;CUrban and Suburban Arterial Predictive Method</oddHeader>
    <oddFooter>&amp;R&amp;P</oddFooter>
  </headerFooter>
  <rowBreaks count="3" manualBreakCount="3">
    <brk id="44" max="13" man="1"/>
    <brk id="91" max="13" man="1"/>
    <brk id="149" max="13" man="1"/>
  </rowBreaks>
  <extLst>
    <ext xmlns:x14="http://schemas.microsoft.com/office/spreadsheetml/2009/9/main" uri="{CCE6A557-97BC-4b89-ADB6-D9C93CAAB3DF}">
      <x14:dataValidations xmlns:xm="http://schemas.microsoft.com/office/excel/2006/main" count="4">
        <x14:dataValidation type="list" operator="greaterThan" allowBlank="1" showInputMessage="1" showErrorMessage="1" xr:uid="{00000000-0002-0000-0300-000008000000}">
          <x14:formula1>
            <xm:f>'Reference Tables (Intersection)'!$B$92:$B$96</xm:f>
          </x14:formula1>
          <xm:sqref>J9:N9</xm:sqref>
        </x14:dataValidation>
        <x14:dataValidation type="list" allowBlank="1" showInputMessage="1" showErrorMessage="1" xr:uid="{00000000-0002-0000-0300-000009000000}">
          <x14:formula1>
            <xm:f>'Reference Tables (Ped Segment )'!$C$171:$C$172</xm:f>
          </x14:formula1>
          <xm:sqref>J28</xm:sqref>
        </x14:dataValidation>
        <x14:dataValidation type="list" allowBlank="1" showInputMessage="1" showErrorMessage="1" xr:uid="{00000000-0002-0000-0300-00000A000000}">
          <x14:formula1>
            <xm:f>'Reference Tables (Intersection)'!$C$122:$C$123</xm:f>
          </x14:formula1>
          <xm:sqref>J32</xm:sqref>
        </x14:dataValidation>
        <x14:dataValidation type="list" operator="greaterThanOrEqual" allowBlank="1" showInputMessage="1" showErrorMessage="1" xr:uid="{00000000-0002-0000-0300-00000B000000}">
          <x14:formula1>
            <xm:f>'Reference Tables (Intersection)'!$J$115:$J$116</xm:f>
          </x14:formula1>
          <xm:sqref>J31:N31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2:F56"/>
  <sheetViews>
    <sheetView topLeftCell="B1" zoomScaleNormal="100" workbookViewId="0">
      <selection activeCell="D32" sqref="D32"/>
    </sheetView>
  </sheetViews>
  <sheetFormatPr defaultColWidth="8.7265625" defaultRowHeight="14.5" x14ac:dyDescent="0.35"/>
  <cols>
    <col min="1" max="1" width="8.7265625" style="198"/>
    <col min="2" max="2" width="68.54296875" style="198" customWidth="1"/>
    <col min="3" max="3" width="25.453125" style="198" customWidth="1"/>
    <col min="4" max="4" width="24.1796875" style="198" customWidth="1"/>
    <col min="5" max="5" width="31.453125" style="198" customWidth="1"/>
    <col min="6" max="6" width="24.26953125" style="198" customWidth="1"/>
    <col min="7" max="15" width="8.7265625" style="198"/>
    <col min="16" max="16" width="68.54296875" style="198" customWidth="1"/>
    <col min="17" max="16384" width="8.7265625" style="198"/>
  </cols>
  <sheetData>
    <row r="2" spans="2:6" ht="26" x14ac:dyDescent="0.6">
      <c r="B2" s="203" t="s">
        <v>1030</v>
      </c>
      <c r="C2" s="218"/>
      <c r="D2" s="207"/>
    </row>
    <row r="3" spans="2:6" ht="21" x14ac:dyDescent="0.5">
      <c r="B3" s="217" t="s">
        <v>380</v>
      </c>
      <c r="C3" s="917" t="s">
        <v>705</v>
      </c>
      <c r="D3" s="918"/>
      <c r="F3" s="300" t="str">
        <f>'Ped&amp;Bike (Segments)'!C3 &amp; " ("  &amp; INDEX('Reference Tables (Ped Intersct)'!E84:E93,MATCH('Ped&amp;Bike (Intersections)'!C3,'Reference Tables (Ped Intersct)'!B84:B93,0),1) &amp; ")"</f>
        <v>Two-lane undivided (3SG)</v>
      </c>
    </row>
    <row r="5" spans="2:6" ht="21" x14ac:dyDescent="0.5">
      <c r="B5" s="216" t="s">
        <v>686</v>
      </c>
      <c r="C5" s="215" t="s">
        <v>685</v>
      </c>
      <c r="D5" s="215" t="s">
        <v>684</v>
      </c>
      <c r="E5" s="215" t="s">
        <v>683</v>
      </c>
      <c r="F5" s="215" t="s">
        <v>682</v>
      </c>
    </row>
    <row r="6" spans="2:6" x14ac:dyDescent="0.35">
      <c r="B6" s="199" t="s">
        <v>681</v>
      </c>
      <c r="C6" s="278">
        <v>50000</v>
      </c>
      <c r="D6" s="259">
        <v>50000</v>
      </c>
      <c r="E6" s="259">
        <v>20000</v>
      </c>
      <c r="F6" s="259">
        <v>20000</v>
      </c>
    </row>
    <row r="7" spans="2:6" x14ac:dyDescent="0.35">
      <c r="B7" s="199" t="s">
        <v>635</v>
      </c>
      <c r="C7" s="279">
        <v>45</v>
      </c>
      <c r="D7" s="258">
        <v>45</v>
      </c>
      <c r="E7" s="258">
        <v>35</v>
      </c>
      <c r="F7" s="258">
        <v>35</v>
      </c>
    </row>
    <row r="8" spans="2:6" x14ac:dyDescent="0.35">
      <c r="B8" s="199" t="s">
        <v>597</v>
      </c>
      <c r="C8" s="279" t="s">
        <v>596</v>
      </c>
      <c r="D8" s="258" t="s">
        <v>596</v>
      </c>
      <c r="E8" s="258" t="s">
        <v>596</v>
      </c>
      <c r="F8" s="258" t="s">
        <v>596</v>
      </c>
    </row>
    <row r="9" spans="2:6" x14ac:dyDescent="0.35">
      <c r="B9" s="199" t="s">
        <v>680</v>
      </c>
      <c r="C9" s="279" t="s">
        <v>678</v>
      </c>
      <c r="D9" s="279" t="s">
        <v>678</v>
      </c>
      <c r="E9" s="279" t="s">
        <v>678</v>
      </c>
      <c r="F9" s="279" t="s">
        <v>678</v>
      </c>
    </row>
    <row r="10" spans="2:6" x14ac:dyDescent="0.35">
      <c r="B10" s="199" t="s">
        <v>644</v>
      </c>
      <c r="C10" s="258" t="s">
        <v>1253</v>
      </c>
    </row>
    <row r="12" spans="2:6" ht="21" x14ac:dyDescent="0.5">
      <c r="B12" s="216" t="s">
        <v>677</v>
      </c>
    </row>
    <row r="13" spans="2:6" x14ac:dyDescent="0.35">
      <c r="B13" s="199" t="s">
        <v>676</v>
      </c>
      <c r="C13" s="279" t="s">
        <v>669</v>
      </c>
      <c r="D13" s="258" t="s">
        <v>669</v>
      </c>
      <c r="E13" s="258" t="s">
        <v>669</v>
      </c>
      <c r="F13" s="258" t="s">
        <v>669</v>
      </c>
    </row>
    <row r="14" spans="2:6" x14ac:dyDescent="0.35">
      <c r="B14" s="199" t="s">
        <v>595</v>
      </c>
      <c r="C14" s="279" t="s">
        <v>592</v>
      </c>
      <c r="D14" s="279" t="s">
        <v>592</v>
      </c>
      <c r="E14" s="258" t="s">
        <v>594</v>
      </c>
      <c r="F14" s="258" t="s">
        <v>594</v>
      </c>
    </row>
    <row r="15" spans="2:6" x14ac:dyDescent="0.35">
      <c r="B15" s="199" t="s">
        <v>603</v>
      </c>
      <c r="C15" s="279" t="s">
        <v>620</v>
      </c>
      <c r="D15" s="258" t="s">
        <v>620</v>
      </c>
      <c r="E15" s="258" t="s">
        <v>620</v>
      </c>
      <c r="F15" s="258" t="s">
        <v>620</v>
      </c>
    </row>
    <row r="16" spans="2:6" x14ac:dyDescent="0.35">
      <c r="B16" s="199" t="s">
        <v>607</v>
      </c>
      <c r="C16" s="279" t="s">
        <v>606</v>
      </c>
      <c r="D16" s="279" t="s">
        <v>606</v>
      </c>
      <c r="E16" s="258" t="s">
        <v>606</v>
      </c>
      <c r="F16" s="258" t="s">
        <v>606</v>
      </c>
    </row>
    <row r="17" spans="2:6" x14ac:dyDescent="0.35">
      <c r="B17" s="199" t="s">
        <v>605</v>
      </c>
      <c r="C17" s="279" t="s">
        <v>675</v>
      </c>
      <c r="D17" s="258" t="s">
        <v>675</v>
      </c>
      <c r="E17" s="258" t="s">
        <v>675</v>
      </c>
      <c r="F17" s="258" t="s">
        <v>675</v>
      </c>
    </row>
    <row r="18" spans="2:6" x14ac:dyDescent="0.35">
      <c r="B18" s="199" t="s">
        <v>674</v>
      </c>
      <c r="C18" s="279" t="s">
        <v>600</v>
      </c>
      <c r="D18" s="258" t="s">
        <v>600</v>
      </c>
      <c r="E18" s="258" t="s">
        <v>600</v>
      </c>
      <c r="F18" s="258" t="s">
        <v>600</v>
      </c>
    </row>
    <row r="19" spans="2:6" x14ac:dyDescent="0.35">
      <c r="B19" s="199" t="s">
        <v>599</v>
      </c>
      <c r="C19" s="279" t="s">
        <v>156</v>
      </c>
      <c r="D19" s="258" t="s">
        <v>156</v>
      </c>
      <c r="E19" s="258" t="s">
        <v>156</v>
      </c>
      <c r="F19" s="258" t="s">
        <v>156</v>
      </c>
    </row>
    <row r="20" spans="2:6" x14ac:dyDescent="0.35">
      <c r="B20" s="199" t="s">
        <v>598</v>
      </c>
      <c r="C20" s="279" t="s">
        <v>156</v>
      </c>
      <c r="D20" s="258" t="s">
        <v>156</v>
      </c>
      <c r="E20" s="258" t="s">
        <v>156</v>
      </c>
      <c r="F20" s="258" t="s">
        <v>156</v>
      </c>
    </row>
    <row r="21" spans="2:6" x14ac:dyDescent="0.35">
      <c r="B21" s="199" t="s">
        <v>591</v>
      </c>
      <c r="C21" s="278">
        <v>1</v>
      </c>
      <c r="D21" s="259">
        <v>1</v>
      </c>
      <c r="E21" s="259">
        <v>0</v>
      </c>
      <c r="F21" s="259">
        <v>0</v>
      </c>
    </row>
    <row r="23" spans="2:6" ht="21" x14ac:dyDescent="0.5">
      <c r="B23" s="216" t="s">
        <v>673</v>
      </c>
      <c r="C23" s="215" t="s">
        <v>672</v>
      </c>
      <c r="E23" s="215" t="s">
        <v>671</v>
      </c>
    </row>
    <row r="24" spans="2:6" x14ac:dyDescent="0.35">
      <c r="B24" s="214" t="s">
        <v>670</v>
      </c>
      <c r="C24" s="258" t="s">
        <v>669</v>
      </c>
      <c r="E24" s="258" t="s">
        <v>669</v>
      </c>
    </row>
    <row r="25" spans="2:6" x14ac:dyDescent="0.35">
      <c r="B25" s="214" t="s">
        <v>668</v>
      </c>
      <c r="C25" s="258" t="s">
        <v>156</v>
      </c>
      <c r="E25" s="258" t="s">
        <v>156</v>
      </c>
    </row>
    <row r="26" spans="2:6" x14ac:dyDescent="0.35">
      <c r="B26" s="214" t="s">
        <v>667</v>
      </c>
      <c r="C26" s="258" t="s">
        <v>666</v>
      </c>
      <c r="E26" s="258" t="s">
        <v>156</v>
      </c>
    </row>
    <row r="27" spans="2:6" x14ac:dyDescent="0.35">
      <c r="B27" s="214" t="s">
        <v>665</v>
      </c>
      <c r="C27" s="258" t="s">
        <v>664</v>
      </c>
      <c r="E27" s="258" t="s">
        <v>664</v>
      </c>
    </row>
    <row r="28" spans="2:6" x14ac:dyDescent="0.35">
      <c r="B28" s="214" t="s">
        <v>663</v>
      </c>
      <c r="C28" s="258" t="s">
        <v>627</v>
      </c>
      <c r="E28" s="258" t="s">
        <v>627</v>
      </c>
    </row>
    <row r="29" spans="2:6" x14ac:dyDescent="0.35">
      <c r="B29" s="214" t="s">
        <v>662</v>
      </c>
      <c r="C29" s="258" t="s">
        <v>596</v>
      </c>
      <c r="E29" s="258" t="s">
        <v>596</v>
      </c>
    </row>
    <row r="56" ht="15" customHeight="1" x14ac:dyDescent="0.35"/>
  </sheetData>
  <mergeCells count="1">
    <mergeCell ref="C3:D3"/>
  </mergeCells>
  <pageMargins left="0.7" right="0.7" top="0.75" bottom="0.75" header="0.51180555555555496" footer="0.51180555555555496"/>
  <pageSetup firstPageNumber="0" orientation="portrait" horizontalDpi="300" verticalDpi="300"/>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400-000000000000}">
          <x14:formula1>
            <xm:f>'Reference Tables (Ped Intersct)'!$B$84:$B$93</xm:f>
          </x14:formula1>
          <xm:sqref>C3</xm:sqref>
        </x14:dataValidation>
        <x14:dataValidation type="list" allowBlank="1" showInputMessage="1" showErrorMessage="1" xr:uid="{00000000-0002-0000-0400-000001000000}">
          <x14:formula1>
            <xm:f>'Reference Tables (Ped Intersct)'!$B$64:$B$70</xm:f>
          </x14:formula1>
          <xm:sqref>D9:F10 C9</xm:sqref>
        </x14:dataValidation>
        <x14:dataValidation type="list" allowBlank="1" showInputMessage="1" showErrorMessage="1" xr:uid="{00000000-0002-0000-0400-000002000000}">
          <x14:formula1>
            <xm:f>'ReferenceTables (Bike Intersct)'!$B$4:$B$12</xm:f>
          </x14:formula1>
          <x14:formula2>
            <xm:f>0</xm:f>
          </x14:formula2>
          <xm:sqref>C25:C26 E25:E26</xm:sqref>
        </x14:dataValidation>
        <x14:dataValidation type="list" allowBlank="1" showInputMessage="1" showErrorMessage="1" xr:uid="{00000000-0002-0000-0400-000003000000}">
          <x14:formula1>
            <xm:f>'ReferenceTables (Bike Intersct)'!$B$93:$B$103</xm:f>
          </x14:formula1>
          <x14:formula2>
            <xm:f>0</xm:f>
          </x14:formula2>
          <xm:sqref>C24 E24</xm:sqref>
        </x14:dataValidation>
        <x14:dataValidation type="list" allowBlank="1" showInputMessage="1" showErrorMessage="1" xr:uid="{00000000-0002-0000-0400-000004000000}">
          <x14:formula1>
            <xm:f>'ReferenceTables (Bike Intersct)'!$B$39:$B$41</xm:f>
          </x14:formula1>
          <x14:formula2>
            <xm:f>0</xm:f>
          </x14:formula2>
          <xm:sqref>C28 E28</xm:sqref>
        </x14:dataValidation>
        <x14:dataValidation type="list" allowBlank="1" showInputMessage="1" showErrorMessage="1" xr:uid="{00000000-0002-0000-0400-000005000000}">
          <x14:formula1>
            <xm:f>'ReferenceTables (Bike Intersct)'!$B$45:$B$46</xm:f>
          </x14:formula1>
          <x14:formula2>
            <xm:f>0</xm:f>
          </x14:formula2>
          <xm:sqref>C29 E29</xm:sqref>
        </x14:dataValidation>
        <x14:dataValidation type="list" allowBlank="1" showInputMessage="1" showErrorMessage="1" xr:uid="{00000000-0002-0000-0400-000006000000}">
          <x14:formula1>
            <xm:f>'ReferenceTables (Bike Intersct)'!$B$16:$B$22</xm:f>
          </x14:formula1>
          <x14:formula2>
            <xm:f>0</xm:f>
          </x14:formula2>
          <xm:sqref>C27 E27</xm:sqref>
        </x14:dataValidation>
        <x14:dataValidation type="list" allowBlank="1" showInputMessage="1" showErrorMessage="1" xr:uid="{00000000-0002-0000-0400-000007000000}">
          <x14:formula1>
            <xm:f>'Reference Tables (Ped Intersct)'!$B$104:$B$114</xm:f>
          </x14:formula1>
          <x14:formula2>
            <xm:f>0</xm:f>
          </x14:formula2>
          <xm:sqref>C13:F13</xm:sqref>
        </x14:dataValidation>
        <x14:dataValidation type="list" allowBlank="1" showInputMessage="1" showErrorMessage="1" xr:uid="{00000000-0002-0000-0400-000008000000}">
          <x14:formula1>
            <xm:f>'Reference Tables (Ped Segment )'!$B$97:$B$98</xm:f>
          </x14:formula1>
          <x14:formula2>
            <xm:f>0</xm:f>
          </x14:formula2>
          <xm:sqref>D17</xm:sqref>
        </x14:dataValidation>
        <x14:dataValidation type="list" allowBlank="1" showInputMessage="1" showErrorMessage="1" xr:uid="{00000000-0002-0000-0400-000009000000}">
          <x14:formula1>
            <xm:f>'Reference Tables (Ped Intersct)'!$B$59:$B$60</xm:f>
          </x14:formula1>
          <x14:formula2>
            <xm:f>0</xm:f>
          </x14:formula2>
          <xm:sqref>C8:F8</xm:sqref>
        </x14:dataValidation>
        <x14:dataValidation type="list" allowBlank="1" showInputMessage="1" showErrorMessage="1" xr:uid="{00000000-0002-0000-0400-00000A000000}">
          <x14:formula1>
            <xm:f>'Reference Tables (Ped Intersct)'!$B$3:$B$17</xm:f>
          </x14:formula1>
          <x14:formula2>
            <xm:f>0</xm:f>
          </x14:formula2>
          <xm:sqref>C7:F7</xm:sqref>
        </x14:dataValidation>
        <x14:dataValidation type="list" allowBlank="1" showInputMessage="1" showErrorMessage="1" xr:uid="{00000000-0002-0000-0400-00000B000000}">
          <x14:formula1>
            <xm:f>'Reference Tables (Ped Intersct)'!$B$20:$B$23</xm:f>
          </x14:formula1>
          <x14:formula2>
            <xm:f>0</xm:f>
          </x14:formula2>
          <xm:sqref>C15:F15</xm:sqref>
        </x14:dataValidation>
        <x14:dataValidation type="list" allowBlank="1" showInputMessage="1" showErrorMessage="1" xr:uid="{00000000-0002-0000-0400-00000C000000}">
          <x14:formula1>
            <xm:f>'Reference Tables (Ped Intersct)'!$B$28:$B$37</xm:f>
          </x14:formula1>
          <x14:formula2>
            <xm:f>0</xm:f>
          </x14:formula2>
          <xm:sqref>C17 E17:F17</xm:sqref>
        </x14:dataValidation>
        <x14:dataValidation type="list" allowBlank="1" showInputMessage="1" showErrorMessage="1" xr:uid="{00000000-0002-0000-0400-00000D000000}">
          <x14:formula1>
            <xm:f>'Reference Tables (Ped Intersct)'!$C$27:$E$27</xm:f>
          </x14:formula1>
          <x14:formula2>
            <xm:f>0</xm:f>
          </x14:formula2>
          <xm:sqref>C16:F16</xm:sqref>
        </x14:dataValidation>
        <x14:dataValidation type="list" allowBlank="1" showInputMessage="1" showErrorMessage="1" xr:uid="{00000000-0002-0000-0400-00000E000000}">
          <x14:formula1>
            <xm:f>'Reference Tables (Ped Intersct)'!$B$41:$B$43</xm:f>
          </x14:formula1>
          <x14:formula2>
            <xm:f>0</xm:f>
          </x14:formula2>
          <xm:sqref>C18:F18</xm:sqref>
        </x14:dataValidation>
        <x14:dataValidation type="list" allowBlank="1" showInputMessage="1" showErrorMessage="1" xr:uid="{00000000-0002-0000-0400-00000F000000}">
          <x14:formula1>
            <xm:f>'Reference Tables (Ped Intersct)'!$B$47:$B$49</xm:f>
          </x14:formula1>
          <x14:formula2>
            <xm:f>0</xm:f>
          </x14:formula2>
          <xm:sqref>C19:F19</xm:sqref>
        </x14:dataValidation>
        <x14:dataValidation type="list" allowBlank="1" showInputMessage="1" showErrorMessage="1" xr:uid="{00000000-0002-0000-0400-000010000000}">
          <x14:formula1>
            <xm:f>'Reference Tables (Ped Intersct)'!$B$53:$B$55</xm:f>
          </x14:formula1>
          <x14:formula2>
            <xm:f>0</xm:f>
          </x14:formula2>
          <xm:sqref>C20:F20</xm:sqref>
        </x14:dataValidation>
        <x14:dataValidation type="list" allowBlank="1" showInputMessage="1" showErrorMessage="1" xr:uid="{00000000-0002-0000-0400-000011000000}">
          <x14:formula1>
            <xm:f>'Reference Tables (Ped Intersct)'!$B$74:$B$80</xm:f>
          </x14:formula1>
          <x14:formula2>
            <xm:f>0</xm:f>
          </x14:formula2>
          <xm:sqref>C14:F14</xm:sqref>
        </x14:dataValidation>
        <x14:dataValidation type="list" allowBlank="1" showInputMessage="1" showErrorMessage="1" xr:uid="{00000000-0002-0000-0400-000012000000}">
          <x14:formula1>
            <xm:f>'Reference Tables (Ped Intersct)'!$B$118:$B$120</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B2:O56"/>
  <sheetViews>
    <sheetView topLeftCell="G1" zoomScaleNormal="100" workbookViewId="0">
      <selection activeCell="L19" sqref="L19"/>
    </sheetView>
  </sheetViews>
  <sheetFormatPr defaultColWidth="8.7265625" defaultRowHeight="14.5" x14ac:dyDescent="0.35"/>
  <cols>
    <col min="1" max="1" width="3" style="198" customWidth="1"/>
    <col min="2" max="2" width="60.54296875" style="198" customWidth="1"/>
    <col min="3" max="3" width="30.1796875" style="198" customWidth="1"/>
    <col min="4" max="4" width="61.7265625" style="198" customWidth="1"/>
    <col min="5" max="7" width="19" style="198" customWidth="1"/>
    <col min="8" max="8" width="8.7265625" style="198"/>
    <col min="9" max="9" width="64.54296875" style="198" customWidth="1"/>
    <col min="10" max="10" width="26.54296875" style="198" customWidth="1"/>
    <col min="11" max="11" width="8.7265625" style="198"/>
    <col min="12" max="12" width="24.453125" style="198" customWidth="1"/>
    <col min="13" max="13" width="30.7265625" style="198" customWidth="1"/>
    <col min="14" max="14" width="23.26953125" style="198" customWidth="1"/>
    <col min="15" max="15" width="27.54296875" style="198" customWidth="1"/>
    <col min="16" max="16384" width="8.7265625" style="198"/>
  </cols>
  <sheetData>
    <row r="2" spans="2:15" ht="30" customHeight="1" x14ac:dyDescent="0.6">
      <c r="B2" s="223" t="s">
        <v>960</v>
      </c>
      <c r="I2" s="223" t="s">
        <v>1027</v>
      </c>
      <c r="M2" s="919" t="s">
        <v>661</v>
      </c>
      <c r="N2" s="920"/>
      <c r="O2" s="921"/>
    </row>
    <row r="3" spans="2:15" x14ac:dyDescent="0.35">
      <c r="B3" s="200" t="s">
        <v>660</v>
      </c>
      <c r="C3" s="213" t="s">
        <v>657</v>
      </c>
      <c r="D3" s="200" t="s">
        <v>659</v>
      </c>
      <c r="E3" s="213" t="s">
        <v>657</v>
      </c>
      <c r="I3" s="200" t="s">
        <v>658</v>
      </c>
      <c r="J3" s="213" t="s">
        <v>657</v>
      </c>
      <c r="L3" s="212"/>
      <c r="M3" s="211" t="s">
        <v>644</v>
      </c>
      <c r="N3" s="210" t="s">
        <v>656</v>
      </c>
      <c r="O3" s="210" t="s">
        <v>655</v>
      </c>
    </row>
    <row r="4" spans="2:15" ht="16.5" x14ac:dyDescent="0.45">
      <c r="B4" s="199" t="s">
        <v>1139</v>
      </c>
      <c r="C4" s="290">
        <f>VLOOKUP('Ped&amp;Bike (Segments)'!C18,'Reference Tables (Ped Segment )'!B3:C12,2,0)</f>
        <v>266.67</v>
      </c>
      <c r="D4" s="199" t="s">
        <v>1139</v>
      </c>
      <c r="E4" s="290">
        <f>VLOOKUP('Ped&amp;Bike (Segments)'!D18,'Reference Tables (Ped Segment )'!B3:C12,2,0)</f>
        <v>266.67</v>
      </c>
      <c r="I4" s="199" t="s">
        <v>1180</v>
      </c>
      <c r="J4" s="290">
        <f>AVERAGE(VLOOKUP('Ped&amp;Bike (Segments)'!C23,'Reference Tables (Bike Segment)'!B4:C12,2,0),VLOOKUP('Ped&amp;Bike (Segments)'!D23,'Reference Tables (Bike Segment)'!B4:C12,2,0))</f>
        <v>200</v>
      </c>
      <c r="M4" s="199" t="s">
        <v>643</v>
      </c>
      <c r="N4" s="297">
        <v>1</v>
      </c>
      <c r="O4" s="297">
        <v>1</v>
      </c>
    </row>
    <row r="5" spans="2:15" ht="16.5" x14ac:dyDescent="0.45">
      <c r="B5" s="199" t="s">
        <v>654</v>
      </c>
      <c r="C5" s="290">
        <f>VLOOKUP('Ped&amp;Bike (Segments)'!C18,'Reference Tables (Ped Segment )'!B3:D12,3,0)</f>
        <v>90</v>
      </c>
      <c r="D5" s="199" t="s">
        <v>654</v>
      </c>
      <c r="E5" s="290">
        <f>VLOOKUP('Ped&amp;Bike (Segments)'!D18,'Reference Tables (Ped Segment )'!B3:D12,3,0)</f>
        <v>90</v>
      </c>
      <c r="I5" s="199" t="s">
        <v>1181</v>
      </c>
      <c r="J5" s="290">
        <f>AVERAGE(VLOOKUP('Ped&amp;Bike (Segments)'!C23,'Reference Tables (Bike Segment)'!B4:D12,3,0),VLOOKUP('Ped&amp;Bike (Segments)'!D23,'Reference Tables (Bike Segment)'!B4:D12,3,0))</f>
        <v>90</v>
      </c>
      <c r="M5" s="199" t="s">
        <v>653</v>
      </c>
      <c r="N5" s="297">
        <v>1</v>
      </c>
      <c r="O5" s="297">
        <v>1</v>
      </c>
    </row>
    <row r="6" spans="2:15" ht="16.5" x14ac:dyDescent="0.45">
      <c r="B6" s="199" t="s">
        <v>1140</v>
      </c>
      <c r="C6" s="290">
        <f>VLOOKUP('Ped&amp;Bike (Segments)'!C19,'Reference Tables (Ped Segment )'!B16:C19,2,0)</f>
        <v>1</v>
      </c>
      <c r="D6" s="199" t="s">
        <v>1140</v>
      </c>
      <c r="E6" s="290">
        <f>VLOOKUP('Ped&amp;Bike (Segments)'!D19,'Reference Tables (Ped Segment )'!B16:C19,2,0)</f>
        <v>1</v>
      </c>
      <c r="I6" s="199" t="s">
        <v>1182</v>
      </c>
      <c r="J6" s="290">
        <f>AVERAGE(VLOOKUP('Ped&amp;Bike (Segments)'!C12,'Reference Tables (Bike Segment)'!B16:C18,2,0),VLOOKUP('Ped&amp;Bike (Segments)'!D12,'Reference Tables (Bike Segment)'!B16:C18,2,0))</f>
        <v>1</v>
      </c>
      <c r="M6" s="199" t="s">
        <v>652</v>
      </c>
      <c r="N6" s="297">
        <v>1</v>
      </c>
      <c r="O6" s="297">
        <v>1</v>
      </c>
    </row>
    <row r="7" spans="2:15" ht="16.5" x14ac:dyDescent="0.45">
      <c r="B7" s="199" t="s">
        <v>1141</v>
      </c>
      <c r="C7" s="290">
        <f>VLOOKUP('Ped&amp;Bike (Segments)'!C12,'Reference Tables (Ped Segment )'!B50:C52,2,0)</f>
        <v>1</v>
      </c>
      <c r="D7" s="199" t="s">
        <v>1141</v>
      </c>
      <c r="E7" s="290">
        <f>VLOOKUP('Ped&amp;Bike (Segments)'!D12,'Reference Tables (Ped Segment )'!B50:C52,2,0)</f>
        <v>1</v>
      </c>
      <c r="I7" s="199" t="s">
        <v>1183</v>
      </c>
      <c r="J7" s="290">
        <f>VLOOKUP('Ped&amp;Bike (Segments)'!C13,'Reference Tables (Bike Segment)'!B22:C25,2,0)</f>
        <v>1</v>
      </c>
      <c r="N7" s="296"/>
      <c r="O7" s="296"/>
    </row>
    <row r="8" spans="2:15" ht="16.5" x14ac:dyDescent="0.45">
      <c r="B8" s="199" t="s">
        <v>1142</v>
      </c>
      <c r="C8" s="290">
        <f>VLOOKUP('Ped&amp;Bike (Segments)'!C13,'Reference Tables (Ped Segment )'!B56:C59,2,0)</f>
        <v>1</v>
      </c>
      <c r="D8" s="199" t="s">
        <v>1142</v>
      </c>
      <c r="E8" s="290">
        <f>VLOOKUP('Ped&amp;Bike (Segments)'!D13,'Reference Tables (Ped Segment )'!B56:C59,2,0)</f>
        <v>1</v>
      </c>
      <c r="I8" s="199" t="s">
        <v>1184</v>
      </c>
      <c r="J8" s="290">
        <f>VLOOKUP('Ped&amp;Bike (Segments)'!C14,'Reference Tables (Bike Segment)'!B29:C31,2,0)</f>
        <v>1</v>
      </c>
      <c r="N8" s="296"/>
      <c r="O8" s="296"/>
    </row>
    <row r="9" spans="2:15" ht="16.5" x14ac:dyDescent="0.45">
      <c r="B9" s="199" t="s">
        <v>1143</v>
      </c>
      <c r="C9" s="290">
        <f>VLOOKUP('Ped&amp;Bike (Segments)'!C14,'Reference Tables (Ped Segment )'!B63:C65,2,0)</f>
        <v>1</v>
      </c>
      <c r="D9" s="199" t="s">
        <v>1143</v>
      </c>
      <c r="E9" s="290">
        <f>VLOOKUP('Ped&amp;Bike (Segments)'!D14,'Reference Tables (Ped Segment )'!B63:C65,2,0)</f>
        <v>1</v>
      </c>
      <c r="I9" s="199" t="s">
        <v>1185</v>
      </c>
      <c r="J9" s="290">
        <f>VLOOKUP('Ped&amp;Bike (Segments)'!C15,'Reference Tables (Bike Segment)'!B35:C37,2,0)</f>
        <v>1</v>
      </c>
      <c r="N9" s="296"/>
      <c r="O9" s="296"/>
    </row>
    <row r="10" spans="2:15" ht="16.5" x14ac:dyDescent="0.45">
      <c r="B10" s="199" t="s">
        <v>1144</v>
      </c>
      <c r="C10" s="290">
        <f>VLOOKUP('Ped&amp;Bike (Segments)'!C15,'Reference Tables (Ped Segment )'!B69:C71,2,0)</f>
        <v>1</v>
      </c>
      <c r="D10" s="199" t="s">
        <v>1144</v>
      </c>
      <c r="E10" s="290">
        <f>VLOOKUP('Ped&amp;Bike (Segments)'!D15,'Reference Tables (Ped Segment )'!B69:C71,2,0)</f>
        <v>1</v>
      </c>
      <c r="I10" s="199" t="s">
        <v>1186</v>
      </c>
      <c r="J10" s="290">
        <f>AVERAGE(VLOOKUP('Ped&amp;Bike (Segments)'!C16,'Reference Tables (Bike Segment)'!B41:C42,2,0),VLOOKUP('Ped&amp;Bike (Segments)'!D16,'Reference Tables (Bike Segment)'!B41:C42,2,0))</f>
        <v>1</v>
      </c>
      <c r="N10" s="296"/>
      <c r="O10" s="296"/>
    </row>
    <row r="11" spans="2:15" ht="16.5" x14ac:dyDescent="0.45">
      <c r="B11" s="199" t="s">
        <v>1145</v>
      </c>
      <c r="C11" s="290">
        <f>VLOOKUP('Ped&amp;Bike (Segments)'!C16,'Reference Tables (Ped Segment )'!B75:C76,2,0)</f>
        <v>1</v>
      </c>
      <c r="D11" s="199" t="s">
        <v>1145</v>
      </c>
      <c r="E11" s="290">
        <f>VLOOKUP('Ped&amp;Bike (Segments)'!D16,'Reference Tables (Ped Segment )'!B75:C76,2,0)</f>
        <v>1</v>
      </c>
      <c r="I11" s="199" t="s">
        <v>1187</v>
      </c>
      <c r="J11" s="290">
        <f>AVERAGE(VLOOKUP('Ped&amp;Bike (Segments)'!C17,'Reference Tables (Bike Segment)'!B46:C47,2,0),VLOOKUP('Ped&amp;Bike (Segments)'!D17,'Reference Tables (Bike Segment)'!B46:C47,2,0))</f>
        <v>1.25</v>
      </c>
      <c r="N11" s="296"/>
      <c r="O11" s="296"/>
    </row>
    <row r="12" spans="2:15" ht="16.5" x14ac:dyDescent="0.45">
      <c r="B12" s="199" t="s">
        <v>1146</v>
      </c>
      <c r="C12" s="290">
        <f>VLOOKUP('Ped&amp;Bike (Segments)'!C17,'Reference Tables (Ped Segment )'!B80:C81,2,0)</f>
        <v>1.25</v>
      </c>
      <c r="D12" s="199" t="s">
        <v>1146</v>
      </c>
      <c r="E12" s="290">
        <f>VLOOKUP('Ped&amp;Bike (Segments)'!D17,'Reference Tables (Ped Segment )'!B80:C81,2,0)</f>
        <v>1.25</v>
      </c>
      <c r="I12" s="199" t="s">
        <v>1188</v>
      </c>
      <c r="J12" s="290">
        <f>VLOOKUP('Ped&amp;Bike (Segments)'!C21,'Reference Tables (Bike Segment)'!B51:C55,2,0)</f>
        <v>1</v>
      </c>
    </row>
    <row r="13" spans="2:15" ht="16.5" x14ac:dyDescent="0.45">
      <c r="B13" s="199" t="s">
        <v>1147</v>
      </c>
      <c r="C13" s="290">
        <f>VLOOKUP('Ped&amp;Bike (Segments)'!C20,'Reference Tables (Ped Segment )'!B85:C89,2,0)</f>
        <v>1</v>
      </c>
      <c r="D13" s="199" t="s">
        <v>1147</v>
      </c>
      <c r="E13" s="290">
        <f>VLOOKUP('Ped&amp;Bike (Segments)'!D20,'Reference Tables (Ped Segment )'!B85:C89,2,0)</f>
        <v>1</v>
      </c>
      <c r="I13" s="199" t="s">
        <v>1189</v>
      </c>
      <c r="J13" s="290">
        <f>AVERAGE(VLOOKUP('Ped&amp;Bike (Segments)'!C22,'Reference Tables (Bike Segment)'!B59:C60,2,0),VLOOKUP('Ped&amp;Bike (Segments)'!D22,'Reference Tables (Bike Segment)'!B59:C60,2,0))</f>
        <v>1.25</v>
      </c>
    </row>
    <row r="14" spans="2:15" ht="16.5" x14ac:dyDescent="0.45">
      <c r="B14" s="199" t="s">
        <v>1148</v>
      </c>
      <c r="C14" s="290">
        <f>VLOOKUP('Ped&amp;Bike (Segments)'!C22,'Reference Tables (Ped Segment )'!B97:C98,2,0)</f>
        <v>1.25</v>
      </c>
      <c r="D14" s="199" t="s">
        <v>1148</v>
      </c>
      <c r="E14" s="290">
        <f>VLOOKUP('Ped&amp;Bike (Segments)'!D22,'Reference Tables (Ped Segment )'!B97:C98,2,0)</f>
        <v>1.25</v>
      </c>
      <c r="I14" s="199" t="s">
        <v>1191</v>
      </c>
      <c r="J14" s="290">
        <f>0.1*J4*J6*J7*J8*J9*J10*J11*J12*J13</f>
        <v>31.25</v>
      </c>
    </row>
    <row r="15" spans="2:15" ht="16.5" x14ac:dyDescent="0.45">
      <c r="B15" s="199" t="s">
        <v>1149</v>
      </c>
      <c r="C15" s="321">
        <f>0.075*C4*C6*C7*C8*C9*C10*C11*C12*C13*C14</f>
        <v>31.250390625000001</v>
      </c>
      <c r="D15" s="199" t="s">
        <v>1325</v>
      </c>
      <c r="E15" s="321">
        <f>0.075*E4*E6*E7*E8*E9*E10*E11*E12*E13*E14</f>
        <v>31.250390625000001</v>
      </c>
      <c r="I15" s="199" t="s">
        <v>1192</v>
      </c>
      <c r="J15" s="290">
        <f>J5</f>
        <v>90</v>
      </c>
    </row>
    <row r="16" spans="2:15" ht="16.5" x14ac:dyDescent="0.45">
      <c r="B16" s="199" t="s">
        <v>1150</v>
      </c>
      <c r="C16" s="290">
        <f>C5</f>
        <v>90</v>
      </c>
      <c r="D16" s="199" t="s">
        <v>1152</v>
      </c>
      <c r="E16" s="290">
        <f>E5</f>
        <v>90</v>
      </c>
      <c r="I16" s="199" t="s">
        <v>1190</v>
      </c>
      <c r="J16" s="290">
        <f>VLOOKUP('Ped&amp;Bike (Segments)'!C10,'Reference Tables (Bike Segment)'!B71:C85,2,0)</f>
        <v>0.112</v>
      </c>
    </row>
    <row r="17" spans="2:10" ht="16.5" x14ac:dyDescent="0.45">
      <c r="B17" s="199" t="s">
        <v>1155</v>
      </c>
      <c r="C17" s="290">
        <f>VLOOKUP('Ped&amp;Bike (Segments)'!C10,'Reference Tables (Ped Segment )'!B129:C143,2,0)</f>
        <v>0.183</v>
      </c>
      <c r="D17" s="199" t="s">
        <v>1155</v>
      </c>
      <c r="E17" s="290">
        <f>VLOOKUP('Ped&amp;Bike (Segments)'!C10,'Reference Tables (Ped Segment )'!B129:C143,2,0)</f>
        <v>0.183</v>
      </c>
      <c r="I17" s="199" t="s">
        <v>1193</v>
      </c>
      <c r="J17" s="321">
        <f>0.000166*(('Ped&amp;Bike (Segments)'!C7+'Ped&amp;Bike (Segments)'!D7)/(VLOOKUP('Ped&amp;Bike (Segments)'!C11,'Reference Tables (Ped Segment )'!B102:C109,2,0)+ VLOOKUP('Ped&amp;Bike (Segments)'!D11,'Reference Tables (Ped Segment )'!B102:C109,2,0)) )^0.65</f>
        <v>6.6085790311880596E-2</v>
      </c>
    </row>
    <row r="18" spans="2:10" ht="16.5" x14ac:dyDescent="0.45">
      <c r="B18" s="199" t="s">
        <v>1154</v>
      </c>
      <c r="C18"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c r="D18" s="199" t="s">
        <v>1154</v>
      </c>
      <c r="E18"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c r="I18" s="199" t="s">
        <v>1194</v>
      </c>
      <c r="J18" s="290">
        <f>VLOOKUP('Ped&amp;Bike (Segments)'!C9,'Reference Tables (Bike Segment)'!B89:C99,2,0)</f>
        <v>2E-3</v>
      </c>
    </row>
    <row r="19" spans="2:10" ht="16.5" x14ac:dyDescent="0.45">
      <c r="B19" s="199" t="s">
        <v>1151</v>
      </c>
      <c r="C19" s="290">
        <f>VLOOKUP('Ped&amp;Bike (Segments)'!C8,'Reference Tables (Ped Segment )'!B147:C157,2,0)</f>
        <v>2E-3</v>
      </c>
      <c r="D19" s="199" t="s">
        <v>1153</v>
      </c>
      <c r="E19" s="290">
        <f>VLOOKUP('Ped&amp;Bike (Segments)'!D8,'Reference Tables (Ped Segment )'!B147:C157,2,0)</f>
        <v>2E-3</v>
      </c>
    </row>
    <row r="20" spans="2:10" ht="16.5" x14ac:dyDescent="0.45">
      <c r="B20" s="199" t="s">
        <v>1326</v>
      </c>
      <c r="C20" s="321">
        <f>C15*C16*C17*C18*C19*'Ped&amp;Bike (Segments)'!C6/0.062</f>
        <v>8.3015150579637105</v>
      </c>
      <c r="D20" s="199" t="s">
        <v>1327</v>
      </c>
      <c r="E20" s="321">
        <f>E15*E16*E17*E18*E19*'Ped&amp;Bike (Segments)'!C6/0.062</f>
        <v>8.3015150579637105</v>
      </c>
      <c r="I20" s="199" t="s">
        <v>1195</v>
      </c>
      <c r="J20" s="321">
        <f>J14*J15*J16*J17*J18*'Ped&amp;Bike (Segments)'!C6/0.062</f>
        <v>0.67151690155620603</v>
      </c>
    </row>
    <row r="21" spans="2:10" ht="15.5" x14ac:dyDescent="0.4">
      <c r="I21" s="311" t="s">
        <v>1329</v>
      </c>
      <c r="J21" s="290">
        <f>VLOOKUP('Ped&amp;Bike (Segments)'!C3,'Reference Tables (Bike Segment)'!B102:C104,2,0)</f>
        <v>0.191</v>
      </c>
    </row>
    <row r="22" spans="2:10" ht="16.5" x14ac:dyDescent="0.45">
      <c r="B22" s="221" t="s">
        <v>961</v>
      </c>
      <c r="C22" s="200" t="s">
        <v>614</v>
      </c>
      <c r="D22" s="200" t="s">
        <v>613</v>
      </c>
      <c r="E22" s="200" t="s">
        <v>612</v>
      </c>
      <c r="F22" s="200" t="s">
        <v>611</v>
      </c>
      <c r="G22" s="200" t="s">
        <v>610</v>
      </c>
      <c r="I22" s="199" t="s">
        <v>1196</v>
      </c>
      <c r="J22" s="291">
        <f>VLOOKUP('Ped&amp;Bike (Segments)'!C3,'Ped&amp;Bike (Segment Results)'!M4:O6,3,0)</f>
        <v>1</v>
      </c>
    </row>
    <row r="23" spans="2:10" ht="16.5" x14ac:dyDescent="0.45">
      <c r="B23" s="199" t="s">
        <v>1156</v>
      </c>
      <c r="C23" s="290">
        <f>VLOOKUP('Ped&amp;Bike (Segments)'!C30,'Reference Tables (Ped Segment )'!B16:D19,3,0)</f>
        <v>0.9</v>
      </c>
      <c r="D23" s="290">
        <f>VLOOKUP('Ped&amp;Bike (Segments)'!D30,'Reference Tables (Ped Segment )'!B16:D19,3,0)</f>
        <v>0.9</v>
      </c>
      <c r="E23" s="290">
        <f>VLOOKUP('Ped&amp;Bike (Segments)'!E30,'Reference Tables (Ped Segment )'!B16:D19,3,0)</f>
        <v>0.9</v>
      </c>
      <c r="F23" s="290">
        <f>VLOOKUP('Ped&amp;Bike (Segments)'!F30,'Reference Tables (Ped Segment )'!B16:D19,3,0)</f>
        <v>0.9</v>
      </c>
      <c r="G23" s="290">
        <f>VLOOKUP('Ped&amp;Bike (Segments)'!G30,'Reference Tables (Ped Segment )'!B16:D19,3,0)</f>
        <v>0.9</v>
      </c>
    </row>
    <row r="24" spans="2:10" ht="16.5" x14ac:dyDescent="0.45">
      <c r="B24" s="199" t="s">
        <v>1157</v>
      </c>
      <c r="C24" s="290">
        <f>VLOOKUP('Ped&amp;Bike (Segments)'!C29,'Reference Tables (Ped Segment )'!B22:E32,HLOOKUP('Ped&amp;Bike (Segments)'!C28,'Reference Tables (Ped Segment )'!C22:E35,12,0),0)</f>
        <v>2.15</v>
      </c>
      <c r="D24" s="290">
        <f>VLOOKUP('Ped&amp;Bike (Segments)'!D29,'Reference Tables (Ped Segment )'!B22:E32,HLOOKUP('Ped&amp;Bike (Segments)'!D28,'Reference Tables (Ped Segment )'!C22:E35,12,0),0)</f>
        <v>2.15</v>
      </c>
      <c r="E24" s="290">
        <f>VLOOKUP('Ped&amp;Bike (Segments)'!E29,'Reference Tables (Ped Segment )'!B22:E32,HLOOKUP('Ped&amp;Bike (Segments)'!E28,'Reference Tables (Ped Segment )'!C22:E35,12,0),0)</f>
        <v>2.15</v>
      </c>
      <c r="F24" s="290">
        <f>VLOOKUP('Ped&amp;Bike (Segments)'!F29,'Reference Tables (Ped Segment )'!B22:E32,HLOOKUP('Ped&amp;Bike (Segments)'!F28,'Reference Tables (Ped Segment )'!C22:E35,12,0),0)</f>
        <v>2.15</v>
      </c>
      <c r="G24" s="290">
        <f>VLOOKUP('Ped&amp;Bike (Segments)'!G29,'Reference Tables (Ped Segment )'!B22:E32,HLOOKUP('Ped&amp;Bike (Segments)'!G28,'Reference Tables (Ped Segment )'!C22:E35,12,0),0)</f>
        <v>2.15</v>
      </c>
    </row>
    <row r="25" spans="2:10" ht="16.5" x14ac:dyDescent="0.45">
      <c r="B25" s="199" t="s">
        <v>1328</v>
      </c>
      <c r="C25" s="290">
        <f>VLOOKUP('Ped&amp;Bike (Segments)'!C29,'Reference Tables (Ped Segment )'!B23:F32,5,0)</f>
        <v>90</v>
      </c>
      <c r="D25" s="290">
        <f>VLOOKUP('Ped&amp;Bike (Segments)'!D29,'Reference Tables (Ped Segment )'!B23:F32,5,0)</f>
        <v>90</v>
      </c>
      <c r="E25" s="290">
        <f>VLOOKUP('Ped&amp;Bike (Segments)'!E29,'Reference Tables (Ped Segment )'!B23:F32,5,0)</f>
        <v>90</v>
      </c>
      <c r="F25" s="290">
        <f>VLOOKUP('Ped&amp;Bike (Segments)'!F29,'Reference Tables (Ped Segment )'!B23:F32,5,0)</f>
        <v>90</v>
      </c>
      <c r="G25" s="290">
        <f>VLOOKUP('Ped&amp;Bike (Segments)'!G29,'Reference Tables (Ped Segment )'!B23:F32,5,0)</f>
        <v>90</v>
      </c>
    </row>
    <row r="26" spans="2:10" ht="16.5" x14ac:dyDescent="0.45">
      <c r="B26" s="199" t="s">
        <v>1158</v>
      </c>
      <c r="C26" s="290">
        <f>VLOOKUP('Ped&amp;Bike (Segments)'!C31,'Reference Tables (Ped Segment )'!B38:C40,2,0)</f>
        <v>1.5</v>
      </c>
      <c r="D26" s="290">
        <f>VLOOKUP('Ped&amp;Bike (Segments)'!D31,'Reference Tables (Ped Segment )'!B38:C40,2,0)</f>
        <v>1.5</v>
      </c>
      <c r="E26" s="290">
        <f>VLOOKUP('Ped&amp;Bike (Segments)'!E31,'Reference Tables (Ped Segment )'!B38:C40,2,0)</f>
        <v>1.5</v>
      </c>
      <c r="F26" s="290">
        <f>VLOOKUP('Ped&amp;Bike (Segments)'!F31,'Reference Tables (Ped Segment )'!B38:C40,2,0)</f>
        <v>1.5</v>
      </c>
      <c r="G26" s="290">
        <f>VLOOKUP('Ped&amp;Bike (Segments)'!G31,'Reference Tables (Ped Segment )'!B38:C40,2,0)</f>
        <v>1.5</v>
      </c>
    </row>
    <row r="27" spans="2:10" ht="16.5" x14ac:dyDescent="0.45">
      <c r="B27" s="199" t="s">
        <v>1159</v>
      </c>
      <c r="C27" s="290">
        <f>VLOOKUP('Ped&amp;Bike (Segments)'!C32,'Reference Tables (Ped Segment )'!B44:C46,2,0)</f>
        <v>1.25</v>
      </c>
      <c r="D27" s="290">
        <f>VLOOKUP('Ped&amp;Bike (Segments)'!D32,'Reference Tables (Ped Segment )'!B44:C46,2,0)</f>
        <v>1.25</v>
      </c>
      <c r="E27" s="290">
        <f>VLOOKUP('Ped&amp;Bike (Segments)'!E32,'Reference Tables (Ped Segment )'!B44:C46,2,0)</f>
        <v>1.25</v>
      </c>
      <c r="F27" s="290">
        <f>VLOOKUP('Ped&amp;Bike (Segments)'!F32,'Reference Tables (Ped Segment )'!B44:C46,2,0)</f>
        <v>1.25</v>
      </c>
      <c r="G27" s="290">
        <f>VLOOKUP('Ped&amp;Bike (Segments)'!G32,'Reference Tables (Ped Segment )'!B44:C46,2,0)</f>
        <v>1.25</v>
      </c>
    </row>
    <row r="28" spans="2:10" ht="16.5" x14ac:dyDescent="0.45">
      <c r="B28" s="199" t="s">
        <v>1160</v>
      </c>
      <c r="C28" s="290">
        <f>VLOOKUP('Ped&amp;Bike (Segments)'!C33,'Reference Tables (Ped Segment )'!B92:C94,2,0)</f>
        <v>1</v>
      </c>
      <c r="D28" s="290">
        <f>VLOOKUP('Ped&amp;Bike (Segments)'!D33,'Reference Tables (Ped Segment )'!B92:C94,2,0)</f>
        <v>1</v>
      </c>
      <c r="E28" s="290">
        <f>VLOOKUP('Ped&amp;Bike (Segments)'!E33,'Reference Tables (Ped Segment )'!B92:C94,2,0)</f>
        <v>1</v>
      </c>
      <c r="F28" s="290">
        <f>VLOOKUP('Ped&amp;Bike (Segments)'!F33,'Reference Tables (Ped Segment )'!B92:C94,2,0)</f>
        <v>1</v>
      </c>
      <c r="G28" s="290">
        <f>VLOOKUP('Ped&amp;Bike (Segments)'!G33,'Reference Tables (Ped Segment )'!B92:C94,2,0)</f>
        <v>1</v>
      </c>
    </row>
    <row r="29" spans="2:10" ht="16.5" x14ac:dyDescent="0.45">
      <c r="B29" s="199" t="s">
        <v>1161</v>
      </c>
      <c r="C29" s="290">
        <f>VLOOKUP('Ped&amp;Bike (Segments)'!C34,'Reference Tables (Ped Segment )'!B97:C98,2,0)</f>
        <v>1.25</v>
      </c>
      <c r="D29" s="290">
        <f>VLOOKUP('Ped&amp;Bike (Segments)'!D34,'Reference Tables (Ped Segment )'!B97:C98,2,0)</f>
        <v>1.25</v>
      </c>
      <c r="E29" s="290">
        <f>VLOOKUP('Ped&amp;Bike (Segments)'!E34,'Reference Tables (Ped Segment )'!B97:C98,2,0)</f>
        <v>1.25</v>
      </c>
      <c r="F29" s="290">
        <f>VLOOKUP('Ped&amp;Bike (Segments)'!F34,'Reference Tables (Ped Segment )'!B97:C98,2,0)</f>
        <v>1.25</v>
      </c>
      <c r="G29" s="290">
        <f>VLOOKUP('Ped&amp;Bike (Segments)'!G34,'Reference Tables (Ped Segment )'!B97:C98,2,0)</f>
        <v>1.25</v>
      </c>
    </row>
    <row r="30" spans="2:10" ht="16.5" x14ac:dyDescent="0.45">
      <c r="B30" s="199" t="s">
        <v>1162</v>
      </c>
      <c r="C30" s="290">
        <f>VLOOKUP((VLOOKUP('Ped&amp;Bike (Segments)'!C11,'Reference Tables (Ped Segment )'!B102:C109,2,0)+VLOOKUP('Ped&amp;Bike (Segments)'!D11,'Reference Tables (Ped Segment )'!B102:C109,2,0)+'Ped&amp;Bike (Segments)'!C36),'Reference Tables (Ped Segment )'!C103:D109,2,0)</f>
        <v>1</v>
      </c>
      <c r="D30" s="290">
        <f>VLOOKUP((VLOOKUP('Ped&amp;Bike (Segments)'!C11,'Reference Tables (Ped Segment )'!B102:C109,2,0)+VLOOKUP('Ped&amp;Bike (Segments)'!D11,'Reference Tables (Ped Segment )'!B102:C109,2,0)+'Ped&amp;Bike (Segments)'!D36),'Reference Tables (Ped Segment )'!C103:D109,2,0)</f>
        <v>1</v>
      </c>
      <c r="E30" s="290">
        <f>VLOOKUP((VLOOKUP('Ped&amp;Bike (Segments)'!C11,'Reference Tables (Ped Segment )'!B102:C109,2,0)+VLOOKUP('Ped&amp;Bike (Segments)'!D11,'Reference Tables (Ped Segment )'!B102:C109,2,0)+'Ped&amp;Bike (Segments)'!E36),'Reference Tables (Ped Segment )'!C103:D109,2,0)</f>
        <v>1</v>
      </c>
      <c r="F30" s="290">
        <f>VLOOKUP((VLOOKUP('Ped&amp;Bike (Segments)'!C11,'Reference Tables (Ped Segment )'!B102:C109,2,0)+VLOOKUP('Ped&amp;Bike (Segments)'!D11,'Reference Tables (Ped Segment )'!B102:C109,2,0)+'Ped&amp;Bike (Segments)'!F36),'Reference Tables (Ped Segment )'!C103:D109,2,0)</f>
        <v>1</v>
      </c>
      <c r="G30" s="290">
        <f>VLOOKUP((VLOOKUP('Ped&amp;Bike (Segments)'!C11,'Reference Tables (Ped Segment )'!B102:C109,2,0)+VLOOKUP('Ped&amp;Bike (Segments)'!D11,'Reference Tables (Ped Segment )'!B102:C109,2,0)+'Ped&amp;Bike (Segments)'!G36),'Reference Tables (Ped Segment )'!C103:D109,2,0)</f>
        <v>1</v>
      </c>
    </row>
    <row r="31" spans="2:10" ht="16.5" x14ac:dyDescent="0.45">
      <c r="B31" s="199" t="s">
        <v>1163</v>
      </c>
      <c r="C31" s="290">
        <f>VLOOKUP('Ped&amp;Bike (Segments)'!C35,'Reference Tables (Ped Segment )'!B112:C118,2,0)</f>
        <v>3</v>
      </c>
      <c r="D31" s="290">
        <f>VLOOKUP('Ped&amp;Bike (Segments)'!D35,'Reference Tables (Ped Segment )'!B112:C118,2,0)</f>
        <v>3</v>
      </c>
      <c r="E31" s="290">
        <f>VLOOKUP('Ped&amp;Bike (Segments)'!E35,'Reference Tables (Ped Segment )'!B112:C118,2,0)</f>
        <v>1</v>
      </c>
      <c r="F31" s="290">
        <f>VLOOKUP('Ped&amp;Bike (Segments)'!F35,'Reference Tables (Ped Segment )'!B112:C118,2,0)</f>
        <v>2.7</v>
      </c>
      <c r="G31" s="290">
        <f>VLOOKUP('Ped&amp;Bike (Segments)'!G35,'Reference Tables (Ped Segment )'!B112:C118,2,0)</f>
        <v>2.7</v>
      </c>
    </row>
    <row r="32" spans="2:10" ht="16.5" x14ac:dyDescent="0.45">
      <c r="B32" s="199" t="s">
        <v>1164</v>
      </c>
      <c r="C32" s="321">
        <f>C23*C24*C26*C27*C28*C29*C30*C31</f>
        <v>13.60546875</v>
      </c>
      <c r="D32" s="321">
        <f>D23*D24*D26*D27*D28*D29*D30*D31</f>
        <v>13.60546875</v>
      </c>
      <c r="E32" s="321">
        <f>E23*E24*E26*E27*E28*E29*E30*E31</f>
        <v>4.53515625</v>
      </c>
      <c r="F32" s="321">
        <f>F23*F24*F26*F27*F28*F29*F30*F31</f>
        <v>12.244921875000001</v>
      </c>
      <c r="G32" s="321">
        <f>G23*G24*G26*G27*G28*G29*G30*G31</f>
        <v>12.244921875000001</v>
      </c>
    </row>
    <row r="33" spans="2:10" ht="16.5" x14ac:dyDescent="0.45">
      <c r="B33" s="199" t="s">
        <v>1165</v>
      </c>
      <c r="C33" s="290">
        <f>C25</f>
        <v>90</v>
      </c>
      <c r="D33" s="290">
        <f>D25</f>
        <v>90</v>
      </c>
      <c r="E33" s="290">
        <f>E25</f>
        <v>90</v>
      </c>
      <c r="F33" s="290">
        <f>F25</f>
        <v>90</v>
      </c>
      <c r="G33" s="290">
        <f>G25</f>
        <v>90</v>
      </c>
    </row>
    <row r="34" spans="2:10" ht="16.5" x14ac:dyDescent="0.45">
      <c r="B34" s="199" t="s">
        <v>1155</v>
      </c>
      <c r="C34" s="290">
        <f>VLOOKUP('Ped&amp;Bike (Segments)'!C10,'Reference Tables (Ped Segment )'!B129:C143,2,0)</f>
        <v>0.183</v>
      </c>
      <c r="D34" s="290">
        <f>VLOOKUP('Ped&amp;Bike (Segments)'!C10,'Reference Tables (Ped Segment )'!B129:C143,2,0)</f>
        <v>0.183</v>
      </c>
      <c r="E34" s="290">
        <f>VLOOKUP('Ped&amp;Bike (Segments)'!C10,'Reference Tables (Ped Segment )'!B129:C143,2,0)</f>
        <v>0.183</v>
      </c>
      <c r="F34" s="290">
        <f>VLOOKUP('Ped&amp;Bike (Segments)'!C10,'Reference Tables (Ped Segment )'!B129:C143,2,0)</f>
        <v>0.183</v>
      </c>
      <c r="G34" s="290">
        <f>VLOOKUP('Ped&amp;Bike (Segments)'!C10,'Reference Tables (Ped Segment )'!B129:C143,2,0)</f>
        <v>0.183</v>
      </c>
    </row>
    <row r="35" spans="2:10" ht="16.5" x14ac:dyDescent="0.45">
      <c r="B35" s="199" t="s">
        <v>1154</v>
      </c>
      <c r="C35"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c r="D35"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c r="E35"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c r="F35"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c r="G35" s="290">
        <f>IF(('Ped&amp;Bike (Segments)'!C7+'Ped&amp;Bike (Segments)'!D7)/((VLOOKUP('Ped&amp;Bike (Segments)'!C11,'Reference Tables (Ped Segment )'!B102:C109,2,0)+VLOOKUP('Ped&amp;Bike (Segments)'!D11,'Reference Tables (Ped Segment )'!B102:C109,2,0))*20000)&gt;=1,1,('Ped&amp;Bike (Segments)'!C7+'Ped&amp;Bike (Segments)'!D7)/((VLOOKUP('Ped&amp;Bike (Segments)'!C11,'Reference Tables (Ped Segment )'!B102:C109,2,0)+VLOOKUP('Ped&amp;Bike (Segments)'!D11,'Reference Tables (Ped Segment )'!B102:C109,2,0))*20000))</f>
        <v>0.5</v>
      </c>
    </row>
    <row r="36" spans="2:10" ht="16.5" x14ac:dyDescent="0.45">
      <c r="B36" s="199" t="s">
        <v>1167</v>
      </c>
      <c r="C36" s="290">
        <f>VLOOKUP('Ped&amp;Bike (Segments)'!C27,'Reference Tables (Ped Segment )'!B147:C157,2,0)</f>
        <v>2E-3</v>
      </c>
      <c r="D36" s="290">
        <f>VLOOKUP('Ped&amp;Bike (Segments)'!D27,'Reference Tables (Ped Segment )'!B147:C157,2,0)</f>
        <v>2E-3</v>
      </c>
      <c r="E36" s="290">
        <f>VLOOKUP('Ped&amp;Bike (Segments)'!E27,'Reference Tables (Ped Segment )'!B147:C157,2,0)</f>
        <v>2E-3</v>
      </c>
      <c r="F36" s="290">
        <f>VLOOKUP('Ped&amp;Bike (Segments)'!F27,'Reference Tables (Ped Segment )'!B147:C157,2,0)</f>
        <v>2E-3</v>
      </c>
      <c r="G36" s="290">
        <f>VLOOKUP('Ped&amp;Bike (Segments)'!G27,'Reference Tables (Ped Segment )'!B147:C157,2,0)</f>
        <v>2E-3</v>
      </c>
    </row>
    <row r="37" spans="2:10" ht="16.5" x14ac:dyDescent="0.45">
      <c r="B37" s="199" t="s">
        <v>1166</v>
      </c>
      <c r="C37" s="321">
        <f>C32*C33*C34*C35*C36</f>
        <v>0.22408207031250002</v>
      </c>
      <c r="D37" s="321">
        <f>D32*D33*D34*D35*D36</f>
        <v>0.22408207031250002</v>
      </c>
      <c r="E37" s="321">
        <f>E32*E33*E34*E35*E36</f>
        <v>7.4694023437499993E-2</v>
      </c>
      <c r="F37" s="321">
        <f>F32*F33*F34*F35*F36</f>
        <v>0.20167386328125</v>
      </c>
      <c r="G37" s="321">
        <f>G32*G33*G34*G35*G36</f>
        <v>0.20167386328125</v>
      </c>
    </row>
    <row r="39" spans="2:10" ht="16.5" x14ac:dyDescent="0.45">
      <c r="B39" s="199" t="s">
        <v>651</v>
      </c>
      <c r="C39" s="323">
        <f>IF('Ped&amp;Bike (Segments)'!D25=0,(C20+E20),IF('Ped&amp;Bike (Segments)'!D25=1,(C20+E20+C37),IF('Ped&amp;Bike (Segments)'!D25=2,(C20+E20+C37+D37),IF('Ped&amp;Bike (Segments)'!D25=3,(C20+E20+C37+D37+E37),IF('Ped&amp;Bike (Segments)'!D25=4,(C20+E20+C37+D37+E37+F37),IF('Ped&amp;Bike (Segments)'!D25=5,(C20+E20+C37+D37+E37+F37+G37)))))))</f>
        <v>17.051194256552424</v>
      </c>
    </row>
    <row r="40" spans="2:10" ht="16.5" x14ac:dyDescent="0.45">
      <c r="B40" s="199" t="s">
        <v>1168</v>
      </c>
      <c r="C40" s="298">
        <f>VLOOKUP('Ped&amp;Bike (Segments)'!C3,'Reference Tables (Ped Segment )'!B164:C166,2,0)</f>
        <v>5.8300000000000001E-3</v>
      </c>
    </row>
    <row r="41" spans="2:10" ht="16.5" x14ac:dyDescent="0.45">
      <c r="B41" s="199" t="s">
        <v>1169</v>
      </c>
      <c r="C41" s="298">
        <f>VLOOKUP('Ped&amp;Bike (Segments)'!C3,'Ped&amp;Bike (Segment Results)'!M4:N6,2,0)</f>
        <v>1</v>
      </c>
    </row>
    <row r="43" spans="2:10" ht="18" customHeight="1" x14ac:dyDescent="0.35">
      <c r="B43" s="295" t="s">
        <v>649</v>
      </c>
      <c r="C43" s="295" t="s">
        <v>650</v>
      </c>
      <c r="I43" s="295" t="s">
        <v>649</v>
      </c>
      <c r="J43" s="295" t="s">
        <v>648</v>
      </c>
    </row>
    <row r="44" spans="2:10" ht="16.5" x14ac:dyDescent="0.45">
      <c r="B44" s="206" t="s">
        <v>1170</v>
      </c>
      <c r="C44" s="208">
        <f>C39*C40*C41</f>
        <v>9.9408462515700638E-2</v>
      </c>
      <c r="D44" s="209"/>
      <c r="E44" s="207"/>
      <c r="F44" s="207"/>
      <c r="G44" s="207"/>
      <c r="I44" s="200" t="s">
        <v>1197</v>
      </c>
      <c r="J44" s="208">
        <f>J20*J21*J22</f>
        <v>0.12825972819723536</v>
      </c>
    </row>
    <row r="45" spans="2:10" ht="16.5" x14ac:dyDescent="0.45">
      <c r="B45" s="206" t="s">
        <v>1171</v>
      </c>
      <c r="C45" s="208">
        <f>C44*(VLOOKUP('Ped&amp;Bike (Segments)'!C3,'Reference Tables (Ped Segment )'!B122:C124,2,0))</f>
        <v>1.9185833265530222E-2</v>
      </c>
      <c r="D45" s="207"/>
      <c r="E45" s="207"/>
      <c r="F45" s="207"/>
      <c r="G45" s="207"/>
      <c r="I45" s="200" t="s">
        <v>1198</v>
      </c>
      <c r="J45" s="208">
        <f>J44*(VLOOKUP('Ped&amp;Bike (Segments)'!C3,'Reference Tables (Bike Segment)'!B64:C66,2,0))</f>
        <v>4.2325710305087666E-3</v>
      </c>
    </row>
    <row r="46" spans="2:10" ht="16.5" x14ac:dyDescent="0.45">
      <c r="B46" s="206" t="s">
        <v>1172</v>
      </c>
      <c r="C46" s="208">
        <f>C44*(VLOOKUP('Ped&amp;Bike (Segments)'!C3,'Reference Tables (Ped Segment )'!B122:D124,3,0))</f>
        <v>2.4852115628925159E-2</v>
      </c>
      <c r="D46" s="207"/>
      <c r="E46" s="207"/>
      <c r="F46" s="207"/>
      <c r="G46" s="207"/>
      <c r="I46" s="200" t="s">
        <v>1199</v>
      </c>
      <c r="J46" s="208">
        <f>J44*(VLOOKUP('Ped&amp;Bike (Segments)'!C3,'Reference Tables (Bike Segment)'!B64:D66,3,0))</f>
        <v>1.7699842491218479E-2</v>
      </c>
    </row>
    <row r="47" spans="2:10" ht="16.5" x14ac:dyDescent="0.45">
      <c r="B47" s="206" t="s">
        <v>1173</v>
      </c>
      <c r="C47" s="208">
        <f>C44*(VLOOKUP('Ped&amp;Bike (Segments)'!C3,'Reference Tables (Ped Segment )'!B122:E124,4,0))</f>
        <v>3.3301834942759713E-2</v>
      </c>
      <c r="D47" s="207"/>
      <c r="E47" s="207"/>
      <c r="F47" s="207"/>
      <c r="G47" s="207"/>
      <c r="I47" s="200" t="s">
        <v>1200</v>
      </c>
      <c r="J47" s="208">
        <f>J44*(VLOOKUP('Ped&amp;Bike (Segments)'!C3,'Reference Tables (Bike Segment)'!B64:E66,4,0))</f>
        <v>7.3236304800621387E-3</v>
      </c>
    </row>
    <row r="48" spans="2:10" ht="16.5" x14ac:dyDescent="0.45">
      <c r="B48" s="206" t="s">
        <v>1174</v>
      </c>
      <c r="C48" s="208">
        <f>C44*(VLOOKUP('Ped&amp;Bike (Segments)'!C3,'Reference Tables (Ped Segment )'!B122:F124,5,0))</f>
        <v>2.2068678678485543E-2</v>
      </c>
      <c r="D48" s="207"/>
      <c r="E48" s="207"/>
      <c r="F48" s="207"/>
      <c r="G48" s="207"/>
      <c r="I48" s="200" t="s">
        <v>1201</v>
      </c>
      <c r="J48" s="208">
        <f>J44*(VLOOKUP('Ped&amp;Bike (Segments)'!C3,'Reference Tables (Bike Segment)'!B64:F66,5,0))</f>
        <v>3.3091009874886723E-2</v>
      </c>
    </row>
    <row r="51" spans="2:10" x14ac:dyDescent="0.35">
      <c r="B51" s="295" t="s">
        <v>646</v>
      </c>
      <c r="C51" s="295" t="s">
        <v>647</v>
      </c>
      <c r="I51" s="295" t="s">
        <v>646</v>
      </c>
      <c r="J51" s="295" t="s">
        <v>645</v>
      </c>
    </row>
    <row r="52" spans="2:10" ht="16.5" x14ac:dyDescent="0.45">
      <c r="B52" s="206" t="s">
        <v>1175</v>
      </c>
      <c r="C52" s="208">
        <f>1.05*C44</f>
        <v>0.10437888564148567</v>
      </c>
      <c r="I52" s="200" t="s">
        <v>1202</v>
      </c>
      <c r="J52" s="317">
        <f>1.01*J44</f>
        <v>0.12954232547920772</v>
      </c>
    </row>
    <row r="53" spans="2:10" ht="16.5" x14ac:dyDescent="0.45">
      <c r="B53" s="206" t="s">
        <v>1176</v>
      </c>
      <c r="C53" s="208">
        <f>1.05*C45</f>
        <v>2.0145124928806733E-2</v>
      </c>
      <c r="I53" s="200" t="s">
        <v>1203</v>
      </c>
      <c r="J53" s="317">
        <f>1.01*J45</f>
        <v>4.2748967408138541E-3</v>
      </c>
    </row>
    <row r="54" spans="2:10" ht="16.5" x14ac:dyDescent="0.45">
      <c r="B54" s="206" t="s">
        <v>1177</v>
      </c>
      <c r="C54" s="208">
        <f>1.05*C46</f>
        <v>2.6094721410371419E-2</v>
      </c>
      <c r="I54" s="200" t="s">
        <v>1204</v>
      </c>
      <c r="J54" s="317">
        <f>1.01*J46</f>
        <v>1.7876840916130666E-2</v>
      </c>
    </row>
    <row r="55" spans="2:10" ht="16.5" x14ac:dyDescent="0.45">
      <c r="B55" s="206" t="s">
        <v>1178</v>
      </c>
      <c r="C55" s="208">
        <f>1.05*C47</f>
        <v>3.4966926689897697E-2</v>
      </c>
      <c r="I55" s="200" t="s">
        <v>1205</v>
      </c>
      <c r="J55" s="317">
        <f>1.01*J47</f>
        <v>7.3968667848627601E-3</v>
      </c>
    </row>
    <row r="56" spans="2:10" ht="16.5" x14ac:dyDescent="0.45">
      <c r="B56" s="206" t="s">
        <v>1179</v>
      </c>
      <c r="C56" s="208">
        <f>1.05*C48</f>
        <v>2.3172112612409822E-2</v>
      </c>
      <c r="I56" s="200" t="s">
        <v>1206</v>
      </c>
      <c r="J56" s="317">
        <f>1.01*J48</f>
        <v>3.342191997363559E-2</v>
      </c>
    </row>
  </sheetData>
  <mergeCells count="1">
    <mergeCell ref="M2:O2"/>
  </mergeCells>
  <dataValidations disablePrompts="1" count="1">
    <dataValidation allowBlank="1" showInputMessage="1" showErrorMessage="1" sqref="C3 E3" xr:uid="{00000000-0002-0000-0500-000000000000}">
      <formula1>0</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2:K113"/>
  <sheetViews>
    <sheetView topLeftCell="A10" zoomScaleNormal="100" workbookViewId="0">
      <selection activeCell="G66" sqref="G66"/>
    </sheetView>
  </sheetViews>
  <sheetFormatPr defaultColWidth="8.7265625" defaultRowHeight="14.5" x14ac:dyDescent="0.35"/>
  <cols>
    <col min="1" max="1" width="8.7265625" style="198"/>
    <col min="2" max="2" width="62" style="198" customWidth="1"/>
    <col min="3" max="3" width="29" style="198" customWidth="1"/>
    <col min="4" max="4" width="17.54296875" style="198" customWidth="1"/>
    <col min="5" max="5" width="67.26953125" style="198" customWidth="1"/>
    <col min="6" max="6" width="25.453125" style="198" customWidth="1"/>
    <col min="7" max="7" width="44" style="198" customWidth="1"/>
    <col min="8" max="8" width="19.54296875" style="198" customWidth="1"/>
    <col min="9" max="9" width="51.7265625" style="198" bestFit="1" customWidth="1"/>
    <col min="10" max="10" width="11.7265625" style="198" customWidth="1"/>
    <col min="11" max="11" width="11.81640625" style="198" customWidth="1"/>
    <col min="12" max="16384" width="8.7265625" style="198"/>
  </cols>
  <sheetData>
    <row r="2" spans="2:11" ht="26" x14ac:dyDescent="0.6">
      <c r="B2" s="280" t="s">
        <v>1032</v>
      </c>
      <c r="E2" s="281" t="s">
        <v>1226</v>
      </c>
      <c r="H2" s="922" t="s">
        <v>661</v>
      </c>
      <c r="I2" s="922"/>
      <c r="J2" s="922"/>
      <c r="K2" s="922"/>
    </row>
    <row r="3" spans="2:11" x14ac:dyDescent="0.35">
      <c r="B3" s="221" t="s">
        <v>1031</v>
      </c>
      <c r="C3" s="200" t="s">
        <v>708</v>
      </c>
      <c r="E3" s="221" t="s">
        <v>1031</v>
      </c>
      <c r="F3" s="200" t="s">
        <v>672</v>
      </c>
      <c r="H3" s="213" t="s">
        <v>399</v>
      </c>
      <c r="I3" s="213" t="s">
        <v>537</v>
      </c>
      <c r="J3" s="213" t="s">
        <v>656</v>
      </c>
      <c r="K3" s="213" t="s">
        <v>655</v>
      </c>
    </row>
    <row r="4" spans="2:11" ht="16.5" x14ac:dyDescent="0.45">
      <c r="B4" s="199" t="s">
        <v>1207</v>
      </c>
      <c r="C4" s="290">
        <f>VLOOKUP('Ped&amp;Bike (Intersections)'!C15,'Reference Tables (Ped Intersct)'!$B$20:$C$23,2,0)</f>
        <v>1</v>
      </c>
      <c r="E4" s="199" t="s">
        <v>1227</v>
      </c>
      <c r="F4" s="290">
        <f>AVERAGE(VLOOKUP('Ped&amp;Bike (Intersections)'!C25,'ReferenceTables (Bike Intersct)'!B4:C12,2,0),VLOOKUP('Ped&amp;Bike (Intersections)'!C26,'ReferenceTables (Bike Intersct)'!B4:C12,2,0))</f>
        <v>1.1000000000000001</v>
      </c>
      <c r="H4" s="199" t="s">
        <v>70</v>
      </c>
      <c r="I4" s="199" t="s">
        <v>707</v>
      </c>
      <c r="J4" s="289">
        <v>1</v>
      </c>
      <c r="K4" s="289">
        <v>1</v>
      </c>
    </row>
    <row r="5" spans="2:11" ht="16.5" x14ac:dyDescent="0.45">
      <c r="B5" s="199" t="s">
        <v>1208</v>
      </c>
      <c r="C5" s="290">
        <f>VLOOKUP('Ped&amp;Bike (Intersections)'!C17,'Reference Tables (Ped Intersct)'!$B$28:$F$37,HLOOKUP('Ped&amp;Bike (Intersections)'!C16,'Reference Tables (Ped Intersct)'!$C$27:$E$38,12,0),0)</f>
        <v>4.8</v>
      </c>
      <c r="E5" s="199" t="s">
        <v>1228</v>
      </c>
      <c r="F5" s="290">
        <f>VLOOKUP('Ped&amp;Bike (Intersections)'!C27,'ReferenceTables (Bike Intersct)'!B16:C22,2,0)</f>
        <v>1</v>
      </c>
      <c r="H5" s="199" t="s">
        <v>70</v>
      </c>
      <c r="I5" s="199" t="s">
        <v>706</v>
      </c>
      <c r="J5" s="289">
        <v>1</v>
      </c>
      <c r="K5" s="289">
        <v>1</v>
      </c>
    </row>
    <row r="6" spans="2:11" ht="16.5" x14ac:dyDescent="0.45">
      <c r="B6" s="199" t="s">
        <v>1335</v>
      </c>
      <c r="C6" s="290">
        <f>VLOOKUP('Ped&amp;Bike (Intersections)'!C17,'Reference Tables (Ped Intersct)'!$B$28:$F$37,5,0)</f>
        <v>90</v>
      </c>
      <c r="E6" s="199" t="s">
        <v>1229</v>
      </c>
      <c r="F6" s="290">
        <f>VLOOKUP('Ped&amp;Bike (Intersections)'!C3,'ReferenceTables (Bike Intersct)'!B26:C35,2,0)</f>
        <v>30</v>
      </c>
      <c r="H6" s="199" t="s">
        <v>384</v>
      </c>
      <c r="I6" s="199" t="s">
        <v>705</v>
      </c>
      <c r="J6" s="289">
        <v>1</v>
      </c>
      <c r="K6" s="289">
        <v>1</v>
      </c>
    </row>
    <row r="7" spans="2:11" ht="16.5" x14ac:dyDescent="0.45">
      <c r="B7" s="199" t="s">
        <v>1209</v>
      </c>
      <c r="C7" s="290">
        <f>VLOOKUP('Ped&amp;Bike (Intersections)'!C18,'Reference Tables (Ped Intersct)'!B41:C43,2,0)</f>
        <v>1.5</v>
      </c>
      <c r="E7" s="199" t="s">
        <v>1230</v>
      </c>
      <c r="F7" s="290">
        <f>VLOOKUP('Ped&amp;Bike (Intersections)'!C3,'ReferenceTables (Bike Intersct)'!B26:D35,3,0)</f>
        <v>45</v>
      </c>
      <c r="H7" s="199" t="s">
        <v>384</v>
      </c>
      <c r="I7" s="199" t="s">
        <v>704</v>
      </c>
      <c r="J7" s="289">
        <v>1</v>
      </c>
      <c r="K7" s="289">
        <v>1</v>
      </c>
    </row>
    <row r="8" spans="2:11" ht="16.5" x14ac:dyDescent="0.45">
      <c r="B8" s="199" t="s">
        <v>1210</v>
      </c>
      <c r="C8" s="290">
        <f>VLOOKUP('Ped&amp;Bike (Intersections)'!C19,'Reference Tables (Ped Intersct)'!B47:C49,2,0)</f>
        <v>1.25</v>
      </c>
      <c r="E8" s="199" t="s">
        <v>1231</v>
      </c>
      <c r="F8" s="290">
        <f>VLOOKUP('Ped&amp;Bike (Intersections)'!C28,'ReferenceTables (Bike Intersct)'!B39:C41,2,0)</f>
        <v>1</v>
      </c>
      <c r="H8" s="199" t="s">
        <v>71</v>
      </c>
      <c r="I8" s="199" t="s">
        <v>703</v>
      </c>
      <c r="J8" s="289">
        <v>1</v>
      </c>
      <c r="K8" s="289">
        <v>1</v>
      </c>
    </row>
    <row r="9" spans="2:11" ht="16.5" x14ac:dyDescent="0.45">
      <c r="B9" s="199" t="s">
        <v>1211</v>
      </c>
      <c r="C9" s="290">
        <f>VLOOKUP('Ped&amp;Bike (Intersections)'!C20,'Reference Tables (Ped Intersct)'!B53:C55,2,0)</f>
        <v>1</v>
      </c>
      <c r="E9" s="199" t="s">
        <v>1232</v>
      </c>
      <c r="F9" s="290">
        <f>VLOOKUP('Ped&amp;Bike (Intersections)'!C29,'ReferenceTables (Bike Intersct)'!B45:C46,2,0)</f>
        <v>1.2</v>
      </c>
      <c r="H9" s="199" t="s">
        <v>71</v>
      </c>
      <c r="I9" s="199" t="s">
        <v>702</v>
      </c>
      <c r="J9" s="289">
        <v>1</v>
      </c>
      <c r="K9" s="289">
        <v>1</v>
      </c>
    </row>
    <row r="10" spans="2:11" ht="16.5" x14ac:dyDescent="0.45">
      <c r="B10" s="199" t="s">
        <v>1212</v>
      </c>
      <c r="C10" s="290">
        <f>VLOOKUP('Ped&amp;Bike (Intersections)'!C8,'Reference Tables (Ped Intersct)'!$B$59:$C$60,2,0)</f>
        <v>1.25</v>
      </c>
      <c r="E10" s="199" t="s">
        <v>1233</v>
      </c>
      <c r="F10" s="290">
        <f>VLOOKUP('Ped&amp;Bike (Intersections)'!C8,'ReferenceTables (Bike Intersct)'!B50:C51,2,0)</f>
        <v>1.25</v>
      </c>
      <c r="H10" s="199" t="s">
        <v>72</v>
      </c>
      <c r="I10" s="199" t="s">
        <v>701</v>
      </c>
      <c r="J10" s="289">
        <v>1</v>
      </c>
      <c r="K10" s="289">
        <v>1</v>
      </c>
    </row>
    <row r="11" spans="2:11" ht="16.5" x14ac:dyDescent="0.45">
      <c r="B11" s="199" t="s">
        <v>1213</v>
      </c>
      <c r="C11" s="290">
        <f>VLOOKUP(VLOOKUP('Ped&amp;Bike (Intersections)'!C9,'Reference Tables (Ped Intersct)'!B64:C70,2,0)+'Ped&amp;Bike (Intersections)'!C21,'Reference Tables (Ped Intersct)'!C64:D70,2,0)</f>
        <v>4</v>
      </c>
      <c r="E11" s="199" t="s">
        <v>1234</v>
      </c>
      <c r="F11" s="290">
        <f>F4*F5*F6*F8*F9*F10</f>
        <v>49.5</v>
      </c>
      <c r="H11" s="199" t="s">
        <v>72</v>
      </c>
      <c r="I11" s="199" t="s">
        <v>687</v>
      </c>
      <c r="J11" s="289">
        <v>1</v>
      </c>
      <c r="K11" s="289">
        <v>1</v>
      </c>
    </row>
    <row r="12" spans="2:11" ht="16.5" x14ac:dyDescent="0.45">
      <c r="B12" s="199" t="s">
        <v>1214</v>
      </c>
      <c r="C12" s="290">
        <f>VLOOKUP('Ped&amp;Bike (Intersections)'!C14,'Reference Tables (Ped Intersct)'!$B$74:$C$80,2,0)</f>
        <v>2.7</v>
      </c>
      <c r="E12" s="199" t="s">
        <v>1235</v>
      </c>
      <c r="F12" s="290">
        <f>F7</f>
        <v>45</v>
      </c>
      <c r="I12" s="312"/>
      <c r="J12" s="312"/>
      <c r="K12" s="312"/>
    </row>
    <row r="13" spans="2:11" ht="16.5" x14ac:dyDescent="0.45">
      <c r="B13" s="199" t="s">
        <v>1215</v>
      </c>
      <c r="C13" s="290">
        <f>VLOOKUP('Ped&amp;Bike (Intersections)'!C3,'Reference Tables (Ped Intersct)'!$B$84:$C$93,2,0)</f>
        <v>1.1000000000000001</v>
      </c>
      <c r="E13" s="199" t="s">
        <v>1237</v>
      </c>
      <c r="F13" s="290">
        <f>IF('Ped&amp;Bike (Intersections)'!C7="20 or less",VLOOKUP('Ped&amp;Bike (Intersections)'!D7,'ReferenceTables (Bike Intersct)'!B62:C76,2,0),IF('Ped&amp;Bike (Intersections)'!D7="20 or less",VLOOKUP('Ped&amp;Bike (Intersections)'!C7,'ReferenceTables (Bike Intersct)'!B62:C76,2,0),VLOOKUP(MAX('Ped&amp;Bike (Intersections)'!C7,'Ped&amp;Bike (Intersections)'!D7),'ReferenceTables (Bike Intersct)'!B62:C76,2,0)))</f>
        <v>0.26400000000000001</v>
      </c>
    </row>
    <row r="14" spans="2:11" ht="16.5" x14ac:dyDescent="0.45">
      <c r="B14" s="199" t="s">
        <v>1216</v>
      </c>
      <c r="C14" s="290">
        <f>C4*C5*C7*C8*C9*C10*C11*C12*C13</f>
        <v>133.65000000000003</v>
      </c>
      <c r="E14" s="199" t="s">
        <v>1236</v>
      </c>
      <c r="F14" s="321">
        <f>0.000166*(MAX('Ped&amp;Bike (Intersections)'!E6,'Ped&amp;Bike (Intersections)'!F6)/VLOOKUP('Ped&amp;Bike (Intersections)'!E9,'Reference Tables (Ped Intersct)'!B64:C70,2,0))^0.65</f>
        <v>4.2115173178399856E-2</v>
      </c>
    </row>
    <row r="15" spans="2:11" ht="16.5" x14ac:dyDescent="0.45">
      <c r="B15" s="199" t="s">
        <v>1217</v>
      </c>
      <c r="C15" s="290">
        <f>C6</f>
        <v>90</v>
      </c>
      <c r="E15" s="199" t="s">
        <v>1238</v>
      </c>
      <c r="F15" s="290">
        <f>VLOOKUP('Ped&amp;Bike (Intersections)'!C24,'ReferenceTables (Bike Intersct)'!B93:C103,2,0)</f>
        <v>5.0000000000000001E-3</v>
      </c>
    </row>
    <row r="16" spans="2:11" ht="16.5" x14ac:dyDescent="0.45">
      <c r="B16" s="199" t="s">
        <v>1218</v>
      </c>
      <c r="C16" s="290">
        <f>VLOOKUP('Ped&amp;Bike (Intersections)'!C7,'Reference Tables (Ped Intersct)'!$B$3:$C$17,2,0)</f>
        <v>0.42899999999999999</v>
      </c>
    </row>
    <row r="17" spans="2:6" ht="16.5" x14ac:dyDescent="0.45">
      <c r="B17" s="199" t="s">
        <v>1219</v>
      </c>
      <c r="C17" s="290">
        <f>IF('Ped&amp;Bike (Intersections)'!C6/(VLOOKUP('Ped&amp;Bike (Intersections)'!C9,'Reference Tables (Ped Intersct)'!$B$64:$C$70,2,0)*20000)&gt;=1,1,'Ped&amp;Bike (Intersections)'!C6/(VLOOKUP('Ped&amp;Bike (Intersections)'!C9,'Reference Tables (Ped Intersct)'!$B$64:$C$70,2,0)*20000))</f>
        <v>0.625</v>
      </c>
      <c r="E17" s="199" t="s">
        <v>1033</v>
      </c>
      <c r="F17" s="321">
        <f>F11*F12*F13*F14*F15</f>
        <v>0.12383124369644911</v>
      </c>
    </row>
    <row r="18" spans="2:6" ht="16.5" x14ac:dyDescent="0.45">
      <c r="B18" s="199" t="s">
        <v>1220</v>
      </c>
      <c r="C18" s="290">
        <f>VLOOKUP('Ped&amp;Bike (Intersections)'!C13,'Reference Tables (Ped Intersct)'!$B$104:$C$114,2,0)</f>
        <v>5.0000000000000001E-3</v>
      </c>
    </row>
    <row r="19" spans="2:6" ht="16.5" x14ac:dyDescent="0.45">
      <c r="B19" s="199" t="s">
        <v>1221</v>
      </c>
      <c r="C19" s="321">
        <f>C14*C15*C16*C17*C18</f>
        <v>16.125707812500004</v>
      </c>
      <c r="F19" s="200" t="s">
        <v>671</v>
      </c>
    </row>
    <row r="20" spans="2:6" ht="16.5" x14ac:dyDescent="0.45">
      <c r="E20" s="199" t="s">
        <v>1227</v>
      </c>
      <c r="F20" s="290">
        <f>AVERAGE(VLOOKUP('Ped&amp;Bike (Intersections)'!E25,'ReferenceTables (Bike Intersct)'!B4:C12,2,0),VLOOKUP('Ped&amp;Bike (Intersections)'!E26,'ReferenceTables (Bike Intersct)'!B4:C12,2,0))</f>
        <v>1.2</v>
      </c>
    </row>
    <row r="21" spans="2:6" ht="16.5" x14ac:dyDescent="0.45">
      <c r="B21" s="221" t="s">
        <v>1031</v>
      </c>
      <c r="C21" s="200" t="s">
        <v>700</v>
      </c>
      <c r="E21" s="199" t="s">
        <v>1228</v>
      </c>
      <c r="F21" s="290">
        <f>VLOOKUP('Ped&amp;Bike (Intersections)'!E27,'ReferenceTables (Bike Intersct)'!B16:C22,2,0)</f>
        <v>1</v>
      </c>
    </row>
    <row r="22" spans="2:6" ht="16.5" x14ac:dyDescent="0.45">
      <c r="B22" s="199" t="s">
        <v>1207</v>
      </c>
      <c r="C22" s="290">
        <f>VLOOKUP('Ped&amp;Bike (Intersections)'!D15,'Reference Tables (Ped Intersct)'!$B$20:$C$23,2,0)</f>
        <v>1</v>
      </c>
      <c r="E22" s="199" t="s">
        <v>1229</v>
      </c>
      <c r="F22" s="290">
        <f>VLOOKUP('Ped&amp;Bike (Intersections)'!C3,'ReferenceTables (Bike Intersct)'!B26:C35,2,0)</f>
        <v>30</v>
      </c>
    </row>
    <row r="23" spans="2:6" ht="16.5" x14ac:dyDescent="0.45">
      <c r="B23" s="199" t="s">
        <v>1208</v>
      </c>
      <c r="C23" s="290">
        <f>VLOOKUP('Ped&amp;Bike (Intersections)'!D17,'Reference Tables (Ped Intersct)'!$B$28:$F$37,HLOOKUP('Ped&amp;Bike (Intersections)'!D16,'Reference Tables (Ped Intersct)'!$C$27:$E$38,12,0),0)</f>
        <v>4.8</v>
      </c>
      <c r="E23" s="199" t="s">
        <v>1230</v>
      </c>
      <c r="F23" s="290">
        <f>VLOOKUP('Ped&amp;Bike (Intersections)'!C3,'ReferenceTables (Bike Intersct)'!B26:D35,3,0)</f>
        <v>45</v>
      </c>
    </row>
    <row r="24" spans="2:6" ht="16.5" x14ac:dyDescent="0.45">
      <c r="B24" s="199" t="s">
        <v>1335</v>
      </c>
      <c r="C24" s="290">
        <f>VLOOKUP('Ped&amp;Bike (Intersections)'!D17,'Reference Tables (Ped Intersct)'!$B$28:$F$37,5,0)</f>
        <v>90</v>
      </c>
      <c r="E24" s="199" t="s">
        <v>1231</v>
      </c>
      <c r="F24" s="290">
        <f>VLOOKUP('Ped&amp;Bike (Intersections)'!E28,'ReferenceTables (Bike Intersct)'!B39:C41,2,0)</f>
        <v>1</v>
      </c>
    </row>
    <row r="25" spans="2:6" ht="16.5" x14ac:dyDescent="0.45">
      <c r="B25" s="199" t="s">
        <v>1209</v>
      </c>
      <c r="C25" s="290">
        <f>VLOOKUP('Ped&amp;Bike (Intersections)'!D18,'Reference Tables (Ped Intersct)'!$B$41:$C$43,2,0)</f>
        <v>1.5</v>
      </c>
      <c r="E25" s="199" t="s">
        <v>1232</v>
      </c>
      <c r="F25" s="290">
        <f>VLOOKUP('Ped&amp;Bike (Intersections)'!E29,'ReferenceTables (Bike Intersct)'!B45:C46,2,0)</f>
        <v>1.2</v>
      </c>
    </row>
    <row r="26" spans="2:6" ht="16.5" x14ac:dyDescent="0.45">
      <c r="B26" s="199" t="s">
        <v>1210</v>
      </c>
      <c r="C26" s="290">
        <f>VLOOKUP('Ped&amp;Bike (Intersections)'!D19,'Reference Tables (Ped Intersct)'!$B$47:$C$49,2,0)</f>
        <v>1.25</v>
      </c>
      <c r="E26" s="199" t="s">
        <v>1233</v>
      </c>
      <c r="F26" s="290">
        <f>VLOOKUP('Ped&amp;Bike (Intersections)'!E8,'ReferenceTables (Bike Intersct)'!B50:C51,2,0)</f>
        <v>1.25</v>
      </c>
    </row>
    <row r="27" spans="2:6" ht="16.5" x14ac:dyDescent="0.45">
      <c r="B27" s="199" t="s">
        <v>1211</v>
      </c>
      <c r="C27" s="290">
        <f>VLOOKUP('Ped&amp;Bike (Intersections)'!D20,'Reference Tables (Ped Intersct)'!B53:C55,2,0)</f>
        <v>1</v>
      </c>
      <c r="E27" s="199" t="s">
        <v>1239</v>
      </c>
      <c r="F27" s="290">
        <f>F20*F21*F22*F24*F25*F26</f>
        <v>53.999999999999993</v>
      </c>
    </row>
    <row r="28" spans="2:6" ht="16.5" x14ac:dyDescent="0.45">
      <c r="B28" s="199" t="s">
        <v>1212</v>
      </c>
      <c r="C28" s="290">
        <f>VLOOKUP('Ped&amp;Bike (Intersections)'!D$8,'Reference Tables (Ped Intersct)'!$B$59:$C$60,2,0)</f>
        <v>1.25</v>
      </c>
      <c r="E28" s="199" t="s">
        <v>1240</v>
      </c>
      <c r="F28" s="290">
        <f>F23</f>
        <v>45</v>
      </c>
    </row>
    <row r="29" spans="2:6" ht="16.5" x14ac:dyDescent="0.45">
      <c r="B29" s="199" t="s">
        <v>1213</v>
      </c>
      <c r="C29" s="290">
        <f>VLOOKUP(VLOOKUP('Ped&amp;Bike (Intersections)'!D9,'Reference Tables (Ped Intersct)'!B64:C70,2,0)+'Ped&amp;Bike (Intersections)'!D21,'Reference Tables (Ped Intersct)'!C64:D70,2,0)</f>
        <v>4</v>
      </c>
      <c r="E29" s="199" t="s">
        <v>1241</v>
      </c>
      <c r="F29" s="290">
        <f>IF('Ped&amp;Bike (Intersections)'!F7="20 or less",VLOOKUP('Ped&amp;Bike (Intersections)'!E7,'ReferenceTables (Bike Intersct)'!B62:C76,2,0),IF('Ped&amp;Bike (Intersections)'!E7="20 or less",VLOOKUP('Ped&amp;Bike (Intersections)'!F7,'ReferenceTables (Bike Intersct)'!B62:C76,2,0),VLOOKUP(MAX('Ped&amp;Bike (Intersections)'!E7,'Ped&amp;Bike (Intersections)'!F7),'ReferenceTables (Bike Intersct)'!B62:C76,2,0)))</f>
        <v>0.112</v>
      </c>
    </row>
    <row r="30" spans="2:6" ht="16.5" x14ac:dyDescent="0.45">
      <c r="B30" s="199" t="s">
        <v>1214</v>
      </c>
      <c r="C30" s="290">
        <f>VLOOKUP('Ped&amp;Bike (Intersections)'!D14,'Reference Tables (Ped Intersct)'!$B$74:$C$80,2,0)</f>
        <v>2.7</v>
      </c>
      <c r="E30" s="199" t="s">
        <v>1242</v>
      </c>
      <c r="F30" s="321">
        <f>0.000166*(MAX('Ped&amp;Bike (Intersections)'!C6,'Ped&amp;Bike (Intersections)'!D6)/VLOOKUP('Ped&amp;Bike (Intersections)'!C9,'Reference Tables (Ped Intersct)'!B64:C70,2,0))^0.65</f>
        <v>7.6401097367109372E-2</v>
      </c>
    </row>
    <row r="31" spans="2:6" ht="16.5" x14ac:dyDescent="0.45">
      <c r="B31" s="199" t="s">
        <v>1215</v>
      </c>
      <c r="C31" s="290">
        <f>VLOOKUP('Ped&amp;Bike (Intersections)'!C$3,'Reference Tables (Ped Intersct)'!$B$84:$C$93,2,0)</f>
        <v>1.1000000000000001</v>
      </c>
      <c r="E31" s="199" t="s">
        <v>1243</v>
      </c>
      <c r="F31" s="290">
        <f>VLOOKUP('Ped&amp;Bike (Intersections)'!E24,'ReferenceTables (Bike Intersct)'!B93:C103,2,0)</f>
        <v>5.0000000000000001E-3</v>
      </c>
    </row>
    <row r="32" spans="2:6" ht="16.5" x14ac:dyDescent="0.45">
      <c r="B32" s="199" t="s">
        <v>1216</v>
      </c>
      <c r="C32" s="290">
        <f>C22*C23*C25*C26*C27*C28*C29*C30*C31</f>
        <v>133.65000000000003</v>
      </c>
    </row>
    <row r="33" spans="2:6" ht="16.5" x14ac:dyDescent="0.45">
      <c r="B33" s="199" t="s">
        <v>1217</v>
      </c>
      <c r="C33" s="290">
        <f>C24</f>
        <v>90</v>
      </c>
      <c r="E33" s="199" t="s">
        <v>699</v>
      </c>
      <c r="F33" s="321">
        <f>F27*F28*F29*F30*F31</f>
        <v>0.10396661329716242</v>
      </c>
    </row>
    <row r="34" spans="2:6" ht="16.5" x14ac:dyDescent="0.45">
      <c r="B34" s="199" t="s">
        <v>1218</v>
      </c>
      <c r="C34" s="290">
        <f>VLOOKUP('Ped&amp;Bike (Intersections)'!D7,'Reference Tables (Ped Intersct)'!$B$3:$C$17,2,0)</f>
        <v>0.42899999999999999</v>
      </c>
    </row>
    <row r="35" spans="2:6" ht="16.5" x14ac:dyDescent="0.45">
      <c r="B35" s="199" t="s">
        <v>1219</v>
      </c>
      <c r="C35" s="290">
        <f>IF('Ped&amp;Bike (Intersections)'!D6/(VLOOKUP('Ped&amp;Bike (Intersections)'!D9,'Reference Tables (Ped Intersct)'!$B$64:$C$70,2,0)*20000)&gt;=1,1,'Ped&amp;Bike (Intersections)'!D6/(VLOOKUP('Ped&amp;Bike (Intersections)'!D9,'Reference Tables (Ped Intersct)'!$B$64:$C$70,2,0)*20000))</f>
        <v>0.625</v>
      </c>
      <c r="E35" s="199" t="s">
        <v>698</v>
      </c>
      <c r="F35" s="321">
        <f>F17+F33</f>
        <v>0.22779785699361155</v>
      </c>
    </row>
    <row r="36" spans="2:6" ht="16.5" x14ac:dyDescent="0.45">
      <c r="B36" s="199" t="s">
        <v>1220</v>
      </c>
      <c r="C36" s="290">
        <f>VLOOKUP('Ped&amp;Bike (Intersections)'!D13,'Reference Tables (Ped Intersct)'!$B$104:$C$114,2,0)</f>
        <v>5.0000000000000001E-3</v>
      </c>
      <c r="E36" s="199" t="s">
        <v>1244</v>
      </c>
      <c r="F36" s="290">
        <f>VLOOKUP('Ped&amp;Bike (Intersections)'!C3,'ReferenceTables (Bike Intersct)'!B26:E35,4,0)</f>
        <v>0.59599999999999997</v>
      </c>
    </row>
    <row r="37" spans="2:6" ht="16.5" x14ac:dyDescent="0.45">
      <c r="B37" s="199" t="s">
        <v>1221</v>
      </c>
      <c r="C37" s="321">
        <f>C32*C33*C34*C35*C36</f>
        <v>16.125707812500004</v>
      </c>
      <c r="E37" s="199" t="s">
        <v>697</v>
      </c>
      <c r="F37" s="291">
        <f>VLOOKUP('Ped&amp;Bike (Intersections)'!C3,I4:K13,3,0)</f>
        <v>1</v>
      </c>
    </row>
    <row r="39" spans="2:6" x14ac:dyDescent="0.35">
      <c r="B39" s="221" t="s">
        <v>1031</v>
      </c>
      <c r="C39" s="200" t="s">
        <v>696</v>
      </c>
    </row>
    <row r="40" spans="2:6" ht="16.5" x14ac:dyDescent="0.45">
      <c r="B40" s="199" t="s">
        <v>1207</v>
      </c>
      <c r="C40" s="290">
        <f>VLOOKUP('Ped&amp;Bike (Intersections)'!E15,'Reference Tables (Ped Intersct)'!$B$20:$C$23,2,0)</f>
        <v>1</v>
      </c>
    </row>
    <row r="41" spans="2:6" ht="16.5" x14ac:dyDescent="0.45">
      <c r="B41" s="199" t="s">
        <v>1208</v>
      </c>
      <c r="C41" s="290">
        <f>VLOOKUP('Ped&amp;Bike (Intersections)'!E17,'Reference Tables (Ped Intersct)'!$B$28:$F$37,HLOOKUP('Ped&amp;Bike (Intersections)'!E16,'Reference Tables (Ped Intersct)'!$C$27:$E$38,12,0),0)</f>
        <v>4.8</v>
      </c>
    </row>
    <row r="42" spans="2:6" ht="16.5" x14ac:dyDescent="0.45">
      <c r="B42" s="199" t="s">
        <v>1335</v>
      </c>
      <c r="C42" s="290">
        <f>VLOOKUP('Ped&amp;Bike (Intersections)'!E17,'Reference Tables (Ped Intersct)'!$B$28:$F$37,5,0)</f>
        <v>90</v>
      </c>
    </row>
    <row r="43" spans="2:6" ht="16.5" x14ac:dyDescent="0.45">
      <c r="B43" s="199" t="s">
        <v>1209</v>
      </c>
      <c r="C43" s="290">
        <f>VLOOKUP('Ped&amp;Bike (Intersections)'!E18,'Reference Tables (Ped Intersct)'!$B$41:$C$43,2,0)</f>
        <v>1.5</v>
      </c>
    </row>
    <row r="44" spans="2:6" ht="16.5" x14ac:dyDescent="0.45">
      <c r="B44" s="199" t="s">
        <v>1210</v>
      </c>
      <c r="C44" s="290">
        <f>VLOOKUP('Ped&amp;Bike (Intersections)'!E19,'Reference Tables (Ped Intersct)'!$B$47:$C$49,2,0)</f>
        <v>1.25</v>
      </c>
    </row>
    <row r="45" spans="2:6" ht="16.5" x14ac:dyDescent="0.45">
      <c r="B45" s="199" t="s">
        <v>1211</v>
      </c>
      <c r="C45" s="290">
        <f>VLOOKUP('Ped&amp;Bike (Intersections)'!E20,'Reference Tables (Ped Intersct)'!B53:C55,2,0)</f>
        <v>1</v>
      </c>
    </row>
    <row r="46" spans="2:6" ht="16.5" x14ac:dyDescent="0.45">
      <c r="B46" s="199" t="s">
        <v>1212</v>
      </c>
      <c r="C46" s="290">
        <f>VLOOKUP('Ped&amp;Bike (Intersections)'!E$8,'Reference Tables (Ped Intersct)'!$B$59:$C$60,2,0)</f>
        <v>1.25</v>
      </c>
    </row>
    <row r="47" spans="2:6" ht="16.5" x14ac:dyDescent="0.45">
      <c r="B47" s="199" t="s">
        <v>1213</v>
      </c>
      <c r="C47" s="290">
        <f>VLOOKUP(VLOOKUP('Ped&amp;Bike (Intersections)'!E9,'Reference Tables (Ped Intersct)'!B64:C70,2,0)+'Ped&amp;Bike (Intersections)'!E21,'Reference Tables (Ped Intersct)'!C64:D70,2,0)</f>
        <v>2.8</v>
      </c>
    </row>
    <row r="48" spans="2:6" ht="16.5" x14ac:dyDescent="0.45">
      <c r="B48" s="199" t="s">
        <v>1214</v>
      </c>
      <c r="C48" s="290">
        <f>VLOOKUP('Ped&amp;Bike (Intersections)'!E14,'Reference Tables (Ped Intersct)'!$B$74:$C$80,2,0)</f>
        <v>3</v>
      </c>
    </row>
    <row r="49" spans="2:5" ht="16.5" x14ac:dyDescent="0.45">
      <c r="B49" s="199" t="s">
        <v>1215</v>
      </c>
      <c r="C49" s="290">
        <f>VLOOKUP('Ped&amp;Bike (Intersections)'!C$3,'Reference Tables (Ped Intersct)'!$B$84:$C$93,2,0)</f>
        <v>1.1000000000000001</v>
      </c>
    </row>
    <row r="50" spans="2:5" ht="16.5" x14ac:dyDescent="0.45">
      <c r="B50" s="199" t="s">
        <v>1216</v>
      </c>
      <c r="C50" s="290">
        <f>C40*C41*C43*C44*C45*C46*C47*C48*C49</f>
        <v>103.94999999999999</v>
      </c>
    </row>
    <row r="51" spans="2:5" ht="16.5" x14ac:dyDescent="0.45">
      <c r="B51" s="199" t="s">
        <v>1217</v>
      </c>
      <c r="C51" s="290">
        <f>C42</f>
        <v>90</v>
      </c>
    </row>
    <row r="52" spans="2:5" ht="16.5" x14ac:dyDescent="0.45">
      <c r="B52" s="199" t="s">
        <v>1218</v>
      </c>
      <c r="C52" s="290">
        <f>VLOOKUP('Ped&amp;Bike (Intersections)'!E7,'Reference Tables (Ped Intersct)'!$B$3:$C$17,2,0)</f>
        <v>0.183</v>
      </c>
    </row>
    <row r="53" spans="2:5" ht="16.5" x14ac:dyDescent="0.45">
      <c r="B53" s="199" t="s">
        <v>1219</v>
      </c>
      <c r="C53" s="290">
        <f>IF('Ped&amp;Bike (Intersections)'!E6/(VLOOKUP('Ped&amp;Bike (Intersections)'!E9,'Reference Tables (Ped Intersct)'!$B$64:$C$70,2,0)*20000)&gt;=1,1,'Ped&amp;Bike (Intersections)'!E6/(VLOOKUP('Ped&amp;Bike (Intersections)'!E9,'Reference Tables (Ped Intersct)'!$B$64:$C$70,2,0)*20000))</f>
        <v>0.25</v>
      </c>
    </row>
    <row r="54" spans="2:5" ht="16.5" x14ac:dyDescent="0.45">
      <c r="B54" s="199" t="s">
        <v>1220</v>
      </c>
      <c r="C54" s="290">
        <f>VLOOKUP('Ped&amp;Bike (Intersections)'!E13,'Reference Tables (Ped Intersct)'!$B$104:$C$114,2,0)</f>
        <v>5.0000000000000001E-3</v>
      </c>
    </row>
    <row r="55" spans="2:5" ht="16.5" x14ac:dyDescent="0.45">
      <c r="B55" s="199" t="s">
        <v>1221</v>
      </c>
      <c r="C55" s="321">
        <f>C50*C51*C52*C53*C54</f>
        <v>2.1400706249999994</v>
      </c>
    </row>
    <row r="57" spans="2:5" x14ac:dyDescent="0.35">
      <c r="B57" s="221" t="s">
        <v>1031</v>
      </c>
      <c r="C57" s="200" t="s">
        <v>695</v>
      </c>
    </row>
    <row r="58" spans="2:5" ht="16.5" x14ac:dyDescent="0.45">
      <c r="B58" s="199" t="s">
        <v>1207</v>
      </c>
      <c r="C58" s="290">
        <f>VLOOKUP('Ped&amp;Bike (Intersections)'!F15,'Reference Tables (Ped Intersct)'!$B$20:$C$23,2,0)</f>
        <v>1</v>
      </c>
    </row>
    <row r="59" spans="2:5" ht="16.5" x14ac:dyDescent="0.45">
      <c r="B59" s="199" t="s">
        <v>1208</v>
      </c>
      <c r="C59" s="290">
        <f>VLOOKUP('Ped&amp;Bike (Intersections)'!F17,'Reference Tables (Ped Intersct)'!$B$28:$F$37,HLOOKUP('Ped&amp;Bike (Intersections)'!F16,'Reference Tables (Ped Intersct)'!$C$27:$E$38,12,0),0)</f>
        <v>4.8</v>
      </c>
    </row>
    <row r="60" spans="2:5" ht="16.5" x14ac:dyDescent="0.45">
      <c r="B60" s="199" t="s">
        <v>1335</v>
      </c>
      <c r="C60" s="290">
        <f>VLOOKUP('Ped&amp;Bike (Intersections)'!F17,'Reference Tables (Ped Intersct)'!$B$28:$F$37,5,0)</f>
        <v>90</v>
      </c>
    </row>
    <row r="61" spans="2:5" ht="16.5" x14ac:dyDescent="0.45">
      <c r="B61" s="199" t="s">
        <v>1209</v>
      </c>
      <c r="C61" s="290">
        <f>VLOOKUP('Ped&amp;Bike (Intersections)'!F18,'Reference Tables (Ped Intersct)'!$B$41:$C$43,2,0)</f>
        <v>1.5</v>
      </c>
      <c r="E61" s="315"/>
    </row>
    <row r="62" spans="2:5" ht="16.5" x14ac:dyDescent="0.45">
      <c r="B62" s="199" t="s">
        <v>1210</v>
      </c>
      <c r="C62" s="290">
        <f>VLOOKUP('Ped&amp;Bike (Intersections)'!F19,'Reference Tables (Ped Intersct)'!$B$47:$C$49,2,0)</f>
        <v>1.25</v>
      </c>
    </row>
    <row r="63" spans="2:5" ht="16.5" x14ac:dyDescent="0.45">
      <c r="B63" s="199" t="s">
        <v>1211</v>
      </c>
      <c r="C63" s="290">
        <f>VLOOKUP('Ped&amp;Bike (Intersections)'!F20,'Reference Tables (Ped Intersct)'!B53:C55,2,0)</f>
        <v>1</v>
      </c>
    </row>
    <row r="64" spans="2:5" ht="16.5" x14ac:dyDescent="0.45">
      <c r="B64" s="199" t="s">
        <v>1212</v>
      </c>
      <c r="C64" s="290">
        <f>VLOOKUP('Ped&amp;Bike (Intersections)'!F8,'Reference Tables (Ped Intersct)'!$B$59:$C$60,2,0)</f>
        <v>1.25</v>
      </c>
    </row>
    <row r="65" spans="2:6" ht="16.5" x14ac:dyDescent="0.45">
      <c r="B65" s="199" t="s">
        <v>1213</v>
      </c>
      <c r="C65" s="290">
        <f>VLOOKUP(VLOOKUP('Ped&amp;Bike (Intersections)'!F9,'Reference Tables (Ped Intersct)'!B64:C70,2,0)+'Ped&amp;Bike (Intersections)'!F21,'Reference Tables (Ped Intersct)'!C64:D70,2,0)</f>
        <v>2.8</v>
      </c>
    </row>
    <row r="66" spans="2:6" ht="16.5" x14ac:dyDescent="0.45">
      <c r="B66" s="199" t="s">
        <v>1214</v>
      </c>
      <c r="C66" s="290">
        <f>VLOOKUP('Ped&amp;Bike (Intersections)'!F14,'Reference Tables (Ped Intersct)'!$B$74:$C$80,2,0)</f>
        <v>3</v>
      </c>
    </row>
    <row r="67" spans="2:6" ht="16.5" x14ac:dyDescent="0.45">
      <c r="B67" s="199" t="s">
        <v>1215</v>
      </c>
      <c r="C67" s="290">
        <f>VLOOKUP('Ped&amp;Bike (Intersections)'!C$3,'Reference Tables (Ped Intersct)'!$B$84:$C$93,2,0)</f>
        <v>1.1000000000000001</v>
      </c>
    </row>
    <row r="68" spans="2:6" ht="16.5" x14ac:dyDescent="0.45">
      <c r="B68" s="199" t="s">
        <v>1216</v>
      </c>
      <c r="C68" s="290">
        <f>C58*C59*C61*C62*C63*C64*C65*C66*C67</f>
        <v>103.94999999999999</v>
      </c>
    </row>
    <row r="69" spans="2:6" ht="16.5" x14ac:dyDescent="0.45">
      <c r="B69" s="199" t="s">
        <v>1217</v>
      </c>
      <c r="C69" s="290">
        <f>C60</f>
        <v>90</v>
      </c>
    </row>
    <row r="70" spans="2:6" ht="16.5" x14ac:dyDescent="0.45">
      <c r="B70" s="199" t="s">
        <v>1218</v>
      </c>
      <c r="C70" s="290">
        <f>VLOOKUP('Ped&amp;Bike (Intersections)'!F7,'Reference Tables (Ped Intersct)'!$B$3:$C$17,2,0)</f>
        <v>0.183</v>
      </c>
    </row>
    <row r="71" spans="2:6" ht="16.5" x14ac:dyDescent="0.45">
      <c r="B71" s="199" t="s">
        <v>1219</v>
      </c>
      <c r="C71" s="290">
        <f>IF('Ped&amp;Bike (Intersections)'!F6/(VLOOKUP('Ped&amp;Bike (Intersections)'!F9,'Reference Tables (Ped Intersct)'!$B$64:$C$70,2,0)*20000)&gt;=1,1,'Ped&amp;Bike (Intersections)'!F6/(VLOOKUP('Ped&amp;Bike (Intersections)'!F9,'Reference Tables (Ped Intersct)'!$B$64:$C$70,2,0)*20000))</f>
        <v>0.25</v>
      </c>
    </row>
    <row r="72" spans="2:6" ht="16.5" x14ac:dyDescent="0.45">
      <c r="B72" s="199" t="s">
        <v>1220</v>
      </c>
      <c r="C72" s="290">
        <f>VLOOKUP('Ped&amp;Bike (Intersections)'!F13,'Reference Tables (Ped Intersct)'!$B$104:$C$114,2,0)</f>
        <v>5.0000000000000001E-3</v>
      </c>
    </row>
    <row r="73" spans="2:6" ht="16.5" x14ac:dyDescent="0.45">
      <c r="B73" s="199" t="s">
        <v>1221</v>
      </c>
      <c r="C73" s="321">
        <f>C68*C69*C70*C71*C72</f>
        <v>2.1400706249999994</v>
      </c>
    </row>
    <row r="75" spans="2:6" x14ac:dyDescent="0.35">
      <c r="B75" s="199" t="s">
        <v>694</v>
      </c>
      <c r="C75" s="322">
        <f>IF(ISNUMBER(SEARCH("3-leg",'Ped&amp;Bike (Intersections)'!C3)),(C19+C37+C55),(C19+C37+C55+C73))</f>
        <v>34.391486250000007</v>
      </c>
    </row>
    <row r="76" spans="2:6" ht="15.5" x14ac:dyDescent="0.4">
      <c r="B76" s="313" t="s">
        <v>1245</v>
      </c>
      <c r="C76" s="292">
        <f>VLOOKUP('Ped&amp;Bike (Intersections)'!C3,'Reference Tables (Ped Intersct)'!B84:D93,3,0)</f>
        <v>0.14699999999999999</v>
      </c>
    </row>
    <row r="77" spans="2:6" ht="16.5" x14ac:dyDescent="0.45">
      <c r="B77" s="199" t="s">
        <v>693</v>
      </c>
      <c r="C77" s="291">
        <f>VLOOKUP('Ped&amp;Bike (Intersections)'!C3,'Ped&amp;Bike (Intersection Results)'!I4:J13,2,0)</f>
        <v>1</v>
      </c>
    </row>
    <row r="78" spans="2:6" x14ac:dyDescent="0.35">
      <c r="E78" s="315"/>
    </row>
    <row r="79" spans="2:6" x14ac:dyDescent="0.35">
      <c r="B79" s="295" t="s">
        <v>649</v>
      </c>
      <c r="C79" s="295" t="s">
        <v>650</v>
      </c>
      <c r="E79" s="295" t="s">
        <v>649</v>
      </c>
      <c r="F79" s="295" t="s">
        <v>648</v>
      </c>
    </row>
    <row r="80" spans="2:6" ht="16.5" x14ac:dyDescent="0.45">
      <c r="B80" s="201" t="s">
        <v>1222</v>
      </c>
      <c r="C80" s="220">
        <f>C75*C76*C77</f>
        <v>5.0555484787500005</v>
      </c>
      <c r="E80" s="200" t="s">
        <v>1246</v>
      </c>
      <c r="F80" s="219">
        <f>F35*F36*F37</f>
        <v>0.13576752276819248</v>
      </c>
    </row>
    <row r="81" spans="2:7" ht="16.5" x14ac:dyDescent="0.45">
      <c r="B81" s="200" t="s">
        <v>1223</v>
      </c>
      <c r="C81" s="208">
        <f>C80*D81</f>
        <v>0.15166645436250001</v>
      </c>
      <c r="D81" s="318">
        <f>IF('Ped&amp;Bike (Intersections)'!C3="3-leg unsignalized with exclusive left-turn lane",'Reference Tables (Ped Intersct)'!G84,IF('Ped&amp;Bike (Intersections)'!C3="3-leg unsignalized with no exclusive left-turn lane",'Reference Tables (Ped Intersct)'!G85,IF('Ped&amp;Bike (Intersections)'!C3="3-leg signalized with exclusive left-turn lane",'Reference Tables (Ped Intersct)'!G86,IF('Ped&amp;Bike (Intersections)'!C3="3-leg signalized with no  exclusive left-turn lane",'Reference Tables (Ped Intersct)'!G87,IF('Ped&amp;Bike (Intersections)'!C3="4-leg unsignalized with exclusive left-turn lane",'Reference Tables (Ped Intersct)'!G88,IF('Ped&amp;Bike (Intersections)'!C3="4-leg unsignalized with no exclusive left-turn lane",'Reference Tables (Ped Intersct)'!G89,IF('Ped&amp;Bike (Intersections)'!C3="4-leg signalized with exclusive left-turn lane",'Reference Tables (Ped Intersct)'!G90,'Reference Tables (Ped Intersct)'!G91)))))))</f>
        <v>0.03</v>
      </c>
      <c r="E81" s="200" t="s">
        <v>1247</v>
      </c>
      <c r="F81" s="208">
        <f>F80*G81</f>
        <v>6.7883761384096239E-4</v>
      </c>
      <c r="G81" s="320">
        <f>IF('Ped&amp;Bike (Intersections)'!C3="3-leg unsignalized with exclusive left-turn lane",'ReferenceTables (Bike Intersct)'!I26,IF('Ped&amp;Bike (Intersections)'!C3="3-leg unsignalized with no exclusive left-turn lane",'ReferenceTables (Bike Intersct)'!I27,IF('Ped&amp;Bike (Intersections)'!C3="3-leg signalized with exclusive left-turn lane",'ReferenceTables (Bike Intersct)'!I28,IF('Ped&amp;Bike (Intersections)'!C3="3-leg signalized with no  exclusive left-turn lane",'ReferenceTables (Bike Intersct)'!I29,IF('Ped&amp;Bike (Intersections)'!C3="4-leg unsignalized with exclusive left-turn lane",'ReferenceTables (Bike Intersct)'!I30,IF('Ped&amp;Bike (Intersections)'!C3="4-leg unsignalized with no exclusive left-turn lane",'ReferenceTables (Bike Intersct)'!I31,IF('Ped&amp;Bike (Intersections)'!C3="4-leg signalized with exclusive left-turn lane",'ReferenceTables (Bike Intersct)'!I32,'ReferenceTables (Bike Intersct)'!I33)))))))</f>
        <v>5.0000000000000001E-3</v>
      </c>
    </row>
    <row r="82" spans="2:7" ht="16.5" x14ac:dyDescent="0.45">
      <c r="B82" s="200" t="s">
        <v>1224</v>
      </c>
      <c r="C82" s="208">
        <f>C80*D82</f>
        <v>1.3043315075175002</v>
      </c>
      <c r="D82" s="300">
        <f>IF('Ped&amp;Bike (Intersections)'!C3="3-leg unsignalized with exclusive left-turn lane",'Reference Tables (Ped Intersct)'!H84,IF('Ped&amp;Bike (Intersections)'!C3="3-leg unsignalized with no exclusive left-turn lane",'Reference Tables (Ped Intersct)'!H85,IF('Ped&amp;Bike (Intersections)'!C3="3-leg signalized with exclusive left-turn lane",'Reference Tables (Ped Intersct)'!H86,IF('Ped&amp;Bike (Intersections)'!C3="3-leg signalized with no  exclusive left-turn lane",'Reference Tables (Ped Intersct)'!H87,IF('Ped&amp;Bike (Intersections)'!C3="4-leg unsignalized with exclusive left-turn lane",'Reference Tables (Ped Intersct)'!H88,IF('Ped&amp;Bike (Intersections)'!C3="4-leg unsignalized with no exclusive left-turn lane",'Reference Tables (Ped Intersct)'!H89,IF('Ped&amp;Bike (Intersections)'!C3="4-leg signalized with exclusive left-turn lane",'Reference Tables (Ped Intersct)'!H90,'Reference Tables (Ped Intersct)'!H91)))))))</f>
        <v>0.25800000000000001</v>
      </c>
      <c r="E82" s="200" t="s">
        <v>1248</v>
      </c>
      <c r="F82" s="208">
        <f>F80*G82</f>
        <v>6.7883761384096239E-4</v>
      </c>
      <c r="G82" s="300">
        <f>IF('Ped&amp;Bike (Intersections)'!C3="3-leg unsignalized with exclusive left-turn lane",'ReferenceTables (Bike Intersct)'!J26,IF('Ped&amp;Bike (Intersections)'!C3="3-leg unsignalized with no exclusive left-turn lane",'ReferenceTables (Bike Intersct)'!J27,IF('Ped&amp;Bike (Intersections)'!C3="3-leg signalized with exclusive left-turn lane",'ReferenceTables (Bike Intersct)'!J28,IF('Ped&amp;Bike (Intersections)'!C3="3-leg signalized with no  exclusive left-turn lane",'ReferenceTables (Bike Intersct)'!J29,IF('Ped&amp;Bike (Intersections)'!C3="4-leg unsignalized with exclusive left-turn lane",'ReferenceTables (Bike Intersct)'!J30,IF('Ped&amp;Bike (Intersections)'!C3="4-leg unsignalized with no exclusive left-turn lane",'ReferenceTables (Bike Intersct)'!J31,IF('Ped&amp;Bike (Intersections)'!C3="4-leg signalized with exclusive left-turn lane",'ReferenceTables (Bike Intersct)'!J32,'ReferenceTables (Bike Intersct)'!J33)))))))</f>
        <v>5.0000000000000001E-3</v>
      </c>
    </row>
    <row r="83" spans="2:7" ht="16.5" x14ac:dyDescent="0.45">
      <c r="B83" s="200" t="s">
        <v>1225</v>
      </c>
      <c r="C83" s="208">
        <f>C80*D83</f>
        <v>1.840219646265</v>
      </c>
      <c r="D83" s="300">
        <f>IF('Ped&amp;Bike (Intersections)'!C3="3-leg unsignalized with exclusive left-turn lane",'Reference Tables (Ped Intersct)'!I84,IF('Ped&amp;Bike (Intersections)'!C3="3-leg unsignalized with no exclusive left-turn lane",'Reference Tables (Ped Intersct)'!I85,IF('Ped&amp;Bike (Intersections)'!C3="3-leg signalized with exclusive left-turn lane",'Reference Tables (Ped Intersct)'!I86,IF('Ped&amp;Bike (Intersections)'!C3="3-leg signalized with no  exclusive left-turn lane",'Reference Tables (Ped Intersct)'!I87,IF('Ped&amp;Bike (Intersections)'!C3="4-leg unsignalized with exclusive left-turn lane",'Reference Tables (Ped Intersct)'!I88,IF('Ped&amp;Bike (Intersections)'!C3="4-leg unsignalized with no exclusive left-turn lane",'Reference Tables (Ped Intersct)'!I89,IF('Ped&amp;Bike (Intersections)'!C3="4-leg signalized with exclusive left-turn lane",'Reference Tables (Ped Intersct)'!I90,'Reference Tables (Ped Intersct)'!I91)))))))</f>
        <v>0.36399999999999999</v>
      </c>
      <c r="E83" s="200" t="s">
        <v>1249</v>
      </c>
      <c r="F83" s="208">
        <f>F80*G83</f>
        <v>8.7298517139947768E-2</v>
      </c>
      <c r="G83" s="300">
        <f>IF('Ped&amp;Bike (Intersections)'!C3="3-leg unsignalized with exclusive left-turn lane",'ReferenceTables (Bike Intersct)'!K26,IF('Ped&amp;Bike (Intersections)'!C3="3-leg unsignalized with no exclusive left-turn lane",'ReferenceTables (Bike Intersct)'!K27,IF('Ped&amp;Bike (Intersections)'!C3="3-leg signalized with exclusive left-turn lane",'ReferenceTables (Bike Intersct)'!K28,IF('Ped&amp;Bike (Intersections)'!C3="3-leg signalized with no  exclusive left-turn lane",'ReferenceTables (Bike Intersct)'!K29,IF('Ped&amp;Bike (Intersections)'!C3="4-leg unsignalized with exclusive left-turn lane",'ReferenceTables (Bike Intersct)'!K30,IF('Ped&amp;Bike (Intersections)'!C3="4-leg unsignalized with no exclusive left-turn lane",'ReferenceTables (Bike Intersct)'!K31,IF('Ped&amp;Bike (Intersections)'!C3="4-leg signalized with exclusive left-turn lane",'ReferenceTables (Bike Intersct)'!K32,'ReferenceTables (Bike Intersct)'!K33)))))))</f>
        <v>0.64300000000000002</v>
      </c>
    </row>
    <row r="84" spans="2:7" ht="16.5" x14ac:dyDescent="0.45">
      <c r="B84" s="200" t="s">
        <v>1336</v>
      </c>
      <c r="C84" s="208">
        <f>C80*D84</f>
        <v>1.7593308706049999</v>
      </c>
      <c r="D84" s="300">
        <f>IF('Ped&amp;Bike (Intersections)'!C3="3-leg unsignalized with exclusive left-turn lane",'Reference Tables (Ped Intersct)'!J84,IF('Ped&amp;Bike (Intersections)'!C3="3-leg unsignalized with no exclusive left-turn lane",'Reference Tables (Ped Intersct)'!J85,IF('Ped&amp;Bike (Intersections)'!C3="3-leg signalized with exclusive left-turn lane",'Reference Tables (Ped Intersct)'!J86,IF('Ped&amp;Bike (Intersections)'!C3="3-leg signalized with no  exclusive left-turn lane",'Reference Tables (Ped Intersct)'!J87,IF('Ped&amp;Bike (Intersections)'!C3="4-leg unsignalized with exclusive left-turn lane",'Reference Tables (Ped Intersct)'!J88,IF('Ped&amp;Bike (Intersections)'!C3="4-leg unsignalized with no exclusive left-turn lane",'Reference Tables (Ped Intersct)'!J89,IF('Ped&amp;Bike (Intersections)'!C3="4-leg signalized with exclusive left-turn lane",'Reference Tables (Ped Intersct)'!J90,'Reference Tables (Ped Intersct)'!J91)))))))</f>
        <v>0.34799999999999998</v>
      </c>
      <c r="E84" s="200" t="s">
        <v>1250</v>
      </c>
      <c r="F84" s="208">
        <f>F80*G84</f>
        <v>4.7111330400562791E-2</v>
      </c>
      <c r="G84" s="300">
        <f>IF('Ped&amp;Bike (Intersections)'!C3="3-leg unsignalized with exclusive left-turn lane",'ReferenceTables (Bike Intersct)'!L26,IF('Ped&amp;Bike (Intersections)'!C3="3-leg unsignalized with no exclusive left-turn lane",'ReferenceTables (Bike Intersct)'!L27,IF('Ped&amp;Bike (Intersections)'!C3="3-leg signalized with exclusive left-turn lane",'ReferenceTables (Bike Intersct)'!L28,IF('Ped&amp;Bike (Intersections)'!C3="3-leg signalized with no  exclusive left-turn lane",'ReferenceTables (Bike Intersct)'!L29,IF('Ped&amp;Bike (Intersections)'!C3="4-leg unsignalized with exclusive left-turn lane",'ReferenceTables (Bike Intersct)'!L30,IF('Ped&amp;Bike (Intersections)'!C3="4-leg unsignalized with no exclusive left-turn lane",'ReferenceTables (Bike Intersct)'!L31,IF('Ped&amp;Bike (Intersections)'!C3="4-leg signalized with exclusive left-turn lane",'ReferenceTables (Bike Intersct)'!L32,'ReferenceTables (Bike Intersct)'!L33)))))))</f>
        <v>0.34699999999999998</v>
      </c>
    </row>
    <row r="87" spans="2:7" x14ac:dyDescent="0.35">
      <c r="B87" s="295" t="s">
        <v>646</v>
      </c>
      <c r="C87" s="295" t="s">
        <v>647</v>
      </c>
      <c r="E87" s="295" t="s">
        <v>646</v>
      </c>
      <c r="F87" s="295" t="s">
        <v>645</v>
      </c>
    </row>
    <row r="88" spans="2:7" ht="16.5" x14ac:dyDescent="0.45">
      <c r="B88" s="201" t="s">
        <v>692</v>
      </c>
      <c r="C88" s="219">
        <f>1.21*C80</f>
        <v>6.1172136592875006</v>
      </c>
      <c r="E88" s="200" t="s">
        <v>1035</v>
      </c>
      <c r="F88" s="219">
        <f>1.02*F80</f>
        <v>0.13848287322355635</v>
      </c>
    </row>
    <row r="89" spans="2:7" ht="16.5" x14ac:dyDescent="0.45">
      <c r="B89" s="200" t="s">
        <v>691</v>
      </c>
      <c r="C89" s="219">
        <f>1.21*C81</f>
        <v>0.18351640977862502</v>
      </c>
      <c r="E89" s="200" t="s">
        <v>1036</v>
      </c>
      <c r="F89" s="219">
        <f>1.02*F81</f>
        <v>6.9241436611778163E-4</v>
      </c>
    </row>
    <row r="90" spans="2:7" ht="16.5" x14ac:dyDescent="0.45">
      <c r="B90" s="200" t="s">
        <v>690</v>
      </c>
      <c r="C90" s="219">
        <f>1.21*C82</f>
        <v>1.5782411240961751</v>
      </c>
      <c r="E90" s="200" t="s">
        <v>1037</v>
      </c>
      <c r="F90" s="219">
        <f>1.02*F82</f>
        <v>6.9241436611778163E-4</v>
      </c>
    </row>
    <row r="91" spans="2:7" ht="16.5" x14ac:dyDescent="0.45">
      <c r="B91" s="200" t="s">
        <v>689</v>
      </c>
      <c r="C91" s="219">
        <f>1.21*C83</f>
        <v>2.2266657719806497</v>
      </c>
      <c r="E91" s="200" t="s">
        <v>1038</v>
      </c>
      <c r="F91" s="219">
        <f>1.02*F83</f>
        <v>8.9044487482746723E-2</v>
      </c>
    </row>
    <row r="92" spans="2:7" ht="16.5" x14ac:dyDescent="0.45">
      <c r="B92" s="200" t="s">
        <v>688</v>
      </c>
      <c r="C92" s="208">
        <f>1.21*C84</f>
        <v>2.1287903534320498</v>
      </c>
      <c r="E92" s="200" t="s">
        <v>1034</v>
      </c>
      <c r="F92" s="219">
        <f>1.02*F84</f>
        <v>4.8053557008574048E-2</v>
      </c>
    </row>
    <row r="93" spans="2:7" x14ac:dyDescent="0.35">
      <c r="C93" s="207"/>
    </row>
    <row r="110" spans="8:8" x14ac:dyDescent="0.35">
      <c r="H110" s="314">
        <f>IF('Ped&amp;Bike (Intersections)'!C3="3-leg unsignalized with exclusive left-turn lane", 'Reference Tables (Ped Intersct)'!C97,0)</f>
        <v>0</v>
      </c>
    </row>
    <row r="111" spans="8:8" x14ac:dyDescent="0.35">
      <c r="H111" s="314" t="b">
        <f>IF('Ped&amp;Bike (Intersections)'!C3="3-leg unsignalized with exclusive left-turn lane",IF('Ped&amp;Bike (Intersections)'!C10="Two-Lane Undivided",'Reference Tables (Ped Intersct)'!C97,0))</f>
        <v>0</v>
      </c>
    </row>
    <row r="112" spans="8:8" x14ac:dyDescent="0.35">
      <c r="H112" s="198" t="b">
        <f>IF('Ped&amp;Bike (Intersections)'!C3="3-leg unsignalized with exclusive left-turn lane",IF('Ped&amp;Bike (Intersections)'!C10="Two-Lane Undivided",'Reference Tables (Ped Intersct)'!C97,IF('Ped&amp;Bike (Intersections)'!C3="3-leg unsignalized with exclusive left-turn lane",IF('Ped&amp;Bike (Intersections)'!C10="Multilane Undivided",'Reference Tables (Ped Intersct)'!G97,0))))</f>
        <v>0</v>
      </c>
    </row>
    <row r="113" spans="7:8" x14ac:dyDescent="0.35">
      <c r="G113" s="198" t="s">
        <v>707</v>
      </c>
      <c r="H113" s="198" t="b">
        <f>IF('Ped&amp;Bike (Intersections)'!C3="3-leg unsignalized with exclusive left-turn lane", IF('Ped&amp;Bike (Intersections)'!C10="Two-Lane Undivided",'Reference Tables (Ped Intersct)'!C97,IF('Ped&amp;Bike (Intersections)'!C3="3-leg unsignalized with exclusive left-turn lane", IF('Ped&amp;Bike (Intersections)'!C10="Multilane Undivided",'Reference Tables (Ped Intersct)'!G97,IF('Ped&amp;Bike (Intersections)'!C3="3-leg unsignalized with exclusive left-turn lane", IF('Ped&amp;Bike (Intersections)'!C10="Multilane Divided",'Reference Tables (Ped Intersct)'!K97,0))))))</f>
        <v>0</v>
      </c>
    </row>
  </sheetData>
  <mergeCells count="1">
    <mergeCell ref="H2:K2"/>
  </mergeCells>
  <pageMargins left="0.7" right="0.7" top="0.75" bottom="0.75" header="0.51180555555555496" footer="0.51180555555555496"/>
  <pageSetup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BC137"/>
  <sheetViews>
    <sheetView topLeftCell="A46" zoomScale="130" zoomScaleNormal="130" workbookViewId="0">
      <selection activeCell="I99" sqref="I99:J99"/>
    </sheetView>
  </sheetViews>
  <sheetFormatPr defaultColWidth="9.1796875" defaultRowHeight="12.5" x14ac:dyDescent="0.25"/>
  <cols>
    <col min="1" max="7" width="13.7265625" customWidth="1"/>
    <col min="8" max="8" width="15.26953125" customWidth="1"/>
    <col min="9" max="9" width="13.7265625" customWidth="1"/>
    <col min="10" max="10" width="15.81640625" customWidth="1"/>
    <col min="11" max="13" width="18.26953125" customWidth="1"/>
    <col min="14" max="14" width="20" customWidth="1"/>
    <col min="15" max="15" width="22.453125" customWidth="1"/>
    <col min="16" max="16" width="13.7265625" customWidth="1"/>
    <col min="17" max="17" width="14.54296875" customWidth="1"/>
    <col min="18" max="18" width="17.7265625" customWidth="1"/>
    <col min="19" max="19" width="13.7265625" customWidth="1"/>
    <col min="20" max="20" width="12.7265625" customWidth="1"/>
    <col min="21" max="21" width="15.1796875" customWidth="1"/>
    <col min="22" max="29" width="12.7265625" customWidth="1"/>
    <col min="36" max="36" width="11" customWidth="1"/>
    <col min="37" max="37" width="12.453125" customWidth="1"/>
    <col min="38" max="38" width="10.453125" customWidth="1"/>
    <col min="39" max="39" width="10.7265625" customWidth="1"/>
    <col min="40" max="40" width="12.453125" customWidth="1"/>
    <col min="41" max="41" width="10.453125" customWidth="1"/>
    <col min="42" max="42" width="11.7265625" customWidth="1"/>
    <col min="43" max="43" width="10.453125" customWidth="1"/>
    <col min="46" max="46" width="10.1796875" customWidth="1"/>
  </cols>
  <sheetData>
    <row r="1" spans="1:55" x14ac:dyDescent="0.25">
      <c r="N1" s="6"/>
      <c r="Q1" s="1"/>
      <c r="W1" s="7"/>
    </row>
    <row r="2" spans="1:55" ht="13" thickBot="1" x14ac:dyDescent="0.3">
      <c r="N2" s="6"/>
      <c r="Q2" s="1"/>
      <c r="W2" s="7"/>
    </row>
    <row r="3" spans="1:55" ht="13.5" customHeight="1" x14ac:dyDescent="0.3">
      <c r="A3" s="25"/>
      <c r="B3" s="924" t="s">
        <v>451</v>
      </c>
      <c r="C3" s="924"/>
      <c r="D3" s="924"/>
      <c r="E3" s="924"/>
      <c r="F3" s="924"/>
      <c r="G3" s="924"/>
      <c r="H3" s="924"/>
      <c r="I3" s="924"/>
      <c r="J3" s="924"/>
      <c r="K3" s="924"/>
      <c r="L3" s="924"/>
      <c r="M3" s="924"/>
      <c r="N3" s="924"/>
      <c r="O3" s="924"/>
      <c r="P3" s="924"/>
      <c r="Q3" s="924"/>
      <c r="R3" s="924"/>
      <c r="S3" s="924"/>
      <c r="T3" s="924"/>
      <c r="U3" s="924"/>
      <c r="V3" s="32"/>
      <c r="W3" s="49"/>
      <c r="X3" s="49"/>
      <c r="Y3" s="5"/>
      <c r="Z3" s="5"/>
      <c r="AA3" s="5"/>
      <c r="AJ3" s="5"/>
      <c r="AT3" s="5"/>
      <c r="AU3" s="5"/>
      <c r="AV3" s="5"/>
      <c r="AW3" s="5"/>
      <c r="AX3" s="5"/>
      <c r="AY3" s="5"/>
      <c r="AZ3" s="5"/>
      <c r="BA3" s="5"/>
      <c r="BB3" s="5"/>
      <c r="BC3" s="5"/>
    </row>
    <row r="4" spans="1:55" ht="13.5" customHeight="1" thickBot="1" x14ac:dyDescent="0.35">
      <c r="A4" s="5"/>
      <c r="B4" s="925"/>
      <c r="C4" s="925"/>
      <c r="D4" s="925"/>
      <c r="E4" s="925"/>
      <c r="F4" s="925"/>
      <c r="G4" s="925"/>
      <c r="H4" s="925"/>
      <c r="I4" s="925"/>
      <c r="J4" s="925"/>
      <c r="K4" s="925"/>
      <c r="L4" s="925"/>
      <c r="M4" s="925"/>
      <c r="N4" s="925"/>
      <c r="O4" s="925"/>
      <c r="P4" s="925"/>
      <c r="Q4" s="925"/>
      <c r="R4" s="925"/>
      <c r="S4" s="925"/>
      <c r="T4" s="925"/>
      <c r="U4" s="925"/>
      <c r="V4" s="32"/>
      <c r="W4" s="49"/>
      <c r="X4" s="49"/>
      <c r="Y4" s="1"/>
      <c r="Z4" s="1"/>
      <c r="AA4" s="1"/>
      <c r="AT4" s="5"/>
      <c r="AU4" s="5"/>
      <c r="AV4" s="5"/>
      <c r="AW4" s="5"/>
      <c r="AX4" s="5"/>
      <c r="AY4" s="5"/>
      <c r="AZ4" s="5"/>
      <c r="BA4" s="5"/>
      <c r="BB4" s="5"/>
      <c r="BC4" s="5"/>
    </row>
    <row r="5" spans="1:55" ht="12.75" customHeight="1" x14ac:dyDescent="0.3">
      <c r="B5" s="981" t="s">
        <v>16</v>
      </c>
      <c r="C5" s="482"/>
      <c r="D5" s="269" t="s">
        <v>17</v>
      </c>
      <c r="E5" s="269" t="s">
        <v>18</v>
      </c>
      <c r="F5" s="269" t="s">
        <v>19</v>
      </c>
      <c r="G5" s="269" t="s">
        <v>20</v>
      </c>
      <c r="H5" s="269" t="s">
        <v>21</v>
      </c>
      <c r="I5" s="269" t="s">
        <v>22</v>
      </c>
      <c r="J5" s="270" t="s">
        <v>23</v>
      </c>
      <c r="K5" s="270" t="s">
        <v>24</v>
      </c>
      <c r="L5" s="270" t="s">
        <v>25</v>
      </c>
      <c r="M5" s="270" t="s">
        <v>26</v>
      </c>
      <c r="N5" s="270" t="s">
        <v>27</v>
      </c>
      <c r="O5" s="270" t="s">
        <v>28</v>
      </c>
      <c r="P5" s="270" t="s">
        <v>1299</v>
      </c>
      <c r="Q5" s="270" t="s">
        <v>1300</v>
      </c>
      <c r="R5" s="270" t="s">
        <v>1301</v>
      </c>
      <c r="S5" s="270" t="s">
        <v>1302</v>
      </c>
      <c r="T5" s="270" t="s">
        <v>1303</v>
      </c>
      <c r="U5" s="270" t="s">
        <v>1305</v>
      </c>
      <c r="V5" s="43"/>
      <c r="Y5" s="43"/>
      <c r="Z5" s="43"/>
      <c r="AA5" s="43"/>
      <c r="AJ5" s="5"/>
      <c r="AK5" s="5"/>
      <c r="AL5" s="5"/>
      <c r="AM5" s="1"/>
      <c r="AN5" s="5"/>
      <c r="AO5" s="1"/>
      <c r="AP5" s="1"/>
      <c r="AQ5" s="1"/>
      <c r="AT5" s="5"/>
      <c r="AU5" s="5"/>
      <c r="AV5" s="5"/>
      <c r="AW5" s="5"/>
      <c r="AX5" s="5"/>
      <c r="AY5" s="5"/>
      <c r="AZ5" s="5"/>
      <c r="BA5" s="5"/>
      <c r="BB5" s="5"/>
      <c r="BC5" s="5"/>
    </row>
    <row r="6" spans="1:55" ht="12.75" customHeight="1" x14ac:dyDescent="0.3">
      <c r="B6" s="767" t="s">
        <v>447</v>
      </c>
      <c r="C6" s="954"/>
      <c r="D6" s="639" t="s">
        <v>1042</v>
      </c>
      <c r="E6" s="898"/>
      <c r="F6" s="954"/>
      <c r="G6" s="549" t="s">
        <v>1043</v>
      </c>
      <c r="H6" s="549" t="s">
        <v>30</v>
      </c>
      <c r="I6" s="549" t="s">
        <v>117</v>
      </c>
      <c r="J6" s="927" t="s">
        <v>1044</v>
      </c>
      <c r="K6" s="946" t="s">
        <v>1309</v>
      </c>
      <c r="L6" s="940" t="s">
        <v>1296</v>
      </c>
      <c r="M6" s="940" t="s">
        <v>1297</v>
      </c>
      <c r="N6" s="549" t="s">
        <v>1298</v>
      </c>
      <c r="O6" s="938" t="s">
        <v>1310</v>
      </c>
      <c r="P6" s="673" t="s">
        <v>1311</v>
      </c>
      <c r="Q6" s="940" t="s">
        <v>1312</v>
      </c>
      <c r="R6" s="940" t="s">
        <v>1304</v>
      </c>
      <c r="S6" s="549" t="s">
        <v>1307</v>
      </c>
      <c r="T6" s="927" t="s">
        <v>1313</v>
      </c>
      <c r="U6" s="934" t="s">
        <v>1306</v>
      </c>
      <c r="Y6" s="5"/>
      <c r="Z6" s="5"/>
      <c r="AA6" s="5"/>
      <c r="AJ6" s="5"/>
      <c r="AK6" s="5"/>
      <c r="AL6" s="1"/>
      <c r="AM6" s="1"/>
      <c r="AN6" s="1"/>
      <c r="AO6" s="1"/>
      <c r="AP6" s="1"/>
      <c r="AQ6" s="1"/>
      <c r="AT6" s="5"/>
      <c r="AU6" s="5"/>
      <c r="AV6" s="5"/>
      <c r="AW6" s="5"/>
      <c r="AX6" s="5"/>
      <c r="AY6" s="5"/>
      <c r="AZ6" s="5"/>
      <c r="BA6" s="5"/>
      <c r="BB6" s="5"/>
      <c r="BC6" s="5"/>
    </row>
    <row r="7" spans="1:55" ht="12.75" customHeight="1" x14ac:dyDescent="0.3">
      <c r="B7" s="858"/>
      <c r="C7" s="651"/>
      <c r="D7" s="955"/>
      <c r="E7" s="956"/>
      <c r="F7" s="957"/>
      <c r="G7" s="549"/>
      <c r="H7" s="622"/>
      <c r="I7" s="549"/>
      <c r="J7" s="927"/>
      <c r="K7" s="946"/>
      <c r="L7" s="941"/>
      <c r="M7" s="941"/>
      <c r="N7" s="549"/>
      <c r="O7" s="938"/>
      <c r="P7" s="673"/>
      <c r="Q7" s="941"/>
      <c r="R7" s="941"/>
      <c r="S7" s="549"/>
      <c r="T7" s="927"/>
      <c r="U7" s="935"/>
      <c r="V7" s="29"/>
      <c r="W7" s="29"/>
      <c r="X7" s="29"/>
      <c r="Y7" s="1"/>
      <c r="Z7" s="5"/>
      <c r="AA7" s="1"/>
      <c r="AJ7" s="1"/>
      <c r="AK7" s="1"/>
      <c r="AL7" s="1"/>
      <c r="AM7" s="1"/>
      <c r="AN7" s="61"/>
      <c r="AO7" s="61"/>
      <c r="AP7" s="61"/>
      <c r="AQ7" s="61"/>
      <c r="AT7" s="20"/>
      <c r="AU7" s="22"/>
      <c r="AV7" s="22"/>
      <c r="AW7" s="22"/>
      <c r="AX7" s="22"/>
      <c r="AY7" s="22"/>
      <c r="AZ7" s="22"/>
      <c r="BA7" s="22"/>
      <c r="BB7" s="22"/>
      <c r="BC7" s="22"/>
    </row>
    <row r="8" spans="1:55" ht="86.25" customHeight="1" x14ac:dyDescent="0.25">
      <c r="B8" s="858"/>
      <c r="C8" s="651"/>
      <c r="D8" s="958"/>
      <c r="E8" s="859"/>
      <c r="F8" s="653"/>
      <c r="G8" s="549"/>
      <c r="H8" s="622"/>
      <c r="I8" s="926"/>
      <c r="J8" s="928"/>
      <c r="K8" s="946"/>
      <c r="L8" s="942"/>
      <c r="M8" s="942"/>
      <c r="N8" s="926"/>
      <c r="O8" s="939"/>
      <c r="P8" s="673"/>
      <c r="Q8" s="942"/>
      <c r="R8" s="942"/>
      <c r="S8" s="926"/>
      <c r="T8" s="928"/>
      <c r="U8" s="935"/>
      <c r="V8" s="27"/>
      <c r="W8" s="27"/>
      <c r="X8" s="27"/>
      <c r="Y8" s="1"/>
      <c r="Z8" s="1"/>
      <c r="AA8" s="1"/>
      <c r="AJ8" s="1"/>
      <c r="AK8" s="1"/>
      <c r="AL8" s="1"/>
      <c r="AM8" s="1"/>
      <c r="AN8" s="62"/>
      <c r="AO8" s="62"/>
      <c r="AP8" s="62"/>
      <c r="AQ8" s="62"/>
      <c r="AT8" s="20"/>
      <c r="AU8" s="22"/>
      <c r="AV8" s="22"/>
      <c r="AW8" s="22"/>
      <c r="AX8" s="22"/>
      <c r="AY8" s="22"/>
      <c r="AZ8" s="22"/>
      <c r="BA8" s="22"/>
      <c r="BB8" s="22"/>
      <c r="BC8" s="22"/>
    </row>
    <row r="9" spans="1:55" ht="12.75" customHeight="1" x14ac:dyDescent="0.3">
      <c r="A9" s="5"/>
      <c r="B9" s="858"/>
      <c r="C9" s="651"/>
      <c r="D9" s="504" t="s">
        <v>102</v>
      </c>
      <c r="E9" s="504" t="s">
        <v>124</v>
      </c>
      <c r="F9" s="504" t="s">
        <v>103</v>
      </c>
      <c r="G9" s="549"/>
      <c r="H9" s="622"/>
      <c r="I9" s="504" t="s">
        <v>118</v>
      </c>
      <c r="J9" s="932" t="s">
        <v>119</v>
      </c>
      <c r="K9" s="947"/>
      <c r="L9" s="560"/>
      <c r="M9" s="560"/>
      <c r="N9" s="504" t="s">
        <v>118</v>
      </c>
      <c r="O9" s="944" t="s">
        <v>119</v>
      </c>
      <c r="P9" s="499"/>
      <c r="Q9" s="560"/>
      <c r="R9" s="560"/>
      <c r="S9" s="504" t="s">
        <v>118</v>
      </c>
      <c r="T9" s="932" t="s">
        <v>119</v>
      </c>
      <c r="U9" s="936"/>
      <c r="V9" s="24"/>
      <c r="W9" s="24"/>
      <c r="X9" s="24"/>
      <c r="AJ9" s="21"/>
      <c r="AK9" s="1"/>
      <c r="AL9" s="38"/>
      <c r="AM9" s="1"/>
      <c r="AN9" s="60"/>
      <c r="AO9" s="60"/>
      <c r="AP9" s="63"/>
      <c r="AQ9" s="63"/>
      <c r="AT9" s="20"/>
      <c r="AU9" s="22"/>
      <c r="AV9" s="22"/>
      <c r="AW9" s="22"/>
      <c r="AX9" s="22"/>
      <c r="AY9" s="22"/>
      <c r="AZ9" s="22"/>
      <c r="BA9" s="22"/>
      <c r="BB9" s="22"/>
      <c r="BC9" s="22"/>
    </row>
    <row r="10" spans="1:55" ht="13" x14ac:dyDescent="0.3">
      <c r="A10" s="5"/>
      <c r="B10" s="858"/>
      <c r="C10" s="651"/>
      <c r="D10" s="622"/>
      <c r="E10" s="622"/>
      <c r="F10" s="622"/>
      <c r="G10" s="926"/>
      <c r="H10" s="926"/>
      <c r="I10" s="504"/>
      <c r="J10" s="932"/>
      <c r="K10" s="947"/>
      <c r="L10" s="930"/>
      <c r="M10" s="930"/>
      <c r="N10" s="504"/>
      <c r="O10" s="944"/>
      <c r="P10" s="499"/>
      <c r="Q10" s="930"/>
      <c r="R10" s="930"/>
      <c r="S10" s="504"/>
      <c r="T10" s="932"/>
      <c r="U10" s="936"/>
      <c r="V10" s="24"/>
      <c r="W10" s="24"/>
      <c r="X10" s="24"/>
      <c r="AJ10" s="21"/>
      <c r="AK10" s="1"/>
      <c r="AL10" s="38"/>
      <c r="AM10" s="1"/>
      <c r="AN10" s="60"/>
      <c r="AO10" s="60"/>
      <c r="AP10" s="63"/>
      <c r="AQ10" s="63"/>
      <c r="AT10" s="20"/>
      <c r="AU10" s="22"/>
      <c r="AV10" s="22"/>
      <c r="AW10" s="22"/>
      <c r="AX10" s="22"/>
      <c r="AY10" s="22"/>
      <c r="AZ10" s="22"/>
      <c r="BA10" s="22"/>
      <c r="BB10" s="22"/>
      <c r="BC10" s="22"/>
    </row>
    <row r="11" spans="1:55" ht="38.25" customHeight="1" thickBot="1" x14ac:dyDescent="0.3">
      <c r="A11" s="20"/>
      <c r="B11" s="858"/>
      <c r="C11" s="651"/>
      <c r="D11" s="931"/>
      <c r="E11" s="931"/>
      <c r="F11" s="931"/>
      <c r="G11" s="931"/>
      <c r="H11" s="931"/>
      <c r="I11" s="931"/>
      <c r="J11" s="933"/>
      <c r="K11" s="948"/>
      <c r="L11" s="943"/>
      <c r="M11" s="943"/>
      <c r="N11" s="949"/>
      <c r="O11" s="945"/>
      <c r="P11" s="929"/>
      <c r="Q11" s="930"/>
      <c r="R11" s="930"/>
      <c r="S11" s="931"/>
      <c r="T11" s="933"/>
      <c r="U11" s="937"/>
      <c r="V11" s="24"/>
      <c r="W11" s="24"/>
      <c r="X11" s="24"/>
      <c r="Y11" s="10"/>
      <c r="Z11" s="10"/>
      <c r="AA11" s="10"/>
      <c r="AJ11" s="1"/>
      <c r="AK11" s="1"/>
      <c r="AL11" s="1"/>
      <c r="AM11" s="1"/>
      <c r="AN11" s="60"/>
      <c r="AO11" s="60"/>
      <c r="AP11" s="60"/>
      <c r="AQ11" s="60"/>
      <c r="AT11" s="20"/>
      <c r="AU11" s="22"/>
      <c r="AV11" s="22"/>
      <c r="AW11" s="22"/>
      <c r="AX11" s="22"/>
      <c r="AY11" s="22"/>
      <c r="AZ11" s="22"/>
      <c r="BA11" s="22"/>
      <c r="BB11" s="22"/>
      <c r="BC11" s="22"/>
    </row>
    <row r="12" spans="1:55" ht="13.5" thickBot="1" x14ac:dyDescent="0.35">
      <c r="A12" s="20"/>
      <c r="B12" s="513" t="s">
        <v>104</v>
      </c>
      <c r="C12" s="513"/>
      <c r="D12" s="513"/>
      <c r="E12" s="513"/>
      <c r="F12" s="513"/>
      <c r="G12" s="513"/>
      <c r="H12" s="513"/>
      <c r="I12" s="513"/>
      <c r="J12" s="513"/>
      <c r="K12" s="513"/>
      <c r="L12" s="513"/>
      <c r="M12" s="513"/>
      <c r="N12" s="513"/>
      <c r="O12" s="513"/>
      <c r="P12" s="513"/>
      <c r="Q12" s="513"/>
      <c r="R12" s="513"/>
      <c r="S12" s="513"/>
      <c r="T12" s="513"/>
      <c r="U12" s="513"/>
      <c r="V12" s="24"/>
      <c r="W12" s="24"/>
      <c r="X12" s="24"/>
      <c r="Y12" s="10"/>
      <c r="Z12" s="10"/>
      <c r="AA12" s="10"/>
      <c r="AJ12" s="1"/>
      <c r="AK12" s="1"/>
      <c r="AL12" s="1"/>
      <c r="AM12" s="1"/>
      <c r="AN12" s="60"/>
      <c r="AO12" s="60"/>
      <c r="AP12" s="60"/>
      <c r="AQ12" s="60"/>
      <c r="AT12" s="20"/>
      <c r="AU12" s="22"/>
      <c r="AV12" s="22"/>
      <c r="AW12" s="22"/>
      <c r="AX12" s="22"/>
      <c r="AY12" s="22"/>
      <c r="AZ12" s="22"/>
      <c r="BA12" s="22"/>
      <c r="BB12" s="22"/>
      <c r="BC12" s="22"/>
    </row>
    <row r="13" spans="1:55" ht="13" x14ac:dyDescent="0.3">
      <c r="A13" s="20"/>
      <c r="B13" s="950" t="s">
        <v>448</v>
      </c>
      <c r="C13" s="950"/>
      <c r="D13" s="950"/>
      <c r="E13" s="950"/>
      <c r="F13" s="950"/>
      <c r="G13" s="950"/>
      <c r="H13" s="950"/>
      <c r="I13" s="950"/>
      <c r="J13" s="950"/>
      <c r="K13" s="950"/>
      <c r="L13" s="950"/>
      <c r="M13" s="950"/>
      <c r="N13" s="950"/>
      <c r="R13" s="24"/>
      <c r="S13" s="24"/>
      <c r="T13" s="24"/>
      <c r="U13" s="24"/>
      <c r="V13" s="24"/>
      <c r="W13" s="24"/>
      <c r="X13" s="24"/>
      <c r="Y13" s="10"/>
      <c r="Z13" s="10"/>
      <c r="AA13" s="10"/>
      <c r="AJ13" s="1"/>
      <c r="AK13" s="1"/>
      <c r="AL13" s="1"/>
      <c r="AM13" s="1"/>
      <c r="AN13" s="60"/>
      <c r="AO13" s="60"/>
      <c r="AP13" s="60"/>
      <c r="AQ13" s="60"/>
      <c r="AT13" s="20"/>
      <c r="AU13" s="22"/>
      <c r="AV13" s="22"/>
      <c r="AW13" s="22"/>
      <c r="AX13" s="22"/>
      <c r="AY13" s="22"/>
      <c r="AZ13" s="22"/>
      <c r="BA13" s="22"/>
      <c r="BB13" s="22"/>
      <c r="BC13" s="22"/>
    </row>
    <row r="14" spans="1:55" x14ac:dyDescent="0.25">
      <c r="A14" s="20"/>
      <c r="B14" s="610" t="s">
        <v>560</v>
      </c>
      <c r="C14" s="522"/>
      <c r="D14" s="395">
        <f ca="1">IFERROR(INDIRECT(B14 &amp; "!" &amp; "$N$61"),0)</f>
        <v>4.1282727050235071</v>
      </c>
      <c r="E14" s="395">
        <f ca="1">IFERROR(INDIRECT(B14 &amp; "!" &amp; "$N$62"),0)</f>
        <v>1.1957371009422817</v>
      </c>
      <c r="F14" s="395">
        <f ca="1">IFERROR(INDIRECT(B14 &amp; "!" &amp; "$N$64"),0)</f>
        <v>2.9325356040812252</v>
      </c>
      <c r="G14" s="396">
        <v>0</v>
      </c>
      <c r="H14" s="395">
        <f ca="1">IFERROR(INDIRECT(B14 &amp; "!" &amp; "$E$61"),0)</f>
        <v>0.84</v>
      </c>
      <c r="I14" s="391">
        <f ca="1">1/(1+H14*D14)</f>
        <v>0.22382635726297903</v>
      </c>
      <c r="J14" s="394">
        <f ca="1">+I14*+D14+((1-I14)*G14)</f>
        <v>0.92401624135359639</v>
      </c>
      <c r="K14" s="344"/>
      <c r="L14" s="330"/>
      <c r="M14" s="330"/>
      <c r="N14" s="330"/>
      <c r="O14" s="345"/>
      <c r="P14" s="342"/>
      <c r="Q14" s="330"/>
      <c r="R14" s="330"/>
      <c r="S14" s="330"/>
      <c r="T14" s="370"/>
      <c r="U14" s="373"/>
      <c r="V14" s="24"/>
      <c r="W14" s="24"/>
      <c r="X14" s="24"/>
      <c r="Y14" s="10"/>
      <c r="Z14" s="10"/>
      <c r="AA14" s="10"/>
      <c r="AJ14" s="39"/>
      <c r="AK14" s="26"/>
      <c r="AL14" s="38"/>
      <c r="AM14" s="1"/>
      <c r="AN14" s="60"/>
      <c r="AO14" s="60"/>
      <c r="AP14" s="63"/>
      <c r="AQ14" s="63"/>
      <c r="AT14" s="58"/>
    </row>
    <row r="15" spans="1:55" x14ac:dyDescent="0.25">
      <c r="A15" s="20"/>
      <c r="B15" s="610" t="s">
        <v>561</v>
      </c>
      <c r="C15" s="522"/>
      <c r="D15" s="3">
        <f ca="1">IFERROR(INDIRECT(B15 &amp; "!" &amp; "$N$47"),0)</f>
        <v>0</v>
      </c>
      <c r="E15" s="3">
        <f t="shared" ref="E15:E21" ca="1" si="0">IFERROR(INDIRECT(B15 &amp; "!" &amp; "$N$48"),0)</f>
        <v>0</v>
      </c>
      <c r="F15" s="3">
        <f t="shared" ref="F15:F21" ca="1" si="1">IFERROR(INDIRECT(B15 &amp; "!" &amp; "$N$50"),0)</f>
        <v>0</v>
      </c>
      <c r="G15" s="169">
        <v>0</v>
      </c>
      <c r="H15" s="3">
        <f t="shared" ref="H15:H21" ca="1" si="2">IFERROR(INDIRECT(B15 &amp; "!" &amp; "$E$47"),0)</f>
        <v>0</v>
      </c>
      <c r="I15" s="68">
        <f ca="1">1/(1+H15*D15)</f>
        <v>1</v>
      </c>
      <c r="J15" s="41">
        <f ca="1">+I15*+D15+((1-I15)*G15)</f>
        <v>0</v>
      </c>
      <c r="K15" s="346"/>
      <c r="L15" s="324"/>
      <c r="M15" s="324"/>
      <c r="N15" s="329"/>
      <c r="O15" s="347"/>
      <c r="P15" s="343"/>
      <c r="Q15" s="329"/>
      <c r="R15" s="329"/>
      <c r="S15" s="329"/>
      <c r="T15" s="368"/>
      <c r="U15" s="377"/>
      <c r="V15" s="923" t="s">
        <v>1322</v>
      </c>
      <c r="W15" s="923"/>
      <c r="X15" s="923"/>
      <c r="Y15" s="923"/>
      <c r="Z15" s="10"/>
      <c r="AA15" s="10"/>
      <c r="AJ15" s="26"/>
      <c r="AK15" s="26"/>
      <c r="AL15" s="1"/>
      <c r="AM15" s="1"/>
      <c r="AN15" s="60"/>
      <c r="AO15" s="60"/>
      <c r="AP15" s="60"/>
      <c r="AQ15" s="60"/>
    </row>
    <row r="16" spans="1:55" x14ac:dyDescent="0.25">
      <c r="A16" s="20"/>
      <c r="B16" s="610" t="s">
        <v>562</v>
      </c>
      <c r="C16" s="522"/>
      <c r="D16" s="3">
        <f t="shared" ref="D16:D21" ca="1" si="3">IFERROR(INDIRECT(B16 &amp; "!" &amp; "$N$47"),0)</f>
        <v>0</v>
      </c>
      <c r="E16" s="3">
        <f t="shared" ca="1" si="0"/>
        <v>0</v>
      </c>
      <c r="F16" s="3">
        <f t="shared" ca="1" si="1"/>
        <v>0</v>
      </c>
      <c r="G16" s="170">
        <v>0</v>
      </c>
      <c r="H16" s="3">
        <f t="shared" ca="1" si="2"/>
        <v>0</v>
      </c>
      <c r="I16" s="68">
        <f t="shared" ref="I16:I32" ca="1" si="4">1/(1+H16*D16)</f>
        <v>1</v>
      </c>
      <c r="J16" s="41">
        <f t="shared" ref="J16:J32" ca="1" si="5">+I16*+D16+((1-I16)*G16)</f>
        <v>0</v>
      </c>
      <c r="K16" s="346"/>
      <c r="L16" s="324"/>
      <c r="M16" s="324"/>
      <c r="N16" s="329"/>
      <c r="O16" s="347"/>
      <c r="P16" s="343"/>
      <c r="Q16" s="329"/>
      <c r="R16" s="329"/>
      <c r="S16" s="329"/>
      <c r="T16" s="368"/>
      <c r="U16" s="377"/>
      <c r="V16" s="923"/>
      <c r="W16" s="923"/>
      <c r="X16" s="923"/>
      <c r="Y16" s="923"/>
      <c r="Z16" s="10"/>
      <c r="AA16" s="10"/>
      <c r="AJ16" s="26"/>
      <c r="AK16" s="26"/>
      <c r="AL16" s="38"/>
      <c r="AM16" s="22"/>
      <c r="AN16" s="22"/>
      <c r="AO16" s="22"/>
      <c r="AP16" s="22"/>
      <c r="AQ16" s="22"/>
    </row>
    <row r="17" spans="1:50" x14ac:dyDescent="0.25">
      <c r="A17" s="20"/>
      <c r="B17" s="610" t="s">
        <v>563</v>
      </c>
      <c r="C17" s="522"/>
      <c r="D17" s="3">
        <f t="shared" ca="1" si="3"/>
        <v>0</v>
      </c>
      <c r="E17" s="3">
        <f t="shared" ca="1" si="0"/>
        <v>0</v>
      </c>
      <c r="F17" s="3">
        <f t="shared" ca="1" si="1"/>
        <v>0</v>
      </c>
      <c r="G17" s="171">
        <v>0</v>
      </c>
      <c r="H17" s="3">
        <f t="shared" ca="1" si="2"/>
        <v>0</v>
      </c>
      <c r="I17" s="68">
        <f t="shared" ca="1" si="4"/>
        <v>1</v>
      </c>
      <c r="J17" s="41">
        <f t="shared" ca="1" si="5"/>
        <v>0</v>
      </c>
      <c r="K17" s="346"/>
      <c r="L17" s="324"/>
      <c r="M17" s="324"/>
      <c r="N17" s="329"/>
      <c r="O17" s="347"/>
      <c r="P17" s="343"/>
      <c r="Q17" s="329"/>
      <c r="R17" s="329"/>
      <c r="S17" s="329"/>
      <c r="T17" s="368"/>
      <c r="U17" s="377"/>
      <c r="V17" s="923"/>
      <c r="W17" s="923"/>
      <c r="X17" s="923"/>
      <c r="Y17" s="923"/>
      <c r="Z17" s="10"/>
      <c r="AA17" s="10"/>
      <c r="AJ17" s="57"/>
      <c r="AK17" s="57"/>
      <c r="AL17" s="17"/>
      <c r="AM17" s="17"/>
      <c r="AN17" s="17"/>
      <c r="AO17" s="17"/>
      <c r="AP17" s="17"/>
      <c r="AQ17" s="17"/>
    </row>
    <row r="18" spans="1:50" x14ac:dyDescent="0.25">
      <c r="A18" s="20"/>
      <c r="B18" s="610" t="s">
        <v>564</v>
      </c>
      <c r="C18" s="522"/>
      <c r="D18" s="3">
        <f t="shared" ca="1" si="3"/>
        <v>0</v>
      </c>
      <c r="E18" s="3">
        <f t="shared" ca="1" si="0"/>
        <v>0</v>
      </c>
      <c r="F18" s="3">
        <f t="shared" ca="1" si="1"/>
        <v>0</v>
      </c>
      <c r="G18" s="171">
        <v>0</v>
      </c>
      <c r="H18" s="3">
        <f t="shared" ca="1" si="2"/>
        <v>0</v>
      </c>
      <c r="I18" s="68">
        <f t="shared" ref="I18:I21" ca="1" si="6">1/(1+H18*D18)</f>
        <v>1</v>
      </c>
      <c r="J18" s="41">
        <f t="shared" ref="J18:J21" ca="1" si="7">+I18*+D18+((1-I18)*G18)</f>
        <v>0</v>
      </c>
      <c r="K18" s="346"/>
      <c r="L18" s="324"/>
      <c r="M18" s="324"/>
      <c r="N18" s="329"/>
      <c r="O18" s="347"/>
      <c r="P18" s="343"/>
      <c r="Q18" s="329"/>
      <c r="R18" s="329"/>
      <c r="S18" s="329"/>
      <c r="T18" s="368"/>
      <c r="U18" s="377"/>
      <c r="V18" s="923"/>
      <c r="W18" s="923"/>
      <c r="X18" s="923"/>
      <c r="Y18" s="923"/>
      <c r="Z18" s="10"/>
      <c r="AA18" s="10"/>
      <c r="AJ18" s="57"/>
      <c r="AK18" s="57"/>
      <c r="AL18" s="17"/>
      <c r="AM18" s="17"/>
      <c r="AN18" s="17"/>
      <c r="AO18" s="17"/>
      <c r="AP18" s="17"/>
      <c r="AQ18" s="17"/>
    </row>
    <row r="19" spans="1:50" x14ac:dyDescent="0.25">
      <c r="A19" s="20"/>
      <c r="B19" s="610" t="s">
        <v>565</v>
      </c>
      <c r="C19" s="522"/>
      <c r="D19" s="3">
        <f t="shared" ca="1" si="3"/>
        <v>0</v>
      </c>
      <c r="E19" s="3">
        <f t="shared" ca="1" si="0"/>
        <v>0</v>
      </c>
      <c r="F19" s="3">
        <f t="shared" ca="1" si="1"/>
        <v>0</v>
      </c>
      <c r="G19" s="171">
        <v>0</v>
      </c>
      <c r="H19" s="3">
        <f t="shared" ca="1" si="2"/>
        <v>0</v>
      </c>
      <c r="I19" s="68">
        <f t="shared" ca="1" si="6"/>
        <v>1</v>
      </c>
      <c r="J19" s="41">
        <f t="shared" ca="1" si="7"/>
        <v>0</v>
      </c>
      <c r="K19" s="346"/>
      <c r="L19" s="324"/>
      <c r="M19" s="324"/>
      <c r="N19" s="329"/>
      <c r="O19" s="347"/>
      <c r="P19" s="343"/>
      <c r="Q19" s="329"/>
      <c r="R19" s="329"/>
      <c r="S19" s="329"/>
      <c r="T19" s="368"/>
      <c r="U19" s="377"/>
      <c r="V19" s="923"/>
      <c r="W19" s="923"/>
      <c r="X19" s="923"/>
      <c r="Y19" s="923"/>
      <c r="Z19" s="10"/>
      <c r="AA19" s="10"/>
      <c r="AJ19" s="57"/>
      <c r="AK19" s="57"/>
      <c r="AL19" s="17"/>
      <c r="AM19" s="17"/>
      <c r="AN19" s="17"/>
      <c r="AO19" s="17"/>
      <c r="AP19" s="17"/>
      <c r="AQ19" s="17"/>
    </row>
    <row r="20" spans="1:50" x14ac:dyDescent="0.25">
      <c r="A20" s="20"/>
      <c r="B20" s="610" t="s">
        <v>566</v>
      </c>
      <c r="C20" s="522"/>
      <c r="D20" s="3">
        <f t="shared" ca="1" si="3"/>
        <v>0</v>
      </c>
      <c r="E20" s="3">
        <f t="shared" ca="1" si="0"/>
        <v>0</v>
      </c>
      <c r="F20" s="3">
        <f t="shared" ca="1" si="1"/>
        <v>0</v>
      </c>
      <c r="G20" s="171">
        <v>0</v>
      </c>
      <c r="H20" s="3">
        <f t="shared" ca="1" si="2"/>
        <v>0</v>
      </c>
      <c r="I20" s="68">
        <f t="shared" ca="1" si="6"/>
        <v>1</v>
      </c>
      <c r="J20" s="41">
        <f t="shared" ca="1" si="7"/>
        <v>0</v>
      </c>
      <c r="K20" s="346"/>
      <c r="L20" s="324"/>
      <c r="M20" s="324"/>
      <c r="N20" s="329"/>
      <c r="O20" s="347"/>
      <c r="P20" s="343"/>
      <c r="Q20" s="329"/>
      <c r="R20" s="329"/>
      <c r="S20" s="329"/>
      <c r="T20" s="368"/>
      <c r="U20" s="377"/>
      <c r="V20" s="923"/>
      <c r="W20" s="923"/>
      <c r="X20" s="923"/>
      <c r="Y20" s="923"/>
      <c r="Z20" s="10"/>
      <c r="AA20" s="10"/>
      <c r="AJ20" s="57"/>
      <c r="AK20" s="57"/>
      <c r="AL20" s="17"/>
      <c r="AM20" s="17"/>
      <c r="AN20" s="17"/>
      <c r="AO20" s="17"/>
      <c r="AP20" s="17"/>
      <c r="AQ20" s="17"/>
    </row>
    <row r="21" spans="1:50" x14ac:dyDescent="0.25">
      <c r="A21" s="20"/>
      <c r="B21" s="610" t="s">
        <v>567</v>
      </c>
      <c r="C21" s="522"/>
      <c r="D21" s="3">
        <f t="shared" ca="1" si="3"/>
        <v>0</v>
      </c>
      <c r="E21" s="3">
        <f t="shared" ca="1" si="0"/>
        <v>0</v>
      </c>
      <c r="F21" s="3">
        <f t="shared" ca="1" si="1"/>
        <v>0</v>
      </c>
      <c r="G21" s="171">
        <v>0</v>
      </c>
      <c r="H21" s="3">
        <f t="shared" ca="1" si="2"/>
        <v>0</v>
      </c>
      <c r="I21" s="68">
        <f t="shared" ca="1" si="6"/>
        <v>1</v>
      </c>
      <c r="J21" s="41">
        <f t="shared" ca="1" si="7"/>
        <v>0</v>
      </c>
      <c r="K21" s="346"/>
      <c r="L21" s="324"/>
      <c r="M21" s="324"/>
      <c r="N21" s="329"/>
      <c r="O21" s="347"/>
      <c r="P21" s="343"/>
      <c r="Q21" s="329"/>
      <c r="R21" s="329"/>
      <c r="S21" s="329"/>
      <c r="T21" s="368"/>
      <c r="U21" s="377"/>
      <c r="V21" s="923"/>
      <c r="W21" s="923"/>
      <c r="X21" s="923"/>
      <c r="Y21" s="923"/>
      <c r="Z21" s="10"/>
      <c r="AA21" s="10"/>
      <c r="AJ21" s="57"/>
      <c r="AK21" s="57"/>
      <c r="AL21" s="17"/>
      <c r="AM21" s="17"/>
      <c r="AN21" s="17"/>
      <c r="AO21" s="17"/>
      <c r="AP21" s="17"/>
      <c r="AQ21" s="17"/>
    </row>
    <row r="22" spans="1:50" ht="13" x14ac:dyDescent="0.3">
      <c r="A22" s="20"/>
      <c r="B22" s="951" t="s">
        <v>449</v>
      </c>
      <c r="C22" s="951"/>
      <c r="D22" s="951"/>
      <c r="E22" s="951"/>
      <c r="F22" s="951"/>
      <c r="G22" s="951"/>
      <c r="H22" s="951"/>
      <c r="I22" s="951"/>
      <c r="J22" s="951"/>
      <c r="K22" s="951"/>
      <c r="L22" s="951"/>
      <c r="M22" s="951"/>
      <c r="N22" s="951"/>
      <c r="X22" s="24"/>
      <c r="Y22" s="10"/>
      <c r="Z22" s="10"/>
      <c r="AA22" s="10"/>
      <c r="AJ22" s="57"/>
      <c r="AK22" s="57"/>
      <c r="AL22" s="17"/>
      <c r="AM22" s="17"/>
      <c r="AN22" s="17"/>
      <c r="AO22" s="17"/>
      <c r="AP22" s="17"/>
      <c r="AQ22" s="17"/>
    </row>
    <row r="23" spans="1:50" x14ac:dyDescent="0.25">
      <c r="A23" s="20"/>
      <c r="B23" s="610" t="s">
        <v>560</v>
      </c>
      <c r="C23" s="522"/>
      <c r="D23" s="395">
        <f ca="1">IFERROR(INDIRECT(B23 &amp; "!" &amp; "$N$93"),0)</f>
        <v>1.0789118958498316</v>
      </c>
      <c r="E23" s="395">
        <f ca="1">IFERROR(INDIRECT(B23 &amp; "!" &amp; "$N$94"),0)</f>
        <v>0.1951482876088578</v>
      </c>
      <c r="F23" s="395">
        <f ca="1">IFERROR(INDIRECT(B23 &amp; "!" &amp; "$N$96"),0)</f>
        <v>0.88376360824097377</v>
      </c>
      <c r="G23" s="392">
        <v>0</v>
      </c>
      <c r="H23" s="395">
        <f ca="1">IFERROR(INDIRECT(B23 &amp; "!" &amp; "$E$93"),0)</f>
        <v>0.81</v>
      </c>
      <c r="I23" s="391">
        <f ca="1">1/(1+H23*D23)</f>
        <v>0.53364109891534484</v>
      </c>
      <c r="J23" s="394">
        <f ca="1">+I23*+D23+((1-I23)*G23)</f>
        <v>0.57575172973414224</v>
      </c>
      <c r="K23" s="346"/>
      <c r="L23" s="324"/>
      <c r="M23" s="324"/>
      <c r="N23" s="329"/>
      <c r="O23" s="345"/>
      <c r="P23" s="342"/>
      <c r="Q23" s="330"/>
      <c r="R23" s="330"/>
      <c r="S23" s="330"/>
      <c r="T23" s="370"/>
      <c r="U23" s="373"/>
      <c r="X23" s="24"/>
      <c r="Y23" s="10"/>
      <c r="Z23" s="10"/>
      <c r="AA23" s="10"/>
      <c r="AJ23" s="57"/>
      <c r="AK23" s="57"/>
      <c r="AL23" s="17"/>
      <c r="AM23" s="17"/>
      <c r="AN23" s="17"/>
      <c r="AO23" s="17"/>
      <c r="AP23" s="17"/>
      <c r="AQ23" s="17"/>
    </row>
    <row r="24" spans="1:50" x14ac:dyDescent="0.25">
      <c r="A24" s="20"/>
      <c r="B24" s="610" t="s">
        <v>561</v>
      </c>
      <c r="C24" s="522"/>
      <c r="D24" s="3">
        <f t="shared" ref="D24:D30" ca="1" si="8">IFERROR(INDIRECT(B15 &amp; "!" &amp; "$N$79"),0)</f>
        <v>0</v>
      </c>
      <c r="E24" s="3">
        <f t="shared" ref="E24:E30" ca="1" si="9">IFERROR(INDIRECT(B24 &amp; "!" &amp; "$N$80"),0)</f>
        <v>0</v>
      </c>
      <c r="F24" s="3">
        <f t="shared" ref="F24:F30" ca="1" si="10">IFERROR(INDIRECT(B24 &amp; "!" &amp; "$N$82"),0)</f>
        <v>0</v>
      </c>
      <c r="G24" s="172">
        <v>0</v>
      </c>
      <c r="H24" s="3">
        <f t="shared" ref="H24:H30" ca="1" si="11">IFERROR(INDIRECT(B24 &amp; "!" &amp; "$E$79"),0)</f>
        <v>0</v>
      </c>
      <c r="I24" s="68">
        <f t="shared" ref="I24:I30" ca="1" si="12">1/(1+H24*D24)</f>
        <v>1</v>
      </c>
      <c r="J24" s="41">
        <f t="shared" ref="J24:J30" ca="1" si="13">+I24*+D24+((1-I24)*G24)</f>
        <v>0</v>
      </c>
      <c r="K24" s="346"/>
      <c r="L24" s="324"/>
      <c r="M24" s="324"/>
      <c r="N24" s="329"/>
      <c r="O24" s="347"/>
      <c r="P24" s="343"/>
      <c r="Q24" s="329"/>
      <c r="R24" s="329"/>
      <c r="S24" s="329"/>
      <c r="T24" s="368"/>
      <c r="U24" s="377"/>
      <c r="V24" s="923" t="s">
        <v>1322</v>
      </c>
      <c r="W24" s="923"/>
      <c r="X24" s="923"/>
      <c r="Y24" s="923"/>
      <c r="Z24" s="10"/>
      <c r="AA24" s="10"/>
      <c r="AJ24" s="57"/>
      <c r="AK24" s="57"/>
      <c r="AL24" s="17"/>
      <c r="AM24" s="17"/>
      <c r="AN24" s="17"/>
      <c r="AO24" s="17"/>
      <c r="AP24" s="17"/>
      <c r="AQ24" s="17"/>
    </row>
    <row r="25" spans="1:50" x14ac:dyDescent="0.25">
      <c r="A25" s="20"/>
      <c r="B25" s="610" t="s">
        <v>562</v>
      </c>
      <c r="C25" s="522"/>
      <c r="D25" s="3">
        <f t="shared" ca="1" si="8"/>
        <v>0</v>
      </c>
      <c r="E25" s="3">
        <f t="shared" ca="1" si="9"/>
        <v>0</v>
      </c>
      <c r="F25" s="3">
        <f t="shared" ca="1" si="10"/>
        <v>0</v>
      </c>
      <c r="G25" s="170">
        <v>0</v>
      </c>
      <c r="H25" s="3">
        <f t="shared" ca="1" si="11"/>
        <v>0</v>
      </c>
      <c r="I25" s="68">
        <f t="shared" ca="1" si="12"/>
        <v>1</v>
      </c>
      <c r="J25" s="41">
        <f t="shared" ca="1" si="13"/>
        <v>0</v>
      </c>
      <c r="K25" s="346"/>
      <c r="L25" s="324"/>
      <c r="M25" s="324"/>
      <c r="N25" s="329"/>
      <c r="O25" s="347"/>
      <c r="P25" s="343"/>
      <c r="Q25" s="329"/>
      <c r="R25" s="329"/>
      <c r="S25" s="329"/>
      <c r="T25" s="368"/>
      <c r="U25" s="377"/>
      <c r="V25" s="923"/>
      <c r="W25" s="923"/>
      <c r="X25" s="923"/>
      <c r="Y25" s="923"/>
      <c r="Z25" s="10"/>
      <c r="AA25" s="10"/>
      <c r="AJ25" s="57"/>
      <c r="AK25" s="57"/>
      <c r="AL25" s="17"/>
      <c r="AM25" s="17"/>
      <c r="AN25" s="17"/>
      <c r="AO25" s="17"/>
      <c r="AP25" s="17"/>
      <c r="AQ25" s="17"/>
    </row>
    <row r="26" spans="1:50" x14ac:dyDescent="0.25">
      <c r="A26" s="20"/>
      <c r="B26" s="610" t="s">
        <v>563</v>
      </c>
      <c r="C26" s="522"/>
      <c r="D26" s="3">
        <f t="shared" ca="1" si="8"/>
        <v>0</v>
      </c>
      <c r="E26" s="3">
        <f t="shared" ca="1" si="9"/>
        <v>0</v>
      </c>
      <c r="F26" s="3">
        <f t="shared" ca="1" si="10"/>
        <v>0</v>
      </c>
      <c r="G26" s="170">
        <v>0</v>
      </c>
      <c r="H26" s="3">
        <f t="shared" ca="1" si="11"/>
        <v>0</v>
      </c>
      <c r="I26" s="68">
        <f t="shared" ca="1" si="12"/>
        <v>1</v>
      </c>
      <c r="J26" s="41">
        <f t="shared" ca="1" si="13"/>
        <v>0</v>
      </c>
      <c r="K26" s="346"/>
      <c r="L26" s="324"/>
      <c r="M26" s="324"/>
      <c r="N26" s="329"/>
      <c r="O26" s="347"/>
      <c r="P26" s="343"/>
      <c r="Q26" s="329"/>
      <c r="R26" s="329"/>
      <c r="S26" s="329"/>
      <c r="T26" s="368"/>
      <c r="U26" s="377"/>
      <c r="V26" s="923"/>
      <c r="W26" s="923"/>
      <c r="X26" s="923"/>
      <c r="Y26" s="923"/>
      <c r="Z26" s="10"/>
      <c r="AA26" s="10"/>
      <c r="AJ26" s="57"/>
      <c r="AK26" s="57"/>
      <c r="AL26" s="17"/>
      <c r="AM26" s="17"/>
      <c r="AN26" s="17"/>
      <c r="AO26" s="17"/>
      <c r="AP26" s="17"/>
      <c r="AQ26" s="17"/>
    </row>
    <row r="27" spans="1:50" x14ac:dyDescent="0.25">
      <c r="A27" s="20"/>
      <c r="B27" s="610" t="s">
        <v>564</v>
      </c>
      <c r="C27" s="522"/>
      <c r="D27" s="3">
        <f t="shared" ca="1" si="8"/>
        <v>0</v>
      </c>
      <c r="E27" s="3">
        <f t="shared" ca="1" si="9"/>
        <v>0</v>
      </c>
      <c r="F27" s="3">
        <f t="shared" ca="1" si="10"/>
        <v>0</v>
      </c>
      <c r="G27" s="170">
        <v>0</v>
      </c>
      <c r="H27" s="3">
        <f t="shared" ca="1" si="11"/>
        <v>0</v>
      </c>
      <c r="I27" s="68">
        <f t="shared" ca="1" si="12"/>
        <v>1</v>
      </c>
      <c r="J27" s="41">
        <f t="shared" ca="1" si="13"/>
        <v>0</v>
      </c>
      <c r="K27" s="346"/>
      <c r="L27" s="324"/>
      <c r="M27" s="324"/>
      <c r="N27" s="329"/>
      <c r="O27" s="347"/>
      <c r="P27" s="343"/>
      <c r="Q27" s="329"/>
      <c r="R27" s="329"/>
      <c r="S27" s="329"/>
      <c r="T27" s="368"/>
      <c r="U27" s="377"/>
      <c r="V27" s="923"/>
      <c r="W27" s="923"/>
      <c r="X27" s="923"/>
      <c r="Y27" s="923"/>
      <c r="Z27" s="10"/>
      <c r="AA27" s="10"/>
      <c r="AJ27" s="57"/>
      <c r="AK27" s="57"/>
      <c r="AL27" s="17"/>
      <c r="AM27" s="17"/>
      <c r="AN27" s="17"/>
      <c r="AO27" s="17"/>
      <c r="AP27" s="17"/>
      <c r="AQ27" s="17"/>
    </row>
    <row r="28" spans="1:50" x14ac:dyDescent="0.25">
      <c r="A28" s="20"/>
      <c r="B28" s="610" t="s">
        <v>565</v>
      </c>
      <c r="C28" s="522"/>
      <c r="D28" s="3">
        <f t="shared" ca="1" si="8"/>
        <v>0</v>
      </c>
      <c r="E28" s="3">
        <f t="shared" ca="1" si="9"/>
        <v>0</v>
      </c>
      <c r="F28" s="3">
        <f t="shared" ca="1" si="10"/>
        <v>0</v>
      </c>
      <c r="G28" s="170">
        <v>0</v>
      </c>
      <c r="H28" s="3">
        <f t="shared" ca="1" si="11"/>
        <v>0</v>
      </c>
      <c r="I28" s="68">
        <f t="shared" ca="1" si="12"/>
        <v>1</v>
      </c>
      <c r="J28" s="41">
        <f t="shared" ca="1" si="13"/>
        <v>0</v>
      </c>
      <c r="K28" s="346"/>
      <c r="L28" s="324"/>
      <c r="M28" s="324"/>
      <c r="N28" s="329"/>
      <c r="O28" s="347"/>
      <c r="P28" s="343"/>
      <c r="Q28" s="329"/>
      <c r="R28" s="329"/>
      <c r="S28" s="329"/>
      <c r="T28" s="368"/>
      <c r="U28" s="377"/>
      <c r="V28" s="923"/>
      <c r="W28" s="923"/>
      <c r="X28" s="923"/>
      <c r="Y28" s="923"/>
      <c r="Z28" s="10"/>
      <c r="AA28" s="10"/>
      <c r="AJ28" s="57"/>
      <c r="AK28" s="57"/>
      <c r="AL28" s="17"/>
      <c r="AM28" s="17"/>
      <c r="AN28" s="17"/>
      <c r="AO28" s="17"/>
      <c r="AP28" s="17"/>
      <c r="AQ28" s="17"/>
    </row>
    <row r="29" spans="1:50" x14ac:dyDescent="0.25">
      <c r="A29" s="20"/>
      <c r="B29" s="610" t="s">
        <v>566</v>
      </c>
      <c r="C29" s="522"/>
      <c r="D29" s="3">
        <f t="shared" ca="1" si="8"/>
        <v>0</v>
      </c>
      <c r="E29" s="3">
        <f t="shared" ca="1" si="9"/>
        <v>0</v>
      </c>
      <c r="F29" s="3">
        <f t="shared" ca="1" si="10"/>
        <v>0</v>
      </c>
      <c r="G29" s="170">
        <v>0</v>
      </c>
      <c r="H29" s="3">
        <f t="shared" ca="1" si="11"/>
        <v>0</v>
      </c>
      <c r="I29" s="68">
        <f t="shared" ca="1" si="12"/>
        <v>1</v>
      </c>
      <c r="J29" s="41">
        <f t="shared" ca="1" si="13"/>
        <v>0</v>
      </c>
      <c r="K29" s="346"/>
      <c r="L29" s="324"/>
      <c r="M29" s="324"/>
      <c r="N29" s="329"/>
      <c r="O29" s="347"/>
      <c r="P29" s="343"/>
      <c r="Q29" s="329"/>
      <c r="R29" s="329"/>
      <c r="S29" s="329"/>
      <c r="T29" s="368"/>
      <c r="U29" s="377"/>
      <c r="V29" s="923"/>
      <c r="W29" s="923"/>
      <c r="X29" s="923"/>
      <c r="Y29" s="923"/>
      <c r="Z29" s="10"/>
      <c r="AA29" s="10"/>
      <c r="AJ29" s="57"/>
      <c r="AK29" s="57"/>
      <c r="AL29" s="17"/>
      <c r="AM29" s="17"/>
      <c r="AN29" s="17"/>
      <c r="AO29" s="17"/>
      <c r="AP29" s="17"/>
      <c r="AQ29" s="17"/>
    </row>
    <row r="30" spans="1:50" x14ac:dyDescent="0.25">
      <c r="A30" s="20"/>
      <c r="B30" s="610" t="s">
        <v>567</v>
      </c>
      <c r="C30" s="522"/>
      <c r="D30" s="3">
        <f t="shared" ca="1" si="8"/>
        <v>0</v>
      </c>
      <c r="E30" s="3">
        <f t="shared" ca="1" si="9"/>
        <v>0</v>
      </c>
      <c r="F30" s="3">
        <f t="shared" ca="1" si="10"/>
        <v>0</v>
      </c>
      <c r="G30" s="169">
        <v>0</v>
      </c>
      <c r="H30" s="3">
        <f t="shared" ca="1" si="11"/>
        <v>0</v>
      </c>
      <c r="I30" s="68">
        <f t="shared" ca="1" si="12"/>
        <v>1</v>
      </c>
      <c r="J30" s="41">
        <f t="shared" ca="1" si="13"/>
        <v>0</v>
      </c>
      <c r="K30" s="346"/>
      <c r="L30" s="324"/>
      <c r="M30" s="324"/>
      <c r="N30" s="329"/>
      <c r="O30" s="347"/>
      <c r="P30" s="343"/>
      <c r="Q30" s="329"/>
      <c r="R30" s="329"/>
      <c r="S30" s="329"/>
      <c r="T30" s="368"/>
      <c r="U30" s="377"/>
      <c r="V30" s="923"/>
      <c r="W30" s="923"/>
      <c r="X30" s="923"/>
      <c r="Y30" s="923"/>
      <c r="Z30" s="10"/>
      <c r="AA30" s="10"/>
      <c r="AJ30" s="57"/>
      <c r="AK30" s="57"/>
      <c r="AL30" s="17"/>
      <c r="AM30" s="17"/>
      <c r="AN30" s="17"/>
      <c r="AO30" s="17"/>
      <c r="AP30" s="17"/>
      <c r="AQ30" s="17"/>
    </row>
    <row r="31" spans="1:50" ht="13" x14ac:dyDescent="0.3">
      <c r="A31" s="20"/>
      <c r="B31" s="951" t="s">
        <v>450</v>
      </c>
      <c r="C31" s="951"/>
      <c r="D31" s="951"/>
      <c r="E31" s="951"/>
      <c r="F31" s="951"/>
      <c r="G31" s="951"/>
      <c r="H31" s="951"/>
      <c r="I31" s="951"/>
      <c r="J31" s="951"/>
      <c r="K31" s="951"/>
      <c r="L31" s="951"/>
      <c r="M31" s="951"/>
      <c r="N31" s="951"/>
      <c r="O31" s="51"/>
      <c r="P31" s="51"/>
      <c r="Q31" s="24"/>
      <c r="R31" s="24"/>
      <c r="S31" s="24"/>
      <c r="T31" s="24"/>
      <c r="U31" s="24"/>
      <c r="V31" s="24"/>
      <c r="W31" s="24"/>
      <c r="X31" s="24"/>
      <c r="Y31" s="10"/>
      <c r="Z31" s="10"/>
      <c r="AA31" s="10"/>
      <c r="AJ31" s="57"/>
      <c r="AK31" s="57"/>
      <c r="AL31" s="17"/>
      <c r="AM31" s="17"/>
      <c r="AN31" s="17"/>
      <c r="AO31" s="17"/>
      <c r="AP31" s="17"/>
      <c r="AQ31" s="17"/>
    </row>
    <row r="32" spans="1:50" ht="12.75" customHeight="1" x14ac:dyDescent="0.25">
      <c r="A32" s="20"/>
      <c r="B32" s="610" t="s">
        <v>560</v>
      </c>
      <c r="C32" s="522"/>
      <c r="D32" s="395">
        <f ca="1">IFERROR(INDIRECT(B32 &amp; "!" &amp; "$M$140"),0)</f>
        <v>1.4053333333333331</v>
      </c>
      <c r="E32" s="395">
        <f ca="1">IFERROR(INDIRECT(B32 &amp; "!" &amp; "$M$141"),0)</f>
        <v>0.45392266666666659</v>
      </c>
      <c r="F32" s="395">
        <f ca="1">IFERROR(INDIRECT(B32 &amp; "!" &amp; "$M$142"),0)</f>
        <v>0.95141066666666663</v>
      </c>
      <c r="G32" s="392">
        <v>0</v>
      </c>
      <c r="H32" s="395">
        <f ca="1">IFERROR(INDIRECT(B32 &amp; "!" &amp; "$M$130"),0)</f>
        <v>0.81</v>
      </c>
      <c r="I32" s="391">
        <f t="shared" ca="1" si="4"/>
        <v>0.46765685210819713</v>
      </c>
      <c r="J32" s="394">
        <f t="shared" ca="1" si="5"/>
        <v>0.65721376282938626</v>
      </c>
      <c r="K32" s="346"/>
      <c r="L32" s="324"/>
      <c r="M32" s="324"/>
      <c r="N32" s="325"/>
      <c r="O32" s="345"/>
      <c r="P32" s="342"/>
      <c r="Q32" s="330"/>
      <c r="R32" s="330"/>
      <c r="S32" s="330"/>
      <c r="T32" s="370"/>
      <c r="U32" s="373"/>
      <c r="V32" s="24"/>
      <c r="W32" s="24"/>
      <c r="X32" s="397"/>
      <c r="Y32" s="397"/>
      <c r="Z32" s="397"/>
      <c r="AA32" s="10"/>
      <c r="AJ32" s="17"/>
      <c r="AK32" s="17"/>
      <c r="AL32" s="17"/>
      <c r="AM32" s="17"/>
      <c r="AN32" s="17"/>
      <c r="AO32" s="17"/>
      <c r="AP32" s="17"/>
      <c r="AQ32" s="17"/>
      <c r="AT32" s="20"/>
      <c r="AX32" s="22"/>
    </row>
    <row r="33" spans="1:50" ht="12.75" customHeight="1" x14ac:dyDescent="0.25">
      <c r="A33" s="20"/>
      <c r="B33" s="610" t="s">
        <v>561</v>
      </c>
      <c r="C33" s="522"/>
      <c r="D33" s="3">
        <f t="shared" ref="D33:D39" ca="1" si="14">IFERROR(INDIRECT(B33 &amp; "!" &amp; "$M$126"),0)</f>
        <v>0</v>
      </c>
      <c r="E33" s="3">
        <f t="shared" ref="E33:E39" ca="1" si="15">IFERROR(INDIRECT(B33 &amp; "!" &amp; "$M$127"),0)</f>
        <v>0</v>
      </c>
      <c r="F33" s="3">
        <f t="shared" ref="F33:F39" ca="1" si="16">IFERROR(INDIRECT(B33 &amp; "!" &amp; "$M$128"),0)</f>
        <v>0</v>
      </c>
      <c r="G33" s="172">
        <v>0</v>
      </c>
      <c r="H33" s="3">
        <f t="shared" ref="H33:H39" ca="1" si="17">IFERROR(INDIRECT(B33 &amp; "!" &amp; "$M$116"),0)</f>
        <v>0</v>
      </c>
      <c r="I33" s="68">
        <f t="shared" ref="I33:I38" ca="1" si="18">1/(1+H33*D33)</f>
        <v>1</v>
      </c>
      <c r="J33" s="41">
        <f t="shared" ref="J33:J39" ca="1" si="19">+I33*+D33+((1-I33)*G33)</f>
        <v>0</v>
      </c>
      <c r="K33" s="346"/>
      <c r="L33" s="324"/>
      <c r="M33" s="324"/>
      <c r="N33" s="326"/>
      <c r="O33" s="347"/>
      <c r="P33" s="343"/>
      <c r="Q33" s="329"/>
      <c r="R33" s="329"/>
      <c r="S33" s="329"/>
      <c r="T33" s="368"/>
      <c r="U33" s="377"/>
      <c r="V33" s="923" t="s">
        <v>1322</v>
      </c>
      <c r="W33" s="923"/>
      <c r="X33" s="923"/>
      <c r="Y33" s="923"/>
      <c r="Z33" s="397"/>
      <c r="AA33" s="10"/>
      <c r="AJ33" s="17"/>
      <c r="AK33" s="57"/>
      <c r="AL33" s="17"/>
      <c r="AM33" s="17"/>
      <c r="AN33" s="17"/>
      <c r="AO33" s="17"/>
      <c r="AP33" s="17"/>
      <c r="AQ33" s="17"/>
    </row>
    <row r="34" spans="1:50" ht="12.75" customHeight="1" x14ac:dyDescent="0.3">
      <c r="A34" s="20"/>
      <c r="B34" s="610" t="s">
        <v>562</v>
      </c>
      <c r="C34" s="522"/>
      <c r="D34" s="3">
        <f t="shared" ca="1" si="14"/>
        <v>0</v>
      </c>
      <c r="E34" s="3">
        <f t="shared" ca="1" si="15"/>
        <v>0</v>
      </c>
      <c r="F34" s="3">
        <f t="shared" ca="1" si="16"/>
        <v>0</v>
      </c>
      <c r="G34" s="170">
        <v>0</v>
      </c>
      <c r="H34" s="3">
        <f t="shared" ca="1" si="17"/>
        <v>0</v>
      </c>
      <c r="I34" s="68">
        <f t="shared" ca="1" si="18"/>
        <v>1</v>
      </c>
      <c r="J34" s="41">
        <f t="shared" ca="1" si="19"/>
        <v>0</v>
      </c>
      <c r="K34" s="349"/>
      <c r="L34" s="327"/>
      <c r="M34" s="327"/>
      <c r="N34" s="328"/>
      <c r="O34" s="347"/>
      <c r="P34" s="343"/>
      <c r="Q34" s="329"/>
      <c r="R34" s="329"/>
      <c r="S34" s="329"/>
      <c r="T34" s="368"/>
      <c r="U34" s="377"/>
      <c r="V34" s="923"/>
      <c r="W34" s="923"/>
      <c r="X34" s="923"/>
      <c r="Y34" s="923"/>
      <c r="Z34" s="397"/>
      <c r="AA34" s="10"/>
      <c r="AJ34" s="17"/>
      <c r="AK34" s="17"/>
      <c r="AL34" s="17"/>
      <c r="AM34" s="17"/>
      <c r="AN34" s="17"/>
      <c r="AO34" s="17"/>
      <c r="AP34" s="17"/>
      <c r="AQ34" s="17"/>
      <c r="AT34" s="20"/>
      <c r="AX34" s="22"/>
    </row>
    <row r="35" spans="1:50" ht="12.75" customHeight="1" x14ac:dyDescent="0.3">
      <c r="A35" s="20"/>
      <c r="B35" s="610" t="s">
        <v>563</v>
      </c>
      <c r="C35" s="522"/>
      <c r="D35" s="3">
        <f t="shared" ca="1" si="14"/>
        <v>0</v>
      </c>
      <c r="E35" s="3">
        <f t="shared" ca="1" si="15"/>
        <v>0</v>
      </c>
      <c r="F35" s="3">
        <f t="shared" ca="1" si="16"/>
        <v>0</v>
      </c>
      <c r="G35" s="173">
        <v>0</v>
      </c>
      <c r="H35" s="3">
        <f t="shared" ca="1" si="17"/>
        <v>0</v>
      </c>
      <c r="I35" s="68">
        <f t="shared" ca="1" si="18"/>
        <v>1</v>
      </c>
      <c r="J35" s="41">
        <f t="shared" ca="1" si="19"/>
        <v>0</v>
      </c>
      <c r="K35" s="349"/>
      <c r="L35" s="327"/>
      <c r="M35" s="327"/>
      <c r="N35" s="328"/>
      <c r="O35" s="347"/>
      <c r="P35" s="343"/>
      <c r="Q35" s="329"/>
      <c r="R35" s="329"/>
      <c r="S35" s="329"/>
      <c r="T35" s="368"/>
      <c r="U35" s="377"/>
      <c r="V35" s="923"/>
      <c r="W35" s="923"/>
      <c r="X35" s="923"/>
      <c r="Y35" s="923"/>
      <c r="Z35" s="397"/>
      <c r="AA35" s="10"/>
      <c r="AJ35" s="17"/>
      <c r="AK35" s="17"/>
      <c r="AL35" s="17"/>
      <c r="AM35" s="17"/>
      <c r="AN35" s="17"/>
      <c r="AO35" s="17"/>
      <c r="AP35" s="17"/>
      <c r="AQ35" s="17"/>
      <c r="AT35" s="20"/>
      <c r="AX35" s="22"/>
    </row>
    <row r="36" spans="1:50" ht="12.75" customHeight="1" x14ac:dyDescent="0.3">
      <c r="A36" s="20"/>
      <c r="B36" s="610" t="s">
        <v>564</v>
      </c>
      <c r="C36" s="522"/>
      <c r="D36" s="3">
        <f t="shared" ca="1" si="14"/>
        <v>0</v>
      </c>
      <c r="E36" s="3">
        <f t="shared" ca="1" si="15"/>
        <v>0</v>
      </c>
      <c r="F36" s="3">
        <f ca="1">IFERROR(INDIRECT(B36 &amp; "!" &amp; "$M$128"),0)</f>
        <v>0</v>
      </c>
      <c r="G36" s="173">
        <v>0</v>
      </c>
      <c r="H36" s="3">
        <f t="shared" ca="1" si="17"/>
        <v>0</v>
      </c>
      <c r="I36" s="68">
        <f t="shared" ca="1" si="18"/>
        <v>1</v>
      </c>
      <c r="J36" s="41">
        <f t="shared" ca="1" si="19"/>
        <v>0</v>
      </c>
      <c r="K36" s="349"/>
      <c r="L36" s="327"/>
      <c r="M36" s="327"/>
      <c r="N36" s="328"/>
      <c r="O36" s="347"/>
      <c r="P36" s="343"/>
      <c r="Q36" s="329"/>
      <c r="R36" s="329"/>
      <c r="S36" s="329"/>
      <c r="T36" s="368"/>
      <c r="U36" s="377"/>
      <c r="V36" s="923"/>
      <c r="W36" s="923"/>
      <c r="X36" s="923"/>
      <c r="Y36" s="923"/>
      <c r="Z36" s="397"/>
      <c r="AA36" s="10"/>
      <c r="AJ36" s="17"/>
      <c r="AK36" s="17"/>
      <c r="AL36" s="17"/>
      <c r="AM36" s="17"/>
      <c r="AN36" s="17"/>
      <c r="AO36" s="17"/>
      <c r="AP36" s="17"/>
      <c r="AQ36" s="17"/>
      <c r="AT36" s="20"/>
      <c r="AX36" s="22"/>
    </row>
    <row r="37" spans="1:50" ht="12.75" customHeight="1" x14ac:dyDescent="0.3">
      <c r="A37" s="20"/>
      <c r="B37" s="610" t="s">
        <v>565</v>
      </c>
      <c r="C37" s="522"/>
      <c r="D37" s="3">
        <f t="shared" ca="1" si="14"/>
        <v>0</v>
      </c>
      <c r="E37" s="3">
        <f t="shared" ca="1" si="15"/>
        <v>0</v>
      </c>
      <c r="F37" s="3">
        <f t="shared" ca="1" si="16"/>
        <v>0</v>
      </c>
      <c r="G37" s="173">
        <v>0</v>
      </c>
      <c r="H37" s="3">
        <f t="shared" ca="1" si="17"/>
        <v>0</v>
      </c>
      <c r="I37" s="68">
        <f t="shared" ca="1" si="18"/>
        <v>1</v>
      </c>
      <c r="J37" s="41">
        <f t="shared" ca="1" si="19"/>
        <v>0</v>
      </c>
      <c r="K37" s="349"/>
      <c r="L37" s="327"/>
      <c r="M37" s="327"/>
      <c r="N37" s="328"/>
      <c r="O37" s="347"/>
      <c r="P37" s="343"/>
      <c r="Q37" s="329"/>
      <c r="R37" s="329"/>
      <c r="S37" s="329"/>
      <c r="T37" s="368"/>
      <c r="U37" s="377"/>
      <c r="V37" s="923"/>
      <c r="W37" s="923"/>
      <c r="X37" s="923"/>
      <c r="Y37" s="923"/>
      <c r="Z37" s="397"/>
      <c r="AA37" s="10"/>
      <c r="AJ37" s="17"/>
      <c r="AK37" s="17"/>
      <c r="AL37" s="17"/>
      <c r="AM37" s="17"/>
      <c r="AN37" s="17"/>
      <c r="AO37" s="17"/>
      <c r="AP37" s="17"/>
      <c r="AQ37" s="17"/>
      <c r="AT37" s="20"/>
      <c r="AX37" s="22"/>
    </row>
    <row r="38" spans="1:50" ht="12.75" customHeight="1" x14ac:dyDescent="0.3">
      <c r="A38" s="20"/>
      <c r="B38" s="610" t="s">
        <v>566</v>
      </c>
      <c r="C38" s="522"/>
      <c r="D38" s="3">
        <f t="shared" ca="1" si="14"/>
        <v>0</v>
      </c>
      <c r="E38" s="3">
        <f t="shared" ca="1" si="15"/>
        <v>0</v>
      </c>
      <c r="F38" s="3">
        <f t="shared" ca="1" si="16"/>
        <v>0</v>
      </c>
      <c r="G38" s="173">
        <v>0</v>
      </c>
      <c r="H38" s="3">
        <f t="shared" ca="1" si="17"/>
        <v>0</v>
      </c>
      <c r="I38" s="68">
        <f t="shared" ca="1" si="18"/>
        <v>1</v>
      </c>
      <c r="J38" s="41">
        <f t="shared" ca="1" si="19"/>
        <v>0</v>
      </c>
      <c r="K38" s="349"/>
      <c r="L38" s="327"/>
      <c r="M38" s="327"/>
      <c r="N38" s="328"/>
      <c r="O38" s="347"/>
      <c r="P38" s="343"/>
      <c r="Q38" s="329"/>
      <c r="R38" s="329"/>
      <c r="S38" s="329"/>
      <c r="T38" s="368"/>
      <c r="U38" s="377"/>
      <c r="V38" s="923"/>
      <c r="W38" s="923"/>
      <c r="X38" s="923"/>
      <c r="Y38" s="923"/>
      <c r="Z38" s="397"/>
      <c r="AA38" s="10"/>
      <c r="AJ38" s="17"/>
      <c r="AK38" s="17"/>
      <c r="AL38" s="17"/>
      <c r="AM38" s="17"/>
      <c r="AN38" s="17"/>
      <c r="AO38" s="17"/>
      <c r="AP38" s="17"/>
      <c r="AQ38" s="17"/>
      <c r="AT38" s="20"/>
      <c r="AX38" s="22"/>
    </row>
    <row r="39" spans="1:50" ht="13.5" customHeight="1" thickBot="1" x14ac:dyDescent="0.3">
      <c r="B39" s="610" t="s">
        <v>567</v>
      </c>
      <c r="C39" s="522"/>
      <c r="D39" s="3">
        <f t="shared" ca="1" si="14"/>
        <v>0</v>
      </c>
      <c r="E39" s="3">
        <f t="shared" ca="1" si="15"/>
        <v>0</v>
      </c>
      <c r="F39" s="3">
        <f t="shared" ca="1" si="16"/>
        <v>0</v>
      </c>
      <c r="G39" s="174">
        <v>0</v>
      </c>
      <c r="H39" s="3">
        <f t="shared" ca="1" si="17"/>
        <v>0</v>
      </c>
      <c r="I39" s="68">
        <f ca="1">1/(1+H39*D39)</f>
        <v>1</v>
      </c>
      <c r="J39" s="41">
        <f t="shared" ca="1" si="19"/>
        <v>0</v>
      </c>
      <c r="K39" s="350"/>
      <c r="L39" s="331"/>
      <c r="M39" s="331"/>
      <c r="N39" s="332"/>
      <c r="O39" s="351"/>
      <c r="P39" s="348"/>
      <c r="Q39" s="341"/>
      <c r="R39" s="341"/>
      <c r="S39" s="341"/>
      <c r="T39" s="379"/>
      <c r="U39" s="380"/>
      <c r="V39" s="923"/>
      <c r="W39" s="923"/>
      <c r="X39" s="923"/>
      <c r="Y39" s="923"/>
      <c r="Z39" s="397"/>
      <c r="AA39" s="10"/>
    </row>
    <row r="40" spans="1:50" ht="18.5" thickBot="1" x14ac:dyDescent="0.3">
      <c r="B40" s="952" t="s">
        <v>532</v>
      </c>
      <c r="C40" s="953"/>
      <c r="D40" s="165">
        <f ca="1">SUM(D14:D21)+SUM(D23:D30)+SUM(D32:D39)</f>
        <v>6.6125179342066716</v>
      </c>
      <c r="E40" s="165">
        <f ca="1">SUM(E14:E21)+SUM(E23:E30)+SUM(E32:E39)</f>
        <v>1.8448080552178059</v>
      </c>
      <c r="F40" s="165">
        <f ca="1">SUM(F14:F21)+SUM(F23:F30)+SUM(F32:F39)</f>
        <v>4.7677098789888657</v>
      </c>
      <c r="G40" s="165">
        <f>SUM(G14:G21)+SUM(G23:G30)+SUM(G32:G39)</f>
        <v>0</v>
      </c>
      <c r="H40" s="155"/>
      <c r="I40" s="155"/>
      <c r="J40" s="282">
        <f ca="1">SUM(J14:J21)+SUM(J23:J30)+SUM(J32:J39)</f>
        <v>2.1569817339171249</v>
      </c>
      <c r="K40" s="383">
        <f>Segment_1!F236</f>
        <v>1.4347974076619467</v>
      </c>
      <c r="L40" s="384"/>
      <c r="M40" s="385">
        <f>IF(Segment_1!$N$182=0,"--",Segment_1!F182)</f>
        <v>0.94799999999999995</v>
      </c>
      <c r="N40" s="385">
        <f>IF($M$40="--","--",1/(1+M40*K40))</f>
        <v>0.4236950719086448</v>
      </c>
      <c r="O40" s="400">
        <f>IF($M$40="--",K40,N40*K40+(1-N40)*L40)</f>
        <v>0.60791659081366567</v>
      </c>
      <c r="P40" s="401">
        <f>Segment_1!F237</f>
        <v>4.8270793122225833E-2</v>
      </c>
      <c r="Q40" s="384">
        <v>0</v>
      </c>
      <c r="R40" s="402">
        <f>IF(Segment_1!$N$201=0,"--",Segment_1!F201)</f>
        <v>2.347</v>
      </c>
      <c r="S40" s="385">
        <f>IF($R$40="--","--",1/(1+R40*P40))</f>
        <v>0.89823730243034006</v>
      </c>
      <c r="T40" s="403">
        <f>IF($R$40="--",P40,S40*P40+(1-S40)*Q40)</f>
        <v>4.3358627000281147E-2</v>
      </c>
      <c r="U40" s="404">
        <f ca="1">J40+O40+T40</f>
        <v>2.8082569517310714</v>
      </c>
      <c r="V40" s="399" t="s">
        <v>1323</v>
      </c>
      <c r="W40" s="49"/>
      <c r="X40" s="49"/>
      <c r="Y40" s="10"/>
      <c r="Z40" s="10"/>
      <c r="AA40" s="10"/>
    </row>
    <row r="41" spans="1:50" ht="13.5" thickBot="1" x14ac:dyDescent="0.35">
      <c r="B41" s="513" t="s">
        <v>105</v>
      </c>
      <c r="C41" s="513"/>
      <c r="D41" s="513"/>
      <c r="E41" s="513"/>
      <c r="F41" s="513"/>
      <c r="G41" s="513"/>
      <c r="H41" s="513"/>
      <c r="I41" s="513"/>
      <c r="J41" s="513"/>
      <c r="K41" s="513"/>
      <c r="L41" s="513"/>
      <c r="M41" s="513"/>
      <c r="N41" s="513"/>
      <c r="O41" s="513"/>
      <c r="P41" s="513"/>
      <c r="Q41" s="513"/>
      <c r="R41" s="513"/>
      <c r="S41" s="513"/>
      <c r="T41" s="513"/>
      <c r="U41" s="513"/>
      <c r="V41" s="32"/>
      <c r="W41" s="49"/>
      <c r="X41" s="49"/>
      <c r="Y41" s="1"/>
      <c r="Z41" s="1"/>
      <c r="AA41" s="1"/>
      <c r="AB41" s="1"/>
      <c r="AC41" s="1"/>
      <c r="AD41" s="1"/>
      <c r="AE41" s="1"/>
      <c r="AF41" s="1"/>
      <c r="AG41" s="1"/>
      <c r="AJ41" s="5"/>
      <c r="AK41" s="5"/>
      <c r="AL41" s="5"/>
      <c r="AM41" s="5"/>
      <c r="AN41" s="5"/>
      <c r="AO41" s="1"/>
      <c r="AP41" s="1"/>
      <c r="AQ41" s="1"/>
    </row>
    <row r="42" spans="1:50" ht="13" x14ac:dyDescent="0.3">
      <c r="B42" s="994" t="s">
        <v>452</v>
      </c>
      <c r="C42" s="994"/>
      <c r="D42" s="994"/>
      <c r="E42" s="994"/>
      <c r="F42" s="994"/>
      <c r="G42" s="994"/>
      <c r="H42" s="994"/>
      <c r="I42" s="994"/>
      <c r="J42" s="994"/>
      <c r="K42" s="994"/>
      <c r="L42" s="994"/>
      <c r="M42" s="994"/>
      <c r="N42" s="994"/>
      <c r="O42" s="994"/>
      <c r="P42" s="994"/>
      <c r="Q42" s="994"/>
      <c r="R42" s="994"/>
      <c r="S42" s="994"/>
      <c r="T42" s="994"/>
      <c r="U42" s="994"/>
      <c r="V42" s="32"/>
      <c r="W42" s="49"/>
      <c r="X42" s="49"/>
      <c r="Y42" s="1"/>
      <c r="Z42" s="1"/>
      <c r="AA42" s="1"/>
      <c r="AB42" s="1"/>
      <c r="AC42" s="1"/>
      <c r="AD42" s="1"/>
      <c r="AE42" s="1"/>
      <c r="AF42" s="1"/>
      <c r="AG42" s="1"/>
      <c r="AJ42" s="5"/>
      <c r="AK42" s="5"/>
      <c r="AL42" s="5"/>
      <c r="AM42" s="5"/>
      <c r="AN42" s="5"/>
      <c r="AO42" s="1"/>
      <c r="AP42" s="1"/>
      <c r="AQ42" s="1"/>
    </row>
    <row r="43" spans="1:50" ht="13" x14ac:dyDescent="0.3">
      <c r="A43" s="28"/>
      <c r="B43" s="610" t="s">
        <v>568</v>
      </c>
      <c r="C43" s="522"/>
      <c r="D43" s="395">
        <f ca="1">IFERROR(INDIRECT(B43 &amp; "!" &amp; "$N$53"),0)</f>
        <v>2.6736443947213613</v>
      </c>
      <c r="E43" s="395">
        <f ca="1">IFERROR(INDIRECT(B43 &amp; "!" &amp; "$N$54"),0)</f>
        <v>0.8115267159585341</v>
      </c>
      <c r="F43" s="393">
        <f ca="1">IFERROR(INDIRECT(B43 &amp; "!" &amp; "$N$56"),0)</f>
        <v>1.8621176787628271</v>
      </c>
      <c r="G43" s="392">
        <v>0</v>
      </c>
      <c r="H43" s="393">
        <f ca="1">IFERROR(INDIRECT(B43 &amp; "!" &amp; "$F$53"),0)</f>
        <v>0.39</v>
      </c>
      <c r="I43" s="391">
        <f ca="1">1/(1+H43*D43)</f>
        <v>0.48954303907004765</v>
      </c>
      <c r="J43" s="394">
        <f ca="1">+I43*+D43+((1-I43)*G43)</f>
        <v>1.3088640023844933</v>
      </c>
      <c r="K43" s="355"/>
      <c r="L43" s="333"/>
      <c r="M43" s="333"/>
      <c r="N43" s="330"/>
      <c r="O43" s="345"/>
      <c r="P43" s="342"/>
      <c r="Q43" s="330"/>
      <c r="R43" s="330"/>
      <c r="S43" s="330"/>
      <c r="T43" s="370"/>
      <c r="U43" s="373"/>
      <c r="Z43" s="43"/>
      <c r="AA43" s="43"/>
      <c r="AB43" s="43"/>
      <c r="AC43" s="43"/>
      <c r="AD43" s="43"/>
      <c r="AE43" s="43"/>
      <c r="AF43" s="43"/>
      <c r="AG43" s="43"/>
      <c r="AJ43" s="5"/>
      <c r="AK43" s="5"/>
      <c r="AL43" s="5"/>
      <c r="AM43" s="1"/>
      <c r="AN43" s="5"/>
      <c r="AO43" s="1"/>
      <c r="AP43" s="1"/>
      <c r="AQ43" s="1"/>
    </row>
    <row r="44" spans="1:50" ht="13" x14ac:dyDescent="0.3">
      <c r="A44" s="67"/>
      <c r="B44" s="965" t="s">
        <v>569</v>
      </c>
      <c r="C44" s="522"/>
      <c r="D44" s="3">
        <f t="shared" ref="D44:D50" ca="1" si="20">IFERROR(INDIRECT(B44 &amp; "!" &amp; "$L$162"),0)</f>
        <v>0</v>
      </c>
      <c r="E44" s="3">
        <f t="shared" ref="E44:E50" ca="1" si="21">IFERROR(INDIRECT(B44 &amp; "!" &amp; "$F$162"),0)</f>
        <v>0</v>
      </c>
      <c r="F44" s="69">
        <f t="shared" ref="F44:F50" ca="1" si="22">IFERROR(INDIRECT(B44 &amp; "!" &amp; "$I$162"),0)</f>
        <v>0</v>
      </c>
      <c r="G44" s="170">
        <v>0</v>
      </c>
      <c r="H44" s="69">
        <f t="shared" ref="H44:H50" ca="1" si="23">IFERROR(INDIRECT(B44 &amp; "!" &amp; "$F$51"),0)</f>
        <v>0</v>
      </c>
      <c r="I44" s="68">
        <f t="shared" ref="I44:I50" ca="1" si="24">1/(1+H44*D44)</f>
        <v>1</v>
      </c>
      <c r="J44" s="41">
        <f t="shared" ref="J44:J50" ca="1" si="25">+I44*+D44+((1-I44)*G44)</f>
        <v>0</v>
      </c>
      <c r="K44" s="356"/>
      <c r="L44" s="334"/>
      <c r="M44" s="334"/>
      <c r="N44" s="335"/>
      <c r="O44" s="357"/>
      <c r="P44" s="352"/>
      <c r="Q44" s="335"/>
      <c r="R44" s="335"/>
      <c r="S44" s="335"/>
      <c r="T44" s="371"/>
      <c r="U44" s="374"/>
      <c r="V44" s="923" t="s">
        <v>1321</v>
      </c>
      <c r="W44" s="923"/>
      <c r="X44" s="923"/>
      <c r="Y44" s="923"/>
      <c r="Z44" s="32"/>
      <c r="AA44" s="32"/>
      <c r="AB44" s="32"/>
      <c r="AC44" s="32"/>
      <c r="AD44" s="32"/>
      <c r="AE44" s="32"/>
      <c r="AF44" s="32"/>
      <c r="AG44" s="32"/>
      <c r="AJ44" s="5"/>
      <c r="AK44" s="5"/>
      <c r="AL44" s="1"/>
      <c r="AM44" s="1"/>
      <c r="AN44" s="1"/>
      <c r="AO44" s="1"/>
      <c r="AP44" s="1"/>
      <c r="AQ44" s="1"/>
    </row>
    <row r="45" spans="1:50" ht="13" x14ac:dyDescent="0.25">
      <c r="A45" s="49"/>
      <c r="B45" s="610" t="s">
        <v>570</v>
      </c>
      <c r="C45" s="522"/>
      <c r="D45" s="3">
        <f t="shared" ca="1" si="20"/>
        <v>0</v>
      </c>
      <c r="E45" s="3">
        <f t="shared" ca="1" si="21"/>
        <v>0</v>
      </c>
      <c r="F45" s="69">
        <f t="shared" ca="1" si="22"/>
        <v>0</v>
      </c>
      <c r="G45" s="170">
        <v>0</v>
      </c>
      <c r="H45" s="69">
        <f t="shared" ca="1" si="23"/>
        <v>0</v>
      </c>
      <c r="I45" s="68">
        <f t="shared" ca="1" si="24"/>
        <v>1</v>
      </c>
      <c r="J45" s="41">
        <f t="shared" ca="1" si="25"/>
        <v>0</v>
      </c>
      <c r="K45" s="356"/>
      <c r="L45" s="334"/>
      <c r="M45" s="334"/>
      <c r="N45" s="336"/>
      <c r="O45" s="358"/>
      <c r="P45" s="353"/>
      <c r="Q45" s="336"/>
      <c r="R45" s="336"/>
      <c r="S45" s="336"/>
      <c r="T45" s="372"/>
      <c r="U45" s="375"/>
      <c r="V45" s="923"/>
      <c r="W45" s="923"/>
      <c r="X45" s="923"/>
      <c r="Y45" s="923"/>
      <c r="Z45" s="32"/>
      <c r="AA45" s="32"/>
      <c r="AB45" s="32"/>
      <c r="AC45" s="32"/>
      <c r="AD45" s="32"/>
      <c r="AE45" s="32"/>
      <c r="AF45" s="32"/>
      <c r="AG45" s="32"/>
      <c r="AJ45" s="1"/>
      <c r="AK45" s="1"/>
      <c r="AL45" s="1"/>
      <c r="AM45" s="1"/>
      <c r="AN45" s="61"/>
      <c r="AO45" s="61"/>
      <c r="AP45" s="61"/>
      <c r="AQ45" s="61"/>
    </row>
    <row r="46" spans="1:50" ht="13" x14ac:dyDescent="0.25">
      <c r="A46" s="49"/>
      <c r="B46" s="965" t="s">
        <v>571</v>
      </c>
      <c r="C46" s="522"/>
      <c r="D46" s="3">
        <f t="shared" ca="1" si="20"/>
        <v>0</v>
      </c>
      <c r="E46" s="3">
        <f t="shared" ca="1" si="21"/>
        <v>0</v>
      </c>
      <c r="F46" s="69">
        <f t="shared" ca="1" si="22"/>
        <v>0</v>
      </c>
      <c r="G46" s="170">
        <v>0</v>
      </c>
      <c r="H46" s="69">
        <f t="shared" ca="1" si="23"/>
        <v>0</v>
      </c>
      <c r="I46" s="68">
        <f t="shared" ca="1" si="24"/>
        <v>1</v>
      </c>
      <c r="J46" s="41">
        <f t="shared" ca="1" si="25"/>
        <v>0</v>
      </c>
      <c r="K46" s="356"/>
      <c r="L46" s="334"/>
      <c r="M46" s="334"/>
      <c r="N46" s="336"/>
      <c r="O46" s="358"/>
      <c r="P46" s="353"/>
      <c r="Q46" s="336"/>
      <c r="R46" s="336"/>
      <c r="S46" s="336"/>
      <c r="T46" s="372"/>
      <c r="U46" s="375"/>
      <c r="V46" s="923"/>
      <c r="W46" s="923"/>
      <c r="X46" s="923"/>
      <c r="Y46" s="923"/>
      <c r="Z46" s="32"/>
      <c r="AA46" s="32"/>
      <c r="AB46" s="32"/>
      <c r="AC46" s="32"/>
      <c r="AD46" s="32"/>
      <c r="AE46" s="32"/>
      <c r="AF46" s="32"/>
      <c r="AG46" s="32"/>
      <c r="AJ46" s="1"/>
      <c r="AK46" s="1"/>
      <c r="AL46" s="1"/>
      <c r="AM46" s="1"/>
      <c r="AN46" s="61"/>
      <c r="AO46" s="61"/>
      <c r="AP46" s="61"/>
      <c r="AQ46" s="61"/>
    </row>
    <row r="47" spans="1:50" ht="13" x14ac:dyDescent="0.25">
      <c r="A47" s="49"/>
      <c r="B47" s="610" t="s">
        <v>572</v>
      </c>
      <c r="C47" s="522"/>
      <c r="D47" s="3">
        <f t="shared" ca="1" si="20"/>
        <v>0</v>
      </c>
      <c r="E47" s="3">
        <f t="shared" ca="1" si="21"/>
        <v>0</v>
      </c>
      <c r="F47" s="69">
        <f t="shared" ca="1" si="22"/>
        <v>0</v>
      </c>
      <c r="G47" s="170">
        <v>0</v>
      </c>
      <c r="H47" s="69">
        <f t="shared" ca="1" si="23"/>
        <v>0</v>
      </c>
      <c r="I47" s="68">
        <f t="shared" ca="1" si="24"/>
        <v>1</v>
      </c>
      <c r="J47" s="41">
        <f t="shared" ca="1" si="25"/>
        <v>0</v>
      </c>
      <c r="K47" s="356"/>
      <c r="L47" s="334"/>
      <c r="M47" s="334"/>
      <c r="N47" s="336"/>
      <c r="O47" s="358"/>
      <c r="P47" s="353"/>
      <c r="Q47" s="336"/>
      <c r="R47" s="336"/>
      <c r="S47" s="336"/>
      <c r="T47" s="372"/>
      <c r="U47" s="375"/>
      <c r="V47" s="923"/>
      <c r="W47" s="923"/>
      <c r="X47" s="923"/>
      <c r="Y47" s="923"/>
      <c r="Z47" s="32"/>
      <c r="AA47" s="32"/>
      <c r="AB47" s="32"/>
      <c r="AC47" s="32"/>
      <c r="AD47" s="32"/>
      <c r="AE47" s="32"/>
      <c r="AF47" s="32"/>
      <c r="AG47" s="32"/>
      <c r="AJ47" s="1"/>
      <c r="AK47" s="1"/>
      <c r="AL47" s="1"/>
      <c r="AM47" s="1"/>
      <c r="AN47" s="61"/>
      <c r="AO47" s="61"/>
      <c r="AP47" s="61"/>
      <c r="AQ47" s="61"/>
    </row>
    <row r="48" spans="1:50" ht="13" x14ac:dyDescent="0.25">
      <c r="A48" s="49"/>
      <c r="B48" s="965" t="s">
        <v>573</v>
      </c>
      <c r="C48" s="522"/>
      <c r="D48" s="3">
        <f t="shared" ca="1" si="20"/>
        <v>0</v>
      </c>
      <c r="E48" s="3">
        <f t="shared" ca="1" si="21"/>
        <v>0</v>
      </c>
      <c r="F48" s="69">
        <f t="shared" ca="1" si="22"/>
        <v>0</v>
      </c>
      <c r="G48" s="170">
        <v>0</v>
      </c>
      <c r="H48" s="69">
        <f t="shared" ca="1" si="23"/>
        <v>0</v>
      </c>
      <c r="I48" s="68">
        <f t="shared" ca="1" si="24"/>
        <v>1</v>
      </c>
      <c r="J48" s="41">
        <f t="shared" ca="1" si="25"/>
        <v>0</v>
      </c>
      <c r="K48" s="356"/>
      <c r="L48" s="334"/>
      <c r="M48" s="334"/>
      <c r="N48" s="336"/>
      <c r="O48" s="358"/>
      <c r="P48" s="353"/>
      <c r="Q48" s="336"/>
      <c r="R48" s="336"/>
      <c r="S48" s="336"/>
      <c r="T48" s="372"/>
      <c r="U48" s="375"/>
      <c r="V48" s="923"/>
      <c r="W48" s="923"/>
      <c r="X48" s="923"/>
      <c r="Y48" s="923"/>
      <c r="Z48" s="32"/>
      <c r="AA48" s="32"/>
      <c r="AB48" s="32"/>
      <c r="AC48" s="32"/>
      <c r="AD48" s="32"/>
      <c r="AE48" s="32"/>
      <c r="AF48" s="32"/>
      <c r="AG48" s="32"/>
      <c r="AJ48" s="1"/>
      <c r="AK48" s="1"/>
      <c r="AL48" s="1"/>
      <c r="AM48" s="1"/>
      <c r="AN48" s="61"/>
      <c r="AO48" s="61"/>
      <c r="AP48" s="61"/>
      <c r="AQ48" s="61"/>
    </row>
    <row r="49" spans="1:43" ht="13" x14ac:dyDescent="0.25">
      <c r="A49" s="49"/>
      <c r="B49" s="610" t="s">
        <v>574</v>
      </c>
      <c r="C49" s="522"/>
      <c r="D49" s="3">
        <f t="shared" ca="1" si="20"/>
        <v>0</v>
      </c>
      <c r="E49" s="3">
        <f t="shared" ca="1" si="21"/>
        <v>0</v>
      </c>
      <c r="F49" s="69">
        <f t="shared" ca="1" si="22"/>
        <v>0</v>
      </c>
      <c r="G49" s="170">
        <v>0</v>
      </c>
      <c r="H49" s="69">
        <f t="shared" ca="1" si="23"/>
        <v>0</v>
      </c>
      <c r="I49" s="68">
        <f t="shared" ca="1" si="24"/>
        <v>1</v>
      </c>
      <c r="J49" s="41">
        <f t="shared" ca="1" si="25"/>
        <v>0</v>
      </c>
      <c r="K49" s="356"/>
      <c r="L49" s="334"/>
      <c r="M49" s="334"/>
      <c r="N49" s="336"/>
      <c r="O49" s="358"/>
      <c r="P49" s="353"/>
      <c r="Q49" s="336"/>
      <c r="R49" s="336"/>
      <c r="S49" s="336"/>
      <c r="T49" s="372"/>
      <c r="U49" s="375"/>
      <c r="V49" s="923"/>
      <c r="W49" s="923"/>
      <c r="X49" s="923"/>
      <c r="Y49" s="923"/>
      <c r="Z49" s="32"/>
      <c r="AA49" s="32"/>
      <c r="AB49" s="32"/>
      <c r="AC49" s="32"/>
      <c r="AD49" s="32"/>
      <c r="AE49" s="32"/>
      <c r="AF49" s="32"/>
      <c r="AG49" s="32"/>
      <c r="AJ49" s="1"/>
      <c r="AK49" s="1"/>
      <c r="AL49" s="1"/>
      <c r="AM49" s="1"/>
      <c r="AN49" s="61"/>
      <c r="AO49" s="61"/>
      <c r="AP49" s="61"/>
      <c r="AQ49" s="61"/>
    </row>
    <row r="50" spans="1:43" ht="13" x14ac:dyDescent="0.25">
      <c r="A50" s="49"/>
      <c r="B50" s="965" t="s">
        <v>575</v>
      </c>
      <c r="C50" s="522"/>
      <c r="D50" s="3">
        <f t="shared" ca="1" si="20"/>
        <v>0</v>
      </c>
      <c r="E50" s="3">
        <f t="shared" ca="1" si="21"/>
        <v>0</v>
      </c>
      <c r="F50" s="69">
        <f t="shared" ca="1" si="22"/>
        <v>0</v>
      </c>
      <c r="G50" s="170">
        <v>0</v>
      </c>
      <c r="H50" s="69">
        <f t="shared" ca="1" si="23"/>
        <v>0</v>
      </c>
      <c r="I50" s="68">
        <f t="shared" ca="1" si="24"/>
        <v>1</v>
      </c>
      <c r="J50" s="41">
        <f t="shared" ca="1" si="25"/>
        <v>0</v>
      </c>
      <c r="K50" s="356"/>
      <c r="L50" s="334"/>
      <c r="M50" s="334"/>
      <c r="N50" s="334"/>
      <c r="O50" s="359"/>
      <c r="P50" s="354"/>
      <c r="Q50" s="334"/>
      <c r="R50" s="334"/>
      <c r="S50" s="334"/>
      <c r="T50" s="367"/>
      <c r="U50" s="376"/>
      <c r="V50" s="923"/>
      <c r="W50" s="923"/>
      <c r="X50" s="923"/>
      <c r="Y50" s="923"/>
      <c r="Z50" s="47"/>
      <c r="AA50" s="47"/>
      <c r="AB50" s="47"/>
      <c r="AC50" s="47"/>
      <c r="AD50" s="47"/>
      <c r="AE50" s="47"/>
      <c r="AF50" s="47"/>
      <c r="AG50" s="47"/>
      <c r="AJ50" s="1"/>
      <c r="AK50" s="1"/>
      <c r="AL50" s="1"/>
      <c r="AM50" s="1"/>
      <c r="AN50" s="62"/>
      <c r="AO50" s="62"/>
      <c r="AP50" s="62"/>
      <c r="AQ50" s="62"/>
    </row>
    <row r="51" spans="1:43" ht="13" x14ac:dyDescent="0.3">
      <c r="A51" s="49"/>
      <c r="B51" s="972" t="s">
        <v>449</v>
      </c>
      <c r="C51" s="972"/>
      <c r="D51" s="972"/>
      <c r="E51" s="972"/>
      <c r="F51" s="972"/>
      <c r="G51" s="972"/>
      <c r="H51" s="972"/>
      <c r="I51" s="972"/>
      <c r="J51" s="972"/>
      <c r="K51" s="972"/>
      <c r="L51" s="972"/>
      <c r="M51" s="972"/>
      <c r="N51" s="972"/>
      <c r="O51" s="972"/>
      <c r="P51" s="972"/>
      <c r="Q51" s="972"/>
      <c r="R51" s="972"/>
      <c r="S51" s="972"/>
      <c r="T51" s="972"/>
      <c r="U51" s="972"/>
      <c r="V51" s="29"/>
      <c r="W51" s="29"/>
      <c r="X51" s="27"/>
      <c r="Y51" s="47"/>
      <c r="Z51" s="47"/>
      <c r="AA51" s="47"/>
      <c r="AB51" s="47"/>
      <c r="AC51" s="47"/>
      <c r="AD51" s="47"/>
      <c r="AE51" s="47"/>
      <c r="AF51" s="47"/>
      <c r="AG51" s="47"/>
      <c r="AJ51" s="1"/>
      <c r="AK51" s="1"/>
      <c r="AL51" s="1"/>
      <c r="AM51" s="1"/>
      <c r="AN51" s="62"/>
      <c r="AO51" s="62"/>
      <c r="AP51" s="62"/>
      <c r="AQ51" s="62"/>
    </row>
    <row r="52" spans="1:43" ht="13" x14ac:dyDescent="0.25">
      <c r="A52" s="42"/>
      <c r="B52" s="610" t="s">
        <v>568</v>
      </c>
      <c r="C52" s="522"/>
      <c r="D52" s="391">
        <f ca="1">IFERROR(INDIRECT(B52 &amp; "!" &amp; "$N$85"),0)</f>
        <v>0.23219525459931692</v>
      </c>
      <c r="E52" s="391">
        <f ca="1">IFERROR(INDIRECT(B52 &amp; "!" &amp; "$N$86"),0)</f>
        <v>7.3725978030109926E-2</v>
      </c>
      <c r="F52" s="391">
        <f ca="1">IFERROR(INDIRECT(B52 &amp; "!" &amp; "$N$88"),0)</f>
        <v>0.15846927656920698</v>
      </c>
      <c r="G52" s="392">
        <v>0</v>
      </c>
      <c r="H52" s="393">
        <f ca="1">IFERROR(INDIRECT(B52 &amp; "!" &amp; "$F$85"),0)</f>
        <v>0.36</v>
      </c>
      <c r="I52" s="391">
        <f t="shared" ref="I52" ca="1" si="26">1/(1+H52*D52)</f>
        <v>0.92285802826082364</v>
      </c>
      <c r="J52" s="394">
        <f t="shared" ref="J52" ca="1" si="27">+I52*+D52+((1-I52)*G52)</f>
        <v>0.21428325483104554</v>
      </c>
      <c r="K52" s="361"/>
      <c r="L52" s="337"/>
      <c r="M52" s="337"/>
      <c r="N52" s="334"/>
      <c r="O52" s="359"/>
      <c r="P52" s="354"/>
      <c r="Q52" s="334"/>
      <c r="R52" s="334"/>
      <c r="S52" s="334"/>
      <c r="T52" s="367"/>
      <c r="U52" s="376"/>
      <c r="V52" s="27"/>
      <c r="W52" s="27"/>
      <c r="X52" s="27"/>
      <c r="Y52" s="48"/>
      <c r="Z52" s="48"/>
      <c r="AA52" s="48"/>
      <c r="AB52" s="48"/>
      <c r="AC52" s="48"/>
      <c r="AD52" s="48"/>
      <c r="AE52" s="48"/>
      <c r="AF52" s="48"/>
      <c r="AG52" s="48"/>
      <c r="AJ52" s="21"/>
      <c r="AK52" s="1"/>
      <c r="AL52" s="38"/>
      <c r="AM52" s="1"/>
      <c r="AN52" s="60"/>
      <c r="AO52" s="60"/>
      <c r="AP52" s="63"/>
      <c r="AQ52" s="63"/>
    </row>
    <row r="53" spans="1:43" ht="13" x14ac:dyDescent="0.3">
      <c r="A53" s="42"/>
      <c r="B53" s="965" t="s">
        <v>569</v>
      </c>
      <c r="C53" s="522"/>
      <c r="D53" s="68">
        <f t="shared" ref="D53:D59" ca="1" si="28">IFERROR(INDIRECT(B53 &amp; "!" &amp; "$N$83"),0)</f>
        <v>0</v>
      </c>
      <c r="E53" s="68">
        <f t="shared" ref="E53:E59" ca="1" si="29">IFERROR(INDIRECT(B53 &amp; "!" &amp; "$N$84"),0)</f>
        <v>0</v>
      </c>
      <c r="F53" s="68">
        <f t="shared" ref="F53:F59" ca="1" si="30">IFERROR(INDIRECT(B53 &amp; "!" &amp; "$N$86"),0)</f>
        <v>0</v>
      </c>
      <c r="G53" s="170">
        <v>0</v>
      </c>
      <c r="H53" s="69">
        <f t="shared" ref="H53:H59" ca="1" si="31">IFERROR(INDIRECT(B53 &amp; "!" &amp; "$F$83"),0)</f>
        <v>0</v>
      </c>
      <c r="I53" s="68">
        <f t="shared" ref="I53:I59" ca="1" si="32">1/(1+H53*D53)</f>
        <v>1</v>
      </c>
      <c r="J53" s="41">
        <f t="shared" ref="J53:J59" ca="1" si="33">+I53*+D53+((1-I53)*G53)</f>
        <v>0</v>
      </c>
      <c r="K53" s="362"/>
      <c r="L53" s="338"/>
      <c r="M53" s="338"/>
      <c r="N53" s="329"/>
      <c r="O53" s="347"/>
      <c r="P53" s="343"/>
      <c r="Q53" s="329"/>
      <c r="R53" s="329"/>
      <c r="S53" s="329"/>
      <c r="T53" s="368"/>
      <c r="U53" s="377"/>
      <c r="V53" s="923" t="s">
        <v>1321</v>
      </c>
      <c r="W53" s="923"/>
      <c r="X53" s="923"/>
      <c r="Y53" s="923"/>
      <c r="Z53" s="1"/>
      <c r="AA53" s="1"/>
      <c r="AB53" s="1"/>
      <c r="AC53" s="1"/>
      <c r="AD53" s="1"/>
      <c r="AE53" s="1"/>
      <c r="AF53" s="1"/>
      <c r="AG53" s="1"/>
      <c r="AJ53" s="1"/>
      <c r="AK53" s="1"/>
      <c r="AL53" s="1"/>
      <c r="AM53" s="1"/>
      <c r="AN53" s="60"/>
      <c r="AO53" s="60"/>
      <c r="AP53" s="60"/>
      <c r="AQ53" s="60"/>
    </row>
    <row r="54" spans="1:43" ht="13" x14ac:dyDescent="0.3">
      <c r="A54" s="22"/>
      <c r="B54" s="610" t="s">
        <v>570</v>
      </c>
      <c r="C54" s="522"/>
      <c r="D54" s="68">
        <f t="shared" ca="1" si="28"/>
        <v>0</v>
      </c>
      <c r="E54" s="68">
        <f t="shared" ca="1" si="29"/>
        <v>0</v>
      </c>
      <c r="F54" s="68">
        <f t="shared" ca="1" si="30"/>
        <v>0</v>
      </c>
      <c r="G54" s="170">
        <v>0</v>
      </c>
      <c r="H54" s="69">
        <f t="shared" ca="1" si="31"/>
        <v>0</v>
      </c>
      <c r="I54" s="68">
        <f t="shared" ca="1" si="32"/>
        <v>1</v>
      </c>
      <c r="J54" s="41">
        <f t="shared" ca="1" si="33"/>
        <v>0</v>
      </c>
      <c r="K54" s="362"/>
      <c r="L54" s="338"/>
      <c r="M54" s="338"/>
      <c r="N54" s="329"/>
      <c r="O54" s="347"/>
      <c r="P54" s="343"/>
      <c r="Q54" s="329"/>
      <c r="R54" s="329"/>
      <c r="S54" s="329"/>
      <c r="T54" s="368"/>
      <c r="U54" s="377"/>
      <c r="V54" s="923"/>
      <c r="W54" s="923"/>
      <c r="X54" s="923"/>
      <c r="Y54" s="923"/>
      <c r="Z54" s="1"/>
      <c r="AA54" s="1"/>
      <c r="AB54" s="1"/>
      <c r="AC54" s="1"/>
      <c r="AD54" s="1"/>
      <c r="AE54" s="1"/>
      <c r="AF54" s="1"/>
      <c r="AG54" s="1"/>
      <c r="AJ54" s="1"/>
      <c r="AK54" s="1"/>
      <c r="AL54" s="1"/>
      <c r="AM54" s="1"/>
      <c r="AN54" s="60"/>
      <c r="AO54" s="60"/>
      <c r="AP54" s="60"/>
      <c r="AQ54" s="60"/>
    </row>
    <row r="55" spans="1:43" ht="13" x14ac:dyDescent="0.3">
      <c r="A55" s="22"/>
      <c r="B55" s="965" t="s">
        <v>571</v>
      </c>
      <c r="C55" s="522"/>
      <c r="D55" s="68">
        <f t="shared" ca="1" si="28"/>
        <v>0</v>
      </c>
      <c r="E55" s="68">
        <f t="shared" ca="1" si="29"/>
        <v>0</v>
      </c>
      <c r="F55" s="68">
        <f t="shared" ca="1" si="30"/>
        <v>0</v>
      </c>
      <c r="G55" s="173">
        <v>0</v>
      </c>
      <c r="H55" s="69">
        <f t="shared" ca="1" si="31"/>
        <v>0</v>
      </c>
      <c r="I55" s="68">
        <f t="shared" ca="1" si="32"/>
        <v>1</v>
      </c>
      <c r="J55" s="41">
        <f t="shared" ca="1" si="33"/>
        <v>0</v>
      </c>
      <c r="K55" s="362"/>
      <c r="L55" s="338"/>
      <c r="M55" s="338"/>
      <c r="N55" s="329"/>
      <c r="O55" s="347"/>
      <c r="P55" s="343"/>
      <c r="Q55" s="329"/>
      <c r="R55" s="329"/>
      <c r="S55" s="329"/>
      <c r="T55" s="368"/>
      <c r="U55" s="377"/>
      <c r="V55" s="923"/>
      <c r="W55" s="923"/>
      <c r="X55" s="923"/>
      <c r="Y55" s="923"/>
      <c r="Z55" s="1"/>
      <c r="AA55" s="1"/>
      <c r="AB55" s="1"/>
      <c r="AC55" s="1"/>
      <c r="AD55" s="1"/>
      <c r="AE55" s="1"/>
      <c r="AF55" s="1"/>
      <c r="AG55" s="1"/>
      <c r="AJ55" s="1"/>
      <c r="AK55" s="1"/>
      <c r="AL55" s="1"/>
      <c r="AM55" s="1"/>
      <c r="AN55" s="60"/>
      <c r="AO55" s="60"/>
      <c r="AP55" s="60"/>
      <c r="AQ55" s="60"/>
    </row>
    <row r="56" spans="1:43" ht="13" x14ac:dyDescent="0.3">
      <c r="A56" s="22"/>
      <c r="B56" s="610" t="s">
        <v>572</v>
      </c>
      <c r="C56" s="522"/>
      <c r="D56" s="68">
        <f t="shared" ca="1" si="28"/>
        <v>0</v>
      </c>
      <c r="E56" s="68">
        <f t="shared" ca="1" si="29"/>
        <v>0</v>
      </c>
      <c r="F56" s="68">
        <f t="shared" ca="1" si="30"/>
        <v>0</v>
      </c>
      <c r="G56" s="173">
        <v>0</v>
      </c>
      <c r="H56" s="69">
        <f t="shared" ca="1" si="31"/>
        <v>0</v>
      </c>
      <c r="I56" s="68">
        <f t="shared" ca="1" si="32"/>
        <v>1</v>
      </c>
      <c r="J56" s="41">
        <f t="shared" ca="1" si="33"/>
        <v>0</v>
      </c>
      <c r="K56" s="362"/>
      <c r="L56" s="338"/>
      <c r="M56" s="338"/>
      <c r="N56" s="329"/>
      <c r="O56" s="347"/>
      <c r="P56" s="343"/>
      <c r="Q56" s="329"/>
      <c r="R56" s="329"/>
      <c r="S56" s="329"/>
      <c r="T56" s="368"/>
      <c r="U56" s="377"/>
      <c r="V56" s="923"/>
      <c r="W56" s="923"/>
      <c r="X56" s="923"/>
      <c r="Y56" s="923"/>
      <c r="Z56" s="1"/>
      <c r="AA56" s="1"/>
      <c r="AB56" s="1"/>
      <c r="AC56" s="1"/>
      <c r="AD56" s="1"/>
      <c r="AE56" s="1"/>
      <c r="AF56" s="1"/>
      <c r="AG56" s="1"/>
      <c r="AJ56" s="1"/>
      <c r="AK56" s="1"/>
      <c r="AL56" s="1"/>
      <c r="AM56" s="1"/>
      <c r="AN56" s="60"/>
      <c r="AO56" s="60"/>
      <c r="AP56" s="60"/>
      <c r="AQ56" s="60"/>
    </row>
    <row r="57" spans="1:43" ht="13" x14ac:dyDescent="0.3">
      <c r="A57" s="22"/>
      <c r="B57" s="965" t="s">
        <v>573</v>
      </c>
      <c r="C57" s="522"/>
      <c r="D57" s="68">
        <f t="shared" ca="1" si="28"/>
        <v>0</v>
      </c>
      <c r="E57" s="68">
        <f t="shared" ca="1" si="29"/>
        <v>0</v>
      </c>
      <c r="F57" s="68">
        <f t="shared" ca="1" si="30"/>
        <v>0</v>
      </c>
      <c r="G57" s="173">
        <v>0</v>
      </c>
      <c r="H57" s="69">
        <f t="shared" ca="1" si="31"/>
        <v>0</v>
      </c>
      <c r="I57" s="68">
        <f t="shared" ca="1" si="32"/>
        <v>1</v>
      </c>
      <c r="J57" s="41">
        <f t="shared" ca="1" si="33"/>
        <v>0</v>
      </c>
      <c r="K57" s="362"/>
      <c r="L57" s="338"/>
      <c r="M57" s="338"/>
      <c r="N57" s="329"/>
      <c r="O57" s="347"/>
      <c r="P57" s="343"/>
      <c r="Q57" s="329"/>
      <c r="R57" s="329"/>
      <c r="S57" s="329"/>
      <c r="T57" s="368"/>
      <c r="U57" s="377"/>
      <c r="V57" s="923"/>
      <c r="W57" s="923"/>
      <c r="X57" s="923"/>
      <c r="Y57" s="923"/>
      <c r="Z57" s="1"/>
      <c r="AA57" s="1"/>
      <c r="AB57" s="1"/>
      <c r="AC57" s="1"/>
      <c r="AD57" s="1"/>
      <c r="AE57" s="1"/>
      <c r="AF57" s="1"/>
      <c r="AG57" s="1"/>
      <c r="AJ57" s="1"/>
      <c r="AK57" s="1"/>
      <c r="AL57" s="1"/>
      <c r="AM57" s="1"/>
      <c r="AN57" s="60"/>
      <c r="AO57" s="60"/>
      <c r="AP57" s="60"/>
      <c r="AQ57" s="60"/>
    </row>
    <row r="58" spans="1:43" ht="13" x14ac:dyDescent="0.3">
      <c r="A58" s="22"/>
      <c r="B58" s="610" t="s">
        <v>574</v>
      </c>
      <c r="C58" s="522"/>
      <c r="D58" s="68">
        <f t="shared" ca="1" si="28"/>
        <v>0</v>
      </c>
      <c r="E58" s="68">
        <f t="shared" ca="1" si="29"/>
        <v>0</v>
      </c>
      <c r="F58" s="68">
        <f t="shared" ca="1" si="30"/>
        <v>0</v>
      </c>
      <c r="G58" s="173">
        <v>0</v>
      </c>
      <c r="H58" s="69">
        <f t="shared" ca="1" si="31"/>
        <v>0</v>
      </c>
      <c r="I58" s="68">
        <f t="shared" ca="1" si="32"/>
        <v>1</v>
      </c>
      <c r="J58" s="41">
        <f t="shared" ca="1" si="33"/>
        <v>0</v>
      </c>
      <c r="K58" s="362"/>
      <c r="L58" s="338"/>
      <c r="M58" s="338"/>
      <c r="N58" s="329"/>
      <c r="O58" s="347"/>
      <c r="P58" s="343"/>
      <c r="Q58" s="329"/>
      <c r="R58" s="329"/>
      <c r="S58" s="329"/>
      <c r="T58" s="368"/>
      <c r="U58" s="377"/>
      <c r="V58" s="923"/>
      <c r="W58" s="923"/>
      <c r="X58" s="923"/>
      <c r="Y58" s="923"/>
      <c r="Z58" s="1"/>
      <c r="AA58" s="1"/>
      <c r="AB58" s="1"/>
      <c r="AC58" s="1"/>
      <c r="AD58" s="1"/>
      <c r="AE58" s="1"/>
      <c r="AF58" s="1"/>
      <c r="AG58" s="1"/>
      <c r="AJ58" s="1"/>
      <c r="AK58" s="1"/>
      <c r="AL58" s="1"/>
      <c r="AM58" s="1"/>
      <c r="AN58" s="60"/>
      <c r="AO58" s="60"/>
      <c r="AP58" s="60"/>
      <c r="AQ58" s="60"/>
    </row>
    <row r="59" spans="1:43" ht="13" thickBot="1" x14ac:dyDescent="0.3">
      <c r="A59" s="20"/>
      <c r="B59" s="965" t="s">
        <v>575</v>
      </c>
      <c r="C59" s="522"/>
      <c r="D59" s="68">
        <f t="shared" ca="1" si="28"/>
        <v>0</v>
      </c>
      <c r="E59" s="68">
        <f t="shared" ca="1" si="29"/>
        <v>0</v>
      </c>
      <c r="F59" s="68">
        <f t="shared" ca="1" si="30"/>
        <v>0</v>
      </c>
      <c r="G59" s="173">
        <v>0</v>
      </c>
      <c r="H59" s="69">
        <f t="shared" ca="1" si="31"/>
        <v>0</v>
      </c>
      <c r="I59" s="68">
        <f t="shared" ca="1" si="32"/>
        <v>1</v>
      </c>
      <c r="J59" s="41">
        <f t="shared" ca="1" si="33"/>
        <v>0</v>
      </c>
      <c r="K59" s="363"/>
      <c r="L59" s="339"/>
      <c r="M59" s="339"/>
      <c r="N59" s="340"/>
      <c r="O59" s="364"/>
      <c r="P59" s="360"/>
      <c r="Q59" s="340"/>
      <c r="R59" s="340"/>
      <c r="S59" s="340"/>
      <c r="T59" s="369"/>
      <c r="U59" s="378"/>
      <c r="V59" s="923"/>
      <c r="W59" s="923"/>
      <c r="X59" s="923"/>
      <c r="Y59" s="923"/>
      <c r="Z59" s="10"/>
      <c r="AA59" s="10"/>
      <c r="AB59" s="10"/>
      <c r="AC59" s="10"/>
      <c r="AD59" s="10"/>
      <c r="AE59" s="10"/>
      <c r="AF59" s="10"/>
      <c r="AG59" s="10"/>
      <c r="AJ59" s="39"/>
      <c r="AK59" s="26"/>
      <c r="AL59" s="38"/>
      <c r="AM59" s="1"/>
      <c r="AN59" s="60"/>
      <c r="AO59" s="60"/>
      <c r="AP59" s="63"/>
      <c r="AQ59" s="63"/>
    </row>
    <row r="60" spans="1:43" ht="18.5" thickBot="1" x14ac:dyDescent="0.45">
      <c r="A60" s="20"/>
      <c r="B60" s="992" t="s">
        <v>533</v>
      </c>
      <c r="C60" s="993"/>
      <c r="D60" s="185">
        <f ca="1">SUM(D43:D50)+SUM(D52:D59)</f>
        <v>2.9058396493206784</v>
      </c>
      <c r="E60" s="185">
        <f ca="1">SUM(E43:E50)+SUM(E52:E59)</f>
        <v>0.88525269398864403</v>
      </c>
      <c r="F60" s="185">
        <f ca="1">SUM(F43:F50)+SUM(F52:F59)</f>
        <v>2.0205869553320341</v>
      </c>
      <c r="G60" s="189">
        <f>SUM(G43:G50)+SUM(G52:G59)</f>
        <v>0</v>
      </c>
      <c r="H60" s="190"/>
      <c r="I60" s="190"/>
      <c r="J60" s="191">
        <f ca="1">SUM(J43:J50)+SUM(J52:J59)</f>
        <v>1.5231472572155389</v>
      </c>
      <c r="K60" s="365">
        <f>Intersection_1!F195</f>
        <v>5.0555484787500005</v>
      </c>
      <c r="L60" s="381">
        <v>2</v>
      </c>
      <c r="M60" s="24" t="str">
        <f>IF(Intersection_1!$J$28="SPFs based on modified RAP methodology (NOT applicable with EB method)", "--",IF(Intersection_1!$J$9="3ST","--",IF(Intersection_1!$J$9="4ST","--",Intersection_1!F146)))</f>
        <v>--</v>
      </c>
      <c r="N60" s="24" t="str">
        <f>IF($M$60="--","--",1/(1+M60*K60))</f>
        <v>--</v>
      </c>
      <c r="O60" s="366">
        <f>IF($M$60="--",K60,N60*K60+(1-N60)*L60)</f>
        <v>5.0555484787500005</v>
      </c>
      <c r="P60" s="24">
        <f>Intersection_1!F196</f>
        <v>0.13576752276819248</v>
      </c>
      <c r="Q60" s="381">
        <v>0</v>
      </c>
      <c r="R60" s="24" t="str">
        <f>IF(Intersection_1!$N$157=0,"--",Intersection_1!F157)</f>
        <v>--</v>
      </c>
      <c r="S60" s="24" t="str">
        <f>IF($R$60="--","--",1/(1+R60*P60))</f>
        <v>--</v>
      </c>
      <c r="T60" s="24">
        <f>IF($R$60="--",P60,S60*P60+(1-S60)*Q60)</f>
        <v>0.13576752276819248</v>
      </c>
      <c r="U60" s="404">
        <f ca="1">J60+O60+T60</f>
        <v>6.7144632587337316</v>
      </c>
      <c r="V60" s="398" t="s">
        <v>1324</v>
      </c>
      <c r="W60" s="24"/>
      <c r="X60" s="24"/>
      <c r="Y60" s="10"/>
      <c r="Z60" s="10"/>
      <c r="AA60" s="10"/>
      <c r="AB60" s="10"/>
      <c r="AC60" s="10"/>
      <c r="AD60" s="10"/>
      <c r="AE60" s="10"/>
      <c r="AF60" s="10"/>
      <c r="AG60" s="10"/>
      <c r="AJ60" s="39"/>
      <c r="AK60" s="26"/>
      <c r="AL60" s="38"/>
      <c r="AM60" s="1"/>
      <c r="AN60" s="60"/>
      <c r="AO60" s="60"/>
      <c r="AP60" s="63"/>
      <c r="AQ60" s="63"/>
    </row>
    <row r="61" spans="1:43" ht="14" thickTop="1" thickBot="1" x14ac:dyDescent="0.3">
      <c r="A61" s="25"/>
      <c r="B61" s="985" t="s">
        <v>101</v>
      </c>
      <c r="C61" s="986"/>
      <c r="D61" s="166">
        <f ca="1">SUM(D14:D39)+SUM(D43:D59)</f>
        <v>9.5183575835273508</v>
      </c>
      <c r="E61" s="166">
        <f ca="1">SUM(E14:E39)+SUM(E43:E59)</f>
        <v>2.7300607492064497</v>
      </c>
      <c r="F61" s="166">
        <f ca="1">SUM(F14:F39)+SUM(F43:F59)</f>
        <v>6.7882968343208994</v>
      </c>
      <c r="G61" s="166">
        <f>SUM(G14:G39)+SUM(G43:G59)</f>
        <v>0</v>
      </c>
      <c r="H61" s="156" t="s">
        <v>14</v>
      </c>
      <c r="I61" s="156" t="s">
        <v>14</v>
      </c>
      <c r="J61" s="167">
        <f ca="1">SUM(J14:J39)+SUM(J43:J59)</f>
        <v>3.6801289911326638</v>
      </c>
      <c r="K61" s="405">
        <f>K40+K60</f>
        <v>6.490345886411947</v>
      </c>
      <c r="L61" s="406"/>
      <c r="M61" s="406"/>
      <c r="N61" s="406"/>
      <c r="O61" s="407">
        <f>O40+O60</f>
        <v>5.6634650695636664</v>
      </c>
      <c r="P61" s="405">
        <f>P40+P60</f>
        <v>0.1840383158904183</v>
      </c>
      <c r="Q61" s="406"/>
      <c r="R61" s="406"/>
      <c r="S61" s="406"/>
      <c r="T61" s="407">
        <f>T40+T60</f>
        <v>0.17912614976847363</v>
      </c>
      <c r="U61" s="408">
        <f ca="1">U40+U60</f>
        <v>9.5227202104648025</v>
      </c>
      <c r="V61" s="10"/>
      <c r="W61" s="10"/>
      <c r="X61" s="10"/>
      <c r="Y61" s="10"/>
      <c r="Z61" s="10"/>
      <c r="AA61" s="10"/>
      <c r="AB61" s="10"/>
      <c r="AC61" s="10"/>
      <c r="AD61" s="10"/>
      <c r="AE61" s="10"/>
      <c r="AF61" s="10"/>
      <c r="AG61" s="10"/>
      <c r="AJ61" s="26"/>
      <c r="AK61" s="26"/>
      <c r="AL61" s="1"/>
      <c r="AM61" s="1"/>
      <c r="AN61" s="60"/>
      <c r="AO61" s="60"/>
      <c r="AP61" s="60"/>
      <c r="AQ61" s="60"/>
    </row>
    <row r="62" spans="1:43" x14ac:dyDescent="0.25">
      <c r="A62" s="23"/>
      <c r="B62" s="33"/>
      <c r="C62" s="28"/>
      <c r="D62" s="28"/>
      <c r="F62" s="23"/>
      <c r="H62" s="23"/>
      <c r="K62" s="44"/>
      <c r="L62" s="44"/>
      <c r="M62" s="44"/>
      <c r="P62" s="10"/>
      <c r="Q62" s="10"/>
      <c r="R62" s="10"/>
      <c r="S62" s="10"/>
      <c r="T62" s="10"/>
      <c r="U62" s="10"/>
      <c r="V62" s="10"/>
      <c r="W62" s="10"/>
      <c r="X62" s="10"/>
      <c r="Y62" s="10"/>
      <c r="Z62" s="10"/>
      <c r="AA62" s="10"/>
      <c r="AB62" s="10"/>
      <c r="AC62" s="10"/>
      <c r="AD62" s="10"/>
      <c r="AE62" s="10"/>
      <c r="AF62" s="10"/>
      <c r="AG62" s="10"/>
      <c r="AJ62" s="26"/>
      <c r="AK62" s="26"/>
      <c r="AL62" s="38"/>
      <c r="AM62" s="22"/>
      <c r="AN62" s="22"/>
      <c r="AO62" s="22"/>
      <c r="AP62" s="22"/>
      <c r="AQ62" s="22"/>
    </row>
    <row r="63" spans="1:43" x14ac:dyDescent="0.25">
      <c r="A63" s="23"/>
      <c r="B63" s="33"/>
      <c r="C63" s="28"/>
      <c r="D63" s="28"/>
      <c r="F63" s="23"/>
      <c r="H63" s="23"/>
      <c r="K63" s="44"/>
      <c r="L63" s="44"/>
      <c r="M63" s="44"/>
      <c r="P63" s="10"/>
      <c r="Q63" s="10"/>
      <c r="R63" s="10"/>
      <c r="S63" s="10"/>
      <c r="T63" s="10"/>
      <c r="U63" s="10"/>
      <c r="V63" s="10"/>
      <c r="W63" s="10"/>
      <c r="X63" s="10"/>
      <c r="Y63" s="10"/>
      <c r="Z63" s="10"/>
      <c r="AA63" s="10"/>
      <c r="AB63" s="10"/>
      <c r="AC63" s="10"/>
      <c r="AD63" s="10"/>
      <c r="AE63" s="10"/>
      <c r="AF63" s="10"/>
      <c r="AG63" s="10"/>
      <c r="AJ63" s="26"/>
      <c r="AK63" s="26"/>
      <c r="AL63" s="38"/>
      <c r="AM63" s="22"/>
      <c r="AN63" s="22"/>
      <c r="AO63" s="22"/>
      <c r="AP63" s="22"/>
      <c r="AQ63" s="22"/>
    </row>
    <row r="64" spans="1:43" ht="13" thickBot="1" x14ac:dyDescent="0.3">
      <c r="A64" s="23"/>
      <c r="B64" s="33"/>
      <c r="C64" s="28"/>
      <c r="D64" s="28"/>
      <c r="F64" s="23"/>
      <c r="H64" s="23"/>
      <c r="K64" s="44"/>
      <c r="L64" s="44"/>
      <c r="M64" s="44"/>
      <c r="P64" s="10"/>
      <c r="Q64" s="10"/>
      <c r="R64" s="10"/>
      <c r="S64" s="10"/>
      <c r="T64" s="10"/>
      <c r="U64" s="10"/>
      <c r="V64" s="10"/>
      <c r="W64" s="10"/>
      <c r="X64" s="10"/>
      <c r="Y64" s="10"/>
      <c r="Z64" s="10"/>
      <c r="AA64" s="10"/>
      <c r="AB64" s="10"/>
      <c r="AC64" s="10"/>
      <c r="AD64" s="10"/>
      <c r="AE64" s="10"/>
      <c r="AF64" s="10"/>
      <c r="AG64" s="10"/>
      <c r="AJ64" s="26"/>
      <c r="AK64" s="26"/>
      <c r="AL64" s="38"/>
      <c r="AM64" s="22"/>
      <c r="AN64" s="22"/>
      <c r="AO64" s="22"/>
      <c r="AP64" s="22"/>
      <c r="AQ64" s="22"/>
    </row>
    <row r="65" spans="1:43" ht="13.5" thickTop="1" x14ac:dyDescent="0.25">
      <c r="A65" s="23"/>
      <c r="B65" s="33"/>
      <c r="C65" s="28"/>
      <c r="E65" s="969" t="s">
        <v>1314</v>
      </c>
      <c r="F65" s="970"/>
      <c r="G65" s="970"/>
      <c r="H65" s="970"/>
      <c r="I65" s="32"/>
      <c r="P65" s="10"/>
      <c r="Q65" s="10"/>
      <c r="R65" s="10"/>
      <c r="S65" s="10"/>
      <c r="T65" s="10"/>
      <c r="U65" s="10"/>
      <c r="V65" s="10"/>
      <c r="W65" s="10"/>
      <c r="X65" s="10"/>
      <c r="Y65" s="10"/>
      <c r="Z65" s="10"/>
      <c r="AA65" s="10"/>
      <c r="AB65" s="10"/>
      <c r="AC65" s="10"/>
      <c r="AD65" s="10"/>
      <c r="AE65" s="10"/>
      <c r="AF65" s="10"/>
      <c r="AG65" s="10"/>
      <c r="AJ65" s="26"/>
      <c r="AK65" s="26"/>
      <c r="AL65" s="38"/>
      <c r="AM65" s="22"/>
      <c r="AN65" s="22"/>
      <c r="AO65" s="22"/>
      <c r="AP65" s="22"/>
      <c r="AQ65" s="22"/>
    </row>
    <row r="66" spans="1:43" ht="13.5" thickBot="1" x14ac:dyDescent="0.3">
      <c r="A66" s="23"/>
      <c r="B66" s="33"/>
      <c r="C66" s="28"/>
      <c r="E66" s="971"/>
      <c r="F66" s="971"/>
      <c r="G66" s="971"/>
      <c r="H66" s="971"/>
      <c r="I66" s="32"/>
      <c r="P66" s="10"/>
      <c r="Q66" s="10"/>
      <c r="R66" s="10"/>
      <c r="S66" s="10"/>
      <c r="T66" s="10"/>
      <c r="U66" s="10"/>
      <c r="V66" s="10"/>
      <c r="W66" s="10"/>
      <c r="X66" s="10"/>
      <c r="Y66" s="10"/>
      <c r="Z66" s="10"/>
      <c r="AA66" s="10"/>
      <c r="AB66" s="10"/>
      <c r="AC66" s="10"/>
      <c r="AD66" s="10"/>
      <c r="AE66" s="10"/>
      <c r="AF66" s="10"/>
      <c r="AG66" s="10"/>
      <c r="AJ66" s="26"/>
      <c r="AK66" s="26"/>
      <c r="AL66" s="38"/>
      <c r="AM66" s="22"/>
      <c r="AN66" s="22"/>
      <c r="AO66" s="22"/>
      <c r="AP66" s="22"/>
      <c r="AQ66" s="22"/>
    </row>
    <row r="67" spans="1:43" x14ac:dyDescent="0.25">
      <c r="A67" s="23"/>
      <c r="B67" s="33"/>
      <c r="C67" s="28"/>
      <c r="E67" s="459" t="s">
        <v>16</v>
      </c>
      <c r="F67" s="460"/>
      <c r="G67" s="30" t="s">
        <v>17</v>
      </c>
      <c r="H67" s="65" t="s">
        <v>18</v>
      </c>
      <c r="P67" s="10"/>
      <c r="Q67" s="10"/>
      <c r="R67" s="10"/>
      <c r="S67" s="10"/>
      <c r="T67" s="10"/>
      <c r="U67" s="10"/>
      <c r="V67" s="10"/>
      <c r="W67" s="10"/>
      <c r="X67" s="10"/>
      <c r="Y67" s="10"/>
      <c r="Z67" s="10"/>
      <c r="AA67" s="10"/>
      <c r="AB67" s="10"/>
      <c r="AC67" s="10"/>
      <c r="AD67" s="10"/>
      <c r="AE67" s="10"/>
      <c r="AF67" s="10"/>
      <c r="AG67" s="10"/>
      <c r="AJ67" s="26"/>
      <c r="AK67" s="26"/>
      <c r="AL67" s="38"/>
      <c r="AM67" s="22"/>
      <c r="AN67" s="22"/>
      <c r="AO67" s="22"/>
      <c r="AP67" s="22"/>
      <c r="AQ67" s="22"/>
    </row>
    <row r="68" spans="1:43" ht="19.5" customHeight="1" thickBot="1" x14ac:dyDescent="0.45">
      <c r="A68" s="23"/>
      <c r="B68" s="33"/>
      <c r="C68" s="28"/>
      <c r="E68" s="966" t="s">
        <v>453</v>
      </c>
      <c r="F68" s="966"/>
      <c r="G68" s="128" t="s">
        <v>454</v>
      </c>
      <c r="H68" s="5" t="s">
        <v>455</v>
      </c>
      <c r="P68" s="10"/>
      <c r="Q68" s="10"/>
      <c r="R68" s="10"/>
      <c r="S68" s="10"/>
      <c r="T68" s="10"/>
      <c r="U68" s="10"/>
      <c r="V68" s="10"/>
      <c r="W68" s="10"/>
      <c r="X68" s="10"/>
      <c r="Y68" s="10"/>
      <c r="Z68" s="10"/>
      <c r="AA68" s="10"/>
      <c r="AB68" s="10"/>
      <c r="AC68" s="10"/>
      <c r="AD68" s="10"/>
      <c r="AE68" s="10"/>
      <c r="AF68" s="10"/>
      <c r="AG68" s="10"/>
      <c r="AJ68" s="26"/>
      <c r="AK68" s="26"/>
      <c r="AL68" s="38"/>
      <c r="AM68" s="22"/>
      <c r="AN68" s="22"/>
      <c r="AO68" s="22"/>
      <c r="AP68" s="22"/>
      <c r="AQ68" s="22"/>
    </row>
    <row r="69" spans="1:43" ht="13" x14ac:dyDescent="0.3">
      <c r="A69" s="23"/>
      <c r="B69" s="33"/>
      <c r="C69" s="28"/>
      <c r="E69" s="967" t="s">
        <v>104</v>
      </c>
      <c r="F69" s="967"/>
      <c r="G69" s="967"/>
      <c r="H69" s="967"/>
      <c r="I69" s="5"/>
      <c r="P69" s="10"/>
      <c r="Q69" s="10"/>
      <c r="R69" s="10"/>
      <c r="S69" s="10"/>
      <c r="T69" s="10"/>
      <c r="U69" s="10"/>
      <c r="V69" s="10"/>
      <c r="W69" s="10"/>
      <c r="X69" s="10"/>
      <c r="Y69" s="10"/>
      <c r="Z69" s="10"/>
      <c r="AA69" s="10"/>
      <c r="AB69" s="10"/>
      <c r="AC69" s="10"/>
      <c r="AD69" s="10"/>
      <c r="AE69" s="10"/>
      <c r="AF69" s="10"/>
      <c r="AG69" s="10"/>
      <c r="AJ69" s="26"/>
      <c r="AK69" s="26"/>
      <c r="AL69" s="38"/>
      <c r="AM69" s="22"/>
      <c r="AN69" s="22"/>
      <c r="AO69" s="22"/>
      <c r="AP69" s="22"/>
      <c r="AQ69" s="22"/>
    </row>
    <row r="70" spans="1:43" x14ac:dyDescent="0.25">
      <c r="A70" s="23"/>
      <c r="B70" s="33"/>
      <c r="C70" s="28"/>
      <c r="E70" s="905" t="s">
        <v>560</v>
      </c>
      <c r="F70" s="610"/>
      <c r="G70" s="129">
        <f>O40</f>
        <v>0.60791659081366567</v>
      </c>
      <c r="H70" s="131">
        <f>T40</f>
        <v>4.3358627000281147E-2</v>
      </c>
      <c r="P70" s="10"/>
      <c r="Q70" s="10"/>
      <c r="R70" s="10"/>
      <c r="S70" s="10"/>
      <c r="T70" s="10"/>
      <c r="U70" s="10"/>
      <c r="V70" s="10"/>
      <c r="W70" s="10"/>
      <c r="X70" s="10"/>
      <c r="Y70" s="10"/>
      <c r="Z70" s="10"/>
      <c r="AA70" s="10"/>
      <c r="AB70" s="10"/>
      <c r="AC70" s="10"/>
      <c r="AD70" s="10"/>
      <c r="AE70" s="10"/>
      <c r="AF70" s="10"/>
      <c r="AG70" s="10"/>
      <c r="AJ70" s="26"/>
      <c r="AK70" s="26"/>
      <c r="AL70" s="38"/>
      <c r="AM70" s="22"/>
      <c r="AN70" s="22"/>
      <c r="AO70" s="22"/>
      <c r="AP70" s="22"/>
      <c r="AQ70" s="22"/>
    </row>
    <row r="71" spans="1:43" x14ac:dyDescent="0.25">
      <c r="A71" s="23"/>
      <c r="B71" s="33"/>
      <c r="C71" s="28"/>
      <c r="E71" s="905" t="s">
        <v>561</v>
      </c>
      <c r="F71" s="610"/>
      <c r="G71" s="129">
        <f t="shared" ref="G71:G77" ca="1" si="34">IFERROR(INDIRECT(E71 &amp; "!" &amp; "$M$137"),0)</f>
        <v>0</v>
      </c>
      <c r="H71" s="131">
        <f t="shared" ref="H71:H77" ca="1" si="35">IFERROR(INDIRECT(E71 &amp; "!" &amp; "$M$147"),0)</f>
        <v>0</v>
      </c>
      <c r="P71" s="10"/>
      <c r="Q71" s="10"/>
      <c r="R71" s="10"/>
      <c r="S71" s="10"/>
      <c r="T71" s="10"/>
      <c r="U71" s="10"/>
      <c r="V71" s="10"/>
      <c r="W71" s="10"/>
      <c r="X71" s="10"/>
      <c r="Y71" s="10"/>
      <c r="Z71" s="10"/>
      <c r="AA71" s="10"/>
      <c r="AB71" s="10"/>
      <c r="AC71" s="10"/>
      <c r="AD71" s="10"/>
      <c r="AE71" s="10"/>
      <c r="AF71" s="10"/>
      <c r="AG71" s="10"/>
      <c r="AJ71" s="26"/>
      <c r="AK71" s="26"/>
      <c r="AL71" s="38"/>
      <c r="AM71" s="22"/>
      <c r="AN71" s="22"/>
      <c r="AO71" s="22"/>
      <c r="AP71" s="22"/>
      <c r="AQ71" s="22"/>
    </row>
    <row r="72" spans="1:43" x14ac:dyDescent="0.25">
      <c r="A72" s="23"/>
      <c r="B72" s="33"/>
      <c r="C72" s="28"/>
      <c r="E72" s="905" t="s">
        <v>562</v>
      </c>
      <c r="F72" s="610"/>
      <c r="G72" s="129">
        <f t="shared" ca="1" si="34"/>
        <v>0</v>
      </c>
      <c r="H72" s="131">
        <f t="shared" ca="1" si="35"/>
        <v>0</v>
      </c>
      <c r="P72" s="10"/>
      <c r="Q72" s="10"/>
      <c r="R72" s="10"/>
      <c r="S72" s="10"/>
      <c r="T72" s="10"/>
      <c r="U72" s="10"/>
      <c r="V72" s="10"/>
      <c r="W72" s="10"/>
      <c r="X72" s="10"/>
      <c r="Y72" s="10"/>
      <c r="Z72" s="10"/>
      <c r="AA72" s="10"/>
      <c r="AB72" s="10"/>
      <c r="AC72" s="10"/>
      <c r="AD72" s="10"/>
      <c r="AE72" s="10"/>
      <c r="AF72" s="10"/>
      <c r="AG72" s="10"/>
      <c r="AJ72" s="26"/>
      <c r="AK72" s="26"/>
      <c r="AL72" s="38"/>
      <c r="AM72" s="22"/>
      <c r="AN72" s="22"/>
      <c r="AO72" s="22"/>
      <c r="AP72" s="22"/>
      <c r="AQ72" s="22"/>
    </row>
    <row r="73" spans="1:43" x14ac:dyDescent="0.25">
      <c r="A73" s="23"/>
      <c r="B73" s="33"/>
      <c r="C73" s="28"/>
      <c r="E73" s="905" t="s">
        <v>563</v>
      </c>
      <c r="F73" s="610"/>
      <c r="G73" s="129">
        <f t="shared" ca="1" si="34"/>
        <v>0</v>
      </c>
      <c r="H73" s="131">
        <f t="shared" ca="1" si="35"/>
        <v>0</v>
      </c>
      <c r="P73" s="10"/>
      <c r="Q73" s="10"/>
      <c r="R73" s="10"/>
      <c r="S73" s="10"/>
      <c r="T73" s="10"/>
      <c r="U73" s="10"/>
      <c r="V73" s="10"/>
      <c r="W73" s="10"/>
      <c r="X73" s="10"/>
      <c r="Y73" s="10"/>
      <c r="Z73" s="10"/>
      <c r="AA73" s="10"/>
      <c r="AB73" s="10"/>
      <c r="AC73" s="10"/>
      <c r="AD73" s="10"/>
      <c r="AE73" s="10"/>
      <c r="AF73" s="10"/>
      <c r="AG73" s="10"/>
      <c r="AJ73" s="26"/>
      <c r="AK73" s="26"/>
      <c r="AL73" s="38"/>
      <c r="AM73" s="22"/>
      <c r="AN73" s="22"/>
      <c r="AO73" s="22"/>
      <c r="AP73" s="22"/>
      <c r="AQ73" s="22"/>
    </row>
    <row r="74" spans="1:43" x14ac:dyDescent="0.25">
      <c r="A74" s="23"/>
      <c r="B74" s="33"/>
      <c r="C74" s="28"/>
      <c r="E74" s="905" t="s">
        <v>564</v>
      </c>
      <c r="F74" s="610"/>
      <c r="G74" s="129">
        <f t="shared" ca="1" si="34"/>
        <v>0</v>
      </c>
      <c r="H74" s="131">
        <f t="shared" ca="1" si="35"/>
        <v>0</v>
      </c>
      <c r="P74" s="10"/>
      <c r="Q74" s="10"/>
      <c r="R74" s="10"/>
      <c r="S74" s="10"/>
      <c r="T74" s="10"/>
      <c r="U74" s="10"/>
      <c r="V74" s="10"/>
      <c r="W74" s="10"/>
      <c r="X74" s="10"/>
      <c r="Y74" s="10"/>
      <c r="Z74" s="10"/>
      <c r="AA74" s="10"/>
      <c r="AB74" s="10"/>
      <c r="AC74" s="10"/>
      <c r="AD74" s="10"/>
      <c r="AE74" s="10"/>
      <c r="AF74" s="10"/>
      <c r="AG74" s="10"/>
      <c r="AJ74" s="26"/>
      <c r="AK74" s="26"/>
      <c r="AL74" s="38"/>
      <c r="AM74" s="22"/>
      <c r="AN74" s="22"/>
      <c r="AO74" s="22"/>
      <c r="AP74" s="22"/>
      <c r="AQ74" s="22"/>
    </row>
    <row r="75" spans="1:43" x14ac:dyDescent="0.25">
      <c r="A75" s="23"/>
      <c r="B75" s="33"/>
      <c r="C75" s="28"/>
      <c r="E75" s="905" t="s">
        <v>565</v>
      </c>
      <c r="F75" s="610"/>
      <c r="G75" s="129">
        <f t="shared" ca="1" si="34"/>
        <v>0</v>
      </c>
      <c r="H75" s="131">
        <f t="shared" ca="1" si="35"/>
        <v>0</v>
      </c>
      <c r="P75" s="10"/>
      <c r="Q75" s="10"/>
      <c r="R75" s="10"/>
      <c r="S75" s="10"/>
      <c r="T75" s="10"/>
      <c r="U75" s="10"/>
      <c r="V75" s="10"/>
      <c r="W75" s="10"/>
      <c r="X75" s="10"/>
      <c r="Y75" s="10"/>
      <c r="Z75" s="10"/>
      <c r="AA75" s="10"/>
      <c r="AB75" s="10"/>
      <c r="AC75" s="10"/>
      <c r="AD75" s="10"/>
      <c r="AE75" s="10"/>
      <c r="AF75" s="10"/>
      <c r="AG75" s="10"/>
      <c r="AJ75" s="26"/>
      <c r="AK75" s="26"/>
      <c r="AL75" s="38"/>
      <c r="AM75" s="22"/>
      <c r="AN75" s="22"/>
      <c r="AO75" s="22"/>
      <c r="AP75" s="22"/>
      <c r="AQ75" s="22"/>
    </row>
    <row r="76" spans="1:43" x14ac:dyDescent="0.25">
      <c r="A76" s="23"/>
      <c r="B76" s="33"/>
      <c r="C76" s="28"/>
      <c r="E76" s="905" t="s">
        <v>566</v>
      </c>
      <c r="F76" s="610"/>
      <c r="G76" s="129">
        <f t="shared" ca="1" si="34"/>
        <v>0</v>
      </c>
      <c r="H76" s="131">
        <f t="shared" ca="1" si="35"/>
        <v>0</v>
      </c>
      <c r="P76" s="10"/>
      <c r="Q76" s="10"/>
      <c r="R76" s="10"/>
      <c r="S76" s="10"/>
      <c r="T76" s="10"/>
      <c r="U76" s="10"/>
      <c r="V76" s="10"/>
      <c r="W76" s="10"/>
      <c r="X76" s="10"/>
      <c r="Y76" s="10"/>
      <c r="Z76" s="10"/>
      <c r="AA76" s="10"/>
      <c r="AB76" s="10"/>
      <c r="AC76" s="10"/>
      <c r="AD76" s="10"/>
      <c r="AE76" s="10"/>
      <c r="AF76" s="10"/>
      <c r="AG76" s="10"/>
      <c r="AJ76" s="26"/>
      <c r="AK76" s="26"/>
      <c r="AL76" s="38"/>
      <c r="AM76" s="22"/>
      <c r="AN76" s="22"/>
      <c r="AO76" s="22"/>
      <c r="AP76" s="22"/>
      <c r="AQ76" s="22"/>
    </row>
    <row r="77" spans="1:43" x14ac:dyDescent="0.25">
      <c r="A77" s="23"/>
      <c r="B77" s="33"/>
      <c r="C77" s="28"/>
      <c r="E77" s="905" t="s">
        <v>567</v>
      </c>
      <c r="F77" s="610"/>
      <c r="G77" s="129">
        <f t="shared" ca="1" si="34"/>
        <v>0</v>
      </c>
      <c r="H77" s="131">
        <f t="shared" ca="1" si="35"/>
        <v>0</v>
      </c>
      <c r="P77" s="10"/>
      <c r="Q77" s="10"/>
      <c r="R77" s="10"/>
      <c r="S77" s="10"/>
      <c r="T77" s="10"/>
      <c r="U77" s="10"/>
      <c r="V77" s="10"/>
      <c r="W77" s="10"/>
      <c r="X77" s="10"/>
      <c r="Y77" s="10"/>
      <c r="Z77" s="10"/>
      <c r="AA77" s="10"/>
      <c r="AB77" s="10"/>
      <c r="AC77" s="10"/>
      <c r="AD77" s="10"/>
      <c r="AE77" s="10"/>
      <c r="AF77" s="10"/>
      <c r="AG77" s="10"/>
      <c r="AJ77" s="26"/>
      <c r="AK77" s="26"/>
      <c r="AL77" s="38"/>
      <c r="AM77" s="22"/>
      <c r="AN77" s="22"/>
      <c r="AO77" s="22"/>
      <c r="AP77" s="22"/>
      <c r="AQ77" s="22"/>
    </row>
    <row r="78" spans="1:43" ht="13" x14ac:dyDescent="0.3">
      <c r="A78" s="23"/>
      <c r="B78" s="33"/>
      <c r="C78" s="28"/>
      <c r="E78" s="499" t="s">
        <v>105</v>
      </c>
      <c r="F78" s="497"/>
      <c r="G78" s="497"/>
      <c r="H78" s="498"/>
      <c r="P78" s="10"/>
      <c r="Q78" s="10"/>
      <c r="R78" s="10"/>
      <c r="S78" s="10"/>
      <c r="T78" s="10"/>
      <c r="U78" s="10"/>
      <c r="V78" s="10"/>
      <c r="W78" s="10"/>
      <c r="X78" s="10"/>
      <c r="Y78" s="10"/>
      <c r="Z78" s="10"/>
      <c r="AA78" s="10"/>
      <c r="AB78" s="10"/>
      <c r="AC78" s="10"/>
      <c r="AD78" s="10"/>
      <c r="AE78" s="10"/>
      <c r="AF78" s="10"/>
      <c r="AG78" s="10"/>
      <c r="AJ78" s="26"/>
      <c r="AK78" s="26"/>
      <c r="AL78" s="38"/>
      <c r="AM78" s="22"/>
      <c r="AN78" s="22"/>
      <c r="AO78" s="22"/>
      <c r="AP78" s="22"/>
      <c r="AQ78" s="22"/>
    </row>
    <row r="79" spans="1:43" x14ac:dyDescent="0.25">
      <c r="A79" s="23"/>
      <c r="B79" s="33"/>
      <c r="C79" s="28"/>
      <c r="E79" s="905" t="s">
        <v>568</v>
      </c>
      <c r="F79" s="610"/>
      <c r="G79" s="129">
        <f>O60</f>
        <v>5.0555484787500005</v>
      </c>
      <c r="H79" s="131">
        <f>T60</f>
        <v>0.13576752276819248</v>
      </c>
      <c r="P79" s="10"/>
      <c r="Q79" s="10"/>
      <c r="R79" s="10"/>
      <c r="S79" s="10"/>
      <c r="T79" s="10"/>
      <c r="U79" s="10"/>
      <c r="V79" s="10"/>
      <c r="W79" s="10"/>
      <c r="X79" s="10"/>
      <c r="Y79" s="10"/>
      <c r="Z79" s="10"/>
      <c r="AA79" s="10"/>
      <c r="AB79" s="10"/>
      <c r="AC79" s="10"/>
      <c r="AD79" s="10"/>
      <c r="AE79" s="10"/>
      <c r="AF79" s="10"/>
      <c r="AG79" s="10"/>
      <c r="AJ79" s="26"/>
      <c r="AK79" s="26"/>
      <c r="AL79" s="38"/>
      <c r="AM79" s="22"/>
      <c r="AN79" s="22"/>
      <c r="AO79" s="22"/>
      <c r="AP79" s="22"/>
      <c r="AQ79" s="22"/>
    </row>
    <row r="80" spans="1:43" x14ac:dyDescent="0.25">
      <c r="A80" s="23"/>
      <c r="B80" s="33"/>
      <c r="C80" s="28"/>
      <c r="E80" s="968" t="s">
        <v>569</v>
      </c>
      <c r="F80" s="965"/>
      <c r="G80" s="129">
        <f t="shared" ref="G80:G86" ca="1" si="36">IFERROR(INDIRECT(E80 &amp; "!" &amp; "$F$170"),0)</f>
        <v>0</v>
      </c>
      <c r="H80" s="131">
        <f t="shared" ref="H80:H86" ca="1" si="37">IFERROR(INDIRECT(E80 &amp; "!" &amp; "$F$171"),0)</f>
        <v>0</v>
      </c>
      <c r="P80" s="10"/>
      <c r="Q80" s="10"/>
      <c r="R80" s="10"/>
      <c r="S80" s="10"/>
      <c r="T80" s="10"/>
      <c r="U80" s="10"/>
      <c r="V80" s="10"/>
      <c r="W80" s="10"/>
      <c r="X80" s="10"/>
      <c r="Y80" s="10"/>
      <c r="Z80" s="10"/>
      <c r="AA80" s="10"/>
      <c r="AB80" s="10"/>
      <c r="AC80" s="10"/>
      <c r="AD80" s="10"/>
      <c r="AE80" s="10"/>
      <c r="AF80" s="10"/>
      <c r="AG80" s="10"/>
      <c r="AJ80" s="26"/>
      <c r="AK80" s="26"/>
      <c r="AL80" s="38"/>
      <c r="AM80" s="22"/>
      <c r="AN80" s="22"/>
      <c r="AO80" s="22"/>
      <c r="AP80" s="22"/>
      <c r="AQ80" s="22"/>
    </row>
    <row r="81" spans="1:43" x14ac:dyDescent="0.25">
      <c r="A81" s="23"/>
      <c r="B81" s="33"/>
      <c r="C81" s="28"/>
      <c r="E81" s="968" t="s">
        <v>570</v>
      </c>
      <c r="F81" s="965"/>
      <c r="G81" s="129">
        <f t="shared" ca="1" si="36"/>
        <v>0</v>
      </c>
      <c r="H81" s="131">
        <f t="shared" ca="1" si="37"/>
        <v>0</v>
      </c>
      <c r="P81" s="10"/>
      <c r="Q81" s="10"/>
      <c r="R81" s="10"/>
      <c r="S81" s="10"/>
      <c r="T81" s="10"/>
      <c r="U81" s="10"/>
      <c r="V81" s="10"/>
      <c r="W81" s="10"/>
      <c r="X81" s="10"/>
      <c r="Y81" s="10"/>
      <c r="Z81" s="10"/>
      <c r="AA81" s="10"/>
      <c r="AB81" s="10"/>
      <c r="AC81" s="10"/>
      <c r="AD81" s="10"/>
      <c r="AE81" s="10"/>
      <c r="AF81" s="10"/>
      <c r="AG81" s="10"/>
      <c r="AJ81" s="26"/>
      <c r="AK81" s="26"/>
      <c r="AL81" s="38"/>
      <c r="AM81" s="22"/>
      <c r="AN81" s="22"/>
      <c r="AO81" s="22"/>
      <c r="AP81" s="22"/>
      <c r="AQ81" s="22"/>
    </row>
    <row r="82" spans="1:43" x14ac:dyDescent="0.25">
      <c r="A82" s="23"/>
      <c r="B82" s="33"/>
      <c r="C82" s="28"/>
      <c r="E82" s="968" t="s">
        <v>571</v>
      </c>
      <c r="F82" s="965"/>
      <c r="G82" s="129">
        <f t="shared" ca="1" si="36"/>
        <v>0</v>
      </c>
      <c r="H82" s="131">
        <f t="shared" ca="1" si="37"/>
        <v>0</v>
      </c>
      <c r="P82" s="10"/>
      <c r="Q82" s="10"/>
      <c r="R82" s="10"/>
      <c r="S82" s="10"/>
      <c r="T82" s="10"/>
      <c r="U82" s="10"/>
      <c r="V82" s="10"/>
      <c r="W82" s="10"/>
      <c r="X82" s="10"/>
      <c r="Y82" s="10"/>
      <c r="Z82" s="10"/>
      <c r="AA82" s="10"/>
      <c r="AB82" s="10"/>
      <c r="AC82" s="10"/>
      <c r="AD82" s="10"/>
      <c r="AE82" s="10"/>
      <c r="AF82" s="10"/>
      <c r="AG82" s="10"/>
      <c r="AJ82" s="26"/>
      <c r="AK82" s="26"/>
      <c r="AL82" s="38"/>
      <c r="AM82" s="22"/>
      <c r="AN82" s="22"/>
      <c r="AO82" s="22"/>
      <c r="AP82" s="22"/>
      <c r="AQ82" s="22"/>
    </row>
    <row r="83" spans="1:43" x14ac:dyDescent="0.25">
      <c r="A83" s="23"/>
      <c r="B83" s="33"/>
      <c r="C83" s="28"/>
      <c r="E83" s="968" t="s">
        <v>572</v>
      </c>
      <c r="F83" s="965"/>
      <c r="G83" s="129">
        <f t="shared" ca="1" si="36"/>
        <v>0</v>
      </c>
      <c r="H83" s="131">
        <f t="shared" ca="1" si="37"/>
        <v>0</v>
      </c>
      <c r="P83" s="10"/>
      <c r="Q83" s="10"/>
      <c r="R83" s="10"/>
      <c r="S83" s="10"/>
      <c r="T83" s="10"/>
      <c r="U83" s="10"/>
      <c r="V83" s="10"/>
      <c r="W83" s="10"/>
      <c r="X83" s="10"/>
      <c r="Y83" s="10"/>
      <c r="Z83" s="10"/>
      <c r="AA83" s="10"/>
      <c r="AB83" s="10"/>
      <c r="AC83" s="10"/>
      <c r="AD83" s="10"/>
      <c r="AE83" s="10"/>
      <c r="AF83" s="10"/>
      <c r="AG83" s="10"/>
      <c r="AJ83" s="26"/>
      <c r="AK83" s="26"/>
      <c r="AL83" s="38"/>
      <c r="AM83" s="22"/>
      <c r="AN83" s="22"/>
      <c r="AO83" s="22"/>
      <c r="AP83" s="22"/>
      <c r="AQ83" s="22"/>
    </row>
    <row r="84" spans="1:43" x14ac:dyDescent="0.25">
      <c r="A84" s="23"/>
      <c r="B84" s="33"/>
      <c r="C84" s="28"/>
      <c r="E84" s="968" t="s">
        <v>573</v>
      </c>
      <c r="F84" s="965"/>
      <c r="G84" s="129">
        <f t="shared" ca="1" si="36"/>
        <v>0</v>
      </c>
      <c r="H84" s="131">
        <f t="shared" ca="1" si="37"/>
        <v>0</v>
      </c>
      <c r="P84" s="10"/>
      <c r="Q84" s="10"/>
      <c r="R84" s="10"/>
      <c r="S84" s="10"/>
      <c r="T84" s="10"/>
      <c r="U84" s="10"/>
      <c r="V84" s="10"/>
      <c r="W84" s="10"/>
      <c r="X84" s="10"/>
      <c r="Y84" s="10"/>
      <c r="Z84" s="10"/>
      <c r="AA84" s="10"/>
      <c r="AB84" s="10"/>
      <c r="AC84" s="10"/>
      <c r="AD84" s="10"/>
      <c r="AE84" s="10"/>
      <c r="AF84" s="10"/>
      <c r="AG84" s="10"/>
      <c r="AJ84" s="26"/>
      <c r="AK84" s="26"/>
      <c r="AL84" s="38"/>
      <c r="AM84" s="22"/>
      <c r="AN84" s="22"/>
      <c r="AO84" s="22"/>
      <c r="AP84" s="22"/>
      <c r="AQ84" s="22"/>
    </row>
    <row r="85" spans="1:43" x14ac:dyDescent="0.25">
      <c r="A85" s="23"/>
      <c r="B85" s="33"/>
      <c r="C85" s="28"/>
      <c r="E85" s="905" t="s">
        <v>574</v>
      </c>
      <c r="F85" s="610"/>
      <c r="G85" s="129">
        <f t="shared" ca="1" si="36"/>
        <v>0</v>
      </c>
      <c r="H85" s="41">
        <f t="shared" ca="1" si="37"/>
        <v>0</v>
      </c>
      <c r="P85" s="10"/>
      <c r="Q85" s="10"/>
      <c r="R85" s="10"/>
      <c r="S85" s="10"/>
      <c r="T85" s="10"/>
      <c r="U85" s="10"/>
      <c r="V85" s="10"/>
      <c r="W85" s="10"/>
      <c r="X85" s="10"/>
      <c r="Y85" s="10"/>
      <c r="Z85" s="10"/>
      <c r="AA85" s="10"/>
      <c r="AB85" s="10"/>
      <c r="AC85" s="10"/>
      <c r="AD85" s="10"/>
      <c r="AE85" s="10"/>
      <c r="AF85" s="10"/>
      <c r="AG85" s="10"/>
      <c r="AJ85" s="26"/>
      <c r="AK85" s="26"/>
      <c r="AL85" s="38"/>
      <c r="AM85" s="22"/>
      <c r="AN85" s="22"/>
      <c r="AO85" s="22"/>
      <c r="AP85" s="22"/>
      <c r="AQ85" s="22"/>
    </row>
    <row r="86" spans="1:43" ht="13" thickBot="1" x14ac:dyDescent="0.3">
      <c r="A86" s="23"/>
      <c r="B86" s="33"/>
      <c r="C86" s="28"/>
      <c r="E86" s="963" t="s">
        <v>575</v>
      </c>
      <c r="F86" s="964"/>
      <c r="G86" s="130">
        <f t="shared" ca="1" si="36"/>
        <v>0</v>
      </c>
      <c r="H86" s="168">
        <f t="shared" ca="1" si="37"/>
        <v>0</v>
      </c>
      <c r="P86" s="10"/>
      <c r="Q86" s="10"/>
      <c r="R86" s="10"/>
      <c r="S86" s="10"/>
      <c r="T86" s="10"/>
      <c r="U86" s="10"/>
      <c r="V86" s="10"/>
      <c r="W86" s="10"/>
      <c r="X86" s="10"/>
      <c r="Y86" s="10"/>
      <c r="Z86" s="10"/>
      <c r="AA86" s="10"/>
      <c r="AB86" s="10"/>
      <c r="AC86" s="10"/>
      <c r="AD86" s="10"/>
      <c r="AE86" s="10"/>
      <c r="AF86" s="10"/>
      <c r="AG86" s="10"/>
      <c r="AJ86" s="26"/>
      <c r="AK86" s="26"/>
      <c r="AL86" s="38"/>
      <c r="AM86" s="22"/>
      <c r="AN86" s="22"/>
      <c r="AO86" s="22"/>
      <c r="AP86" s="22"/>
      <c r="AQ86" s="22"/>
    </row>
    <row r="87" spans="1:43" ht="13.5" thickTop="1" thickBot="1" x14ac:dyDescent="0.3">
      <c r="A87" s="23"/>
      <c r="B87" s="33"/>
      <c r="C87" s="28"/>
      <c r="E87" s="985" t="s">
        <v>101</v>
      </c>
      <c r="F87" s="986"/>
      <c r="G87" s="132">
        <f ca="1">SUM($G$70:$G$77,$G$79:$G$86)</f>
        <v>5.6634650695636664</v>
      </c>
      <c r="H87" s="133">
        <f ca="1">SUM($H$70:$H$77,$H$79:$H$86)</f>
        <v>0.17912614976847363</v>
      </c>
      <c r="P87" s="10"/>
      <c r="Q87" s="10"/>
      <c r="R87" s="10"/>
      <c r="S87" s="10"/>
      <c r="T87" s="10"/>
      <c r="U87" s="10"/>
      <c r="V87" s="10"/>
      <c r="W87" s="10"/>
      <c r="X87" s="10"/>
      <c r="Y87" s="10"/>
      <c r="Z87" s="10"/>
      <c r="AA87" s="10"/>
      <c r="AB87" s="10"/>
      <c r="AC87" s="10"/>
      <c r="AD87" s="10"/>
      <c r="AE87" s="10"/>
      <c r="AF87" s="10"/>
      <c r="AG87" s="10"/>
      <c r="AJ87" s="26"/>
      <c r="AK87" s="26"/>
      <c r="AL87" s="38"/>
      <c r="AM87" s="22"/>
      <c r="AN87" s="22"/>
      <c r="AO87" s="22"/>
      <c r="AP87" s="22"/>
      <c r="AQ87" s="22"/>
    </row>
    <row r="88" spans="1:43" x14ac:dyDescent="0.25">
      <c r="A88" s="23"/>
      <c r="B88" s="33"/>
      <c r="C88" s="28"/>
      <c r="D88" s="28"/>
      <c r="F88" s="23"/>
      <c r="H88" s="23"/>
      <c r="K88" s="44"/>
      <c r="L88" s="44"/>
      <c r="M88" s="44"/>
      <c r="P88" s="10"/>
      <c r="Q88" s="10"/>
      <c r="R88" s="10"/>
      <c r="S88" s="10"/>
      <c r="T88" s="10"/>
      <c r="U88" s="10"/>
      <c r="V88" s="10"/>
      <c r="W88" s="10"/>
      <c r="X88" s="10"/>
      <c r="Y88" s="10"/>
      <c r="Z88" s="10"/>
      <c r="AA88" s="10"/>
      <c r="AB88" s="10"/>
      <c r="AC88" s="10"/>
      <c r="AD88" s="10"/>
      <c r="AE88" s="10"/>
      <c r="AF88" s="10"/>
      <c r="AG88" s="10"/>
      <c r="AJ88" s="26"/>
      <c r="AK88" s="26"/>
      <c r="AL88" s="38"/>
      <c r="AM88" s="22"/>
      <c r="AN88" s="22"/>
      <c r="AO88" s="22"/>
      <c r="AP88" s="22"/>
      <c r="AQ88" s="22"/>
    </row>
    <row r="89" spans="1:43" ht="13" x14ac:dyDescent="0.25">
      <c r="A89" s="32"/>
      <c r="B89" s="33"/>
      <c r="C89" s="54"/>
      <c r="D89" s="32"/>
      <c r="E89" s="32"/>
      <c r="F89" s="32"/>
      <c r="G89" s="1"/>
      <c r="H89" s="32"/>
      <c r="K89" s="44"/>
      <c r="L89" s="44"/>
      <c r="M89" s="44"/>
      <c r="P89" s="10"/>
      <c r="Q89" s="10"/>
      <c r="R89" s="10"/>
      <c r="S89" s="10"/>
      <c r="T89" s="10"/>
      <c r="U89" s="10"/>
      <c r="V89" s="10"/>
      <c r="W89" s="10"/>
      <c r="X89" s="10"/>
      <c r="Y89" s="10"/>
      <c r="Z89" s="10"/>
      <c r="AA89" s="10"/>
      <c r="AB89" s="10"/>
      <c r="AC89" s="10"/>
      <c r="AD89" s="10"/>
      <c r="AE89" s="10"/>
      <c r="AF89" s="10"/>
      <c r="AG89" s="10"/>
      <c r="AJ89" s="57"/>
      <c r="AK89" s="57"/>
      <c r="AL89" s="17"/>
      <c r="AM89" s="17"/>
      <c r="AN89" s="17"/>
      <c r="AO89" s="17"/>
      <c r="AP89" s="17"/>
      <c r="AQ89" s="17"/>
    </row>
    <row r="90" spans="1:43" ht="13" thickBot="1" x14ac:dyDescent="0.3">
      <c r="B90" s="33"/>
      <c r="C90" s="21"/>
      <c r="D90" s="1"/>
      <c r="E90" s="1"/>
      <c r="K90" s="44"/>
      <c r="L90" s="44"/>
      <c r="M90" s="44"/>
      <c r="P90" s="10"/>
      <c r="Q90" s="10"/>
      <c r="R90" s="10"/>
      <c r="S90" s="10"/>
      <c r="T90" s="10"/>
      <c r="U90" s="10"/>
      <c r="V90" s="10"/>
      <c r="W90" s="10"/>
      <c r="X90" s="10"/>
      <c r="Y90" s="10"/>
      <c r="Z90" s="10"/>
      <c r="AA90" s="10"/>
      <c r="AB90" s="10"/>
      <c r="AC90" s="10"/>
      <c r="AD90" s="10"/>
      <c r="AE90" s="10"/>
      <c r="AF90" s="10"/>
      <c r="AG90" s="10"/>
      <c r="AJ90" s="9"/>
      <c r="AK90" s="17"/>
      <c r="AL90" s="17"/>
      <c r="AM90" s="17"/>
      <c r="AN90" s="17"/>
      <c r="AO90" s="17"/>
      <c r="AP90" s="17"/>
      <c r="AQ90" s="17"/>
    </row>
    <row r="91" spans="1:43" ht="13.5" customHeight="1" thickTop="1" x14ac:dyDescent="0.25">
      <c r="A91" s="969" t="s">
        <v>457</v>
      </c>
      <c r="B91" s="969"/>
      <c r="C91" s="969"/>
      <c r="D91" s="969"/>
      <c r="E91" s="969"/>
      <c r="F91" s="969"/>
      <c r="G91" s="969"/>
      <c r="H91" s="969"/>
      <c r="I91" s="969"/>
      <c r="J91" s="969"/>
      <c r="K91" s="387"/>
      <c r="L91" s="387"/>
      <c r="M91" s="387"/>
      <c r="N91" s="387"/>
      <c r="P91" s="10"/>
      <c r="Q91" s="10"/>
      <c r="R91" s="10"/>
      <c r="S91" s="10"/>
      <c r="T91" s="10"/>
      <c r="U91" s="10"/>
      <c r="V91" s="10"/>
      <c r="W91" s="10"/>
      <c r="X91" s="10"/>
      <c r="Y91" s="10"/>
      <c r="Z91" s="10"/>
      <c r="AA91" s="10"/>
      <c r="AB91" s="10"/>
      <c r="AC91" s="10"/>
      <c r="AD91" s="10"/>
      <c r="AE91" s="10"/>
      <c r="AF91" s="10"/>
      <c r="AG91" s="10"/>
      <c r="AJ91" s="64"/>
      <c r="AK91" s="57"/>
      <c r="AL91" s="17"/>
      <c r="AM91" s="17"/>
      <c r="AN91" s="17"/>
      <c r="AO91" s="17"/>
      <c r="AP91" s="17"/>
      <c r="AQ91" s="17"/>
    </row>
    <row r="92" spans="1:43" ht="13" thickBot="1" x14ac:dyDescent="0.3">
      <c r="A92" s="925"/>
      <c r="B92" s="925"/>
      <c r="C92" s="925"/>
      <c r="D92" s="925"/>
      <c r="E92" s="925"/>
      <c r="F92" s="925"/>
      <c r="G92" s="925"/>
      <c r="H92" s="925"/>
      <c r="I92" s="925"/>
      <c r="J92" s="925"/>
      <c r="K92" s="387"/>
      <c r="L92" s="387"/>
      <c r="M92" s="387"/>
      <c r="N92" s="387"/>
      <c r="P92" s="10"/>
      <c r="Q92" s="10"/>
      <c r="R92" s="10"/>
      <c r="S92" s="10"/>
      <c r="T92" s="10"/>
      <c r="U92" s="10"/>
      <c r="V92" s="10"/>
      <c r="W92" s="10"/>
      <c r="X92" s="10"/>
      <c r="Y92" s="10"/>
      <c r="Z92" s="10"/>
      <c r="AA92" s="10"/>
      <c r="AB92" s="10"/>
      <c r="AC92" s="10"/>
      <c r="AD92" s="10"/>
      <c r="AE92" s="10"/>
      <c r="AF92" s="10"/>
      <c r="AG92" s="10"/>
      <c r="AJ92" s="17"/>
      <c r="AK92" s="17"/>
      <c r="AL92" s="17"/>
      <c r="AM92" s="17"/>
      <c r="AN92" s="17"/>
      <c r="AO92" s="17"/>
      <c r="AP92" s="17"/>
      <c r="AQ92" s="17"/>
    </row>
    <row r="93" spans="1:43" ht="13" x14ac:dyDescent="0.3">
      <c r="A93" s="989" t="s">
        <v>16</v>
      </c>
      <c r="B93" s="981"/>
      <c r="C93" s="980" t="s">
        <v>17</v>
      </c>
      <c r="D93" s="981"/>
      <c r="E93" s="980" t="s">
        <v>18</v>
      </c>
      <c r="F93" s="981"/>
      <c r="G93" s="980" t="s">
        <v>19</v>
      </c>
      <c r="H93" s="981"/>
      <c r="I93" s="980" t="s">
        <v>20</v>
      </c>
      <c r="J93" s="981"/>
      <c r="K93" s="386"/>
      <c r="L93" s="28"/>
      <c r="M93" s="28"/>
      <c r="N93" s="28"/>
      <c r="O93" s="1"/>
      <c r="P93" s="1"/>
      <c r="Q93" s="1"/>
      <c r="R93" s="1"/>
      <c r="S93" s="1"/>
      <c r="T93" s="1"/>
      <c r="U93" s="1"/>
      <c r="V93" s="1"/>
      <c r="W93" s="1"/>
      <c r="X93" s="1"/>
      <c r="Y93" s="5"/>
      <c r="Z93" s="5"/>
      <c r="AA93" s="5"/>
      <c r="AB93" s="5"/>
      <c r="AC93" s="5"/>
      <c r="AD93" s="5"/>
      <c r="AE93" s="5"/>
      <c r="AF93" s="5"/>
      <c r="AG93" s="5"/>
      <c r="AJ93" s="17"/>
      <c r="AK93" s="17"/>
      <c r="AL93" s="17"/>
      <c r="AM93" s="17"/>
      <c r="AN93" s="17"/>
      <c r="AO93" s="17"/>
      <c r="AP93" s="17"/>
      <c r="AQ93" s="17"/>
    </row>
    <row r="94" spans="1:43" ht="47.25" customHeight="1" x14ac:dyDescent="0.4">
      <c r="A94" s="987" t="s">
        <v>39</v>
      </c>
      <c r="B94" s="988"/>
      <c r="C94" s="982" t="s">
        <v>1319</v>
      </c>
      <c r="D94" s="983"/>
      <c r="E94" s="990" t="s">
        <v>1320</v>
      </c>
      <c r="F94" s="991"/>
      <c r="G94" s="990" t="s">
        <v>1308</v>
      </c>
      <c r="H94" s="991"/>
      <c r="I94" s="995" t="s">
        <v>1317</v>
      </c>
      <c r="J94" s="1000"/>
      <c r="K94" s="388"/>
      <c r="L94" s="36"/>
      <c r="M94" s="36"/>
      <c r="N94" s="36"/>
      <c r="P94" s="10"/>
      <c r="Q94" s="10"/>
      <c r="R94" s="10"/>
      <c r="S94" s="10"/>
      <c r="T94" s="10"/>
      <c r="U94" s="10"/>
      <c r="V94" s="10"/>
      <c r="W94" s="10"/>
      <c r="X94" s="10"/>
      <c r="Y94" s="10"/>
      <c r="Z94" s="10"/>
      <c r="AA94" s="10"/>
      <c r="AB94" s="10"/>
      <c r="AC94" s="10"/>
      <c r="AD94" s="10"/>
      <c r="AE94" s="10"/>
      <c r="AF94" s="10"/>
      <c r="AG94" s="10"/>
      <c r="AJ94" s="17"/>
      <c r="AK94" s="17"/>
      <c r="AL94" s="17"/>
      <c r="AM94" s="17"/>
      <c r="AN94" s="17"/>
      <c r="AO94" s="17"/>
      <c r="AP94" s="17"/>
      <c r="AQ94" s="17"/>
    </row>
    <row r="95" spans="1:43" ht="15.5" x14ac:dyDescent="0.25">
      <c r="A95" s="973" t="s">
        <v>31</v>
      </c>
      <c r="B95" s="974"/>
      <c r="C95" s="959" t="s">
        <v>465</v>
      </c>
      <c r="D95" s="960"/>
      <c r="E95" s="959" t="s">
        <v>459</v>
      </c>
      <c r="F95" s="960"/>
      <c r="G95" s="959" t="s">
        <v>460</v>
      </c>
      <c r="H95" s="960"/>
      <c r="I95" s="959" t="s">
        <v>274</v>
      </c>
      <c r="J95" s="984"/>
      <c r="K95" s="389"/>
      <c r="L95" s="50"/>
      <c r="M95" s="50"/>
      <c r="N95" s="50"/>
      <c r="P95" s="46"/>
      <c r="Q95" s="10"/>
      <c r="R95" s="10"/>
      <c r="S95" s="10"/>
      <c r="T95" s="10"/>
      <c r="U95" s="10"/>
      <c r="V95" s="10"/>
      <c r="W95" s="10"/>
      <c r="X95" s="10"/>
      <c r="Y95" s="46"/>
      <c r="Z95" s="10"/>
      <c r="AA95" s="10"/>
      <c r="AB95" s="10"/>
      <c r="AC95" s="10"/>
      <c r="AD95" s="10"/>
      <c r="AE95" s="10"/>
      <c r="AF95" s="10"/>
      <c r="AG95" s="10"/>
      <c r="AJ95" s="32"/>
      <c r="AK95" s="27"/>
      <c r="AL95" s="27"/>
      <c r="AM95" s="27"/>
      <c r="AN95" s="27"/>
      <c r="AO95" s="27"/>
      <c r="AP95" s="49"/>
    </row>
    <row r="96" spans="1:43" ht="13" x14ac:dyDescent="0.25">
      <c r="A96" s="975"/>
      <c r="B96" s="976"/>
      <c r="C96" s="503">
        <f ca="1">J61</f>
        <v>3.6801289911326638</v>
      </c>
      <c r="D96" s="613"/>
      <c r="E96" s="961">
        <f ca="1">G87</f>
        <v>5.6634650695636664</v>
      </c>
      <c r="F96" s="962"/>
      <c r="G96" s="961">
        <f ca="1">H87</f>
        <v>0.17912614976847363</v>
      </c>
      <c r="H96" s="999"/>
      <c r="I96" s="503">
        <f ca="1">C96+E96+G96</f>
        <v>9.5227202104648025</v>
      </c>
      <c r="J96" s="872"/>
      <c r="K96" s="390"/>
      <c r="L96" s="24"/>
      <c r="M96" s="24"/>
      <c r="N96" s="24"/>
      <c r="P96" s="46"/>
      <c r="Q96" s="10"/>
      <c r="R96" s="10"/>
      <c r="S96" s="10"/>
      <c r="T96" s="10"/>
      <c r="U96" s="10"/>
      <c r="V96" s="10"/>
      <c r="W96" s="10"/>
      <c r="X96" s="10"/>
      <c r="Y96" s="46"/>
      <c r="Z96" s="10"/>
      <c r="AA96" s="10"/>
      <c r="AB96" s="10"/>
      <c r="AC96" s="10"/>
      <c r="AD96" s="10"/>
      <c r="AE96" s="10"/>
      <c r="AF96" s="10"/>
      <c r="AG96" s="10"/>
      <c r="AJ96" s="32"/>
      <c r="AK96" s="27"/>
      <c r="AL96" s="27"/>
      <c r="AM96" s="27"/>
      <c r="AN96" s="27"/>
      <c r="AO96" s="27"/>
      <c r="AP96" s="49"/>
    </row>
    <row r="97" spans="1:51" ht="15.5" x14ac:dyDescent="0.25">
      <c r="A97" s="973" t="s">
        <v>122</v>
      </c>
      <c r="B97" s="974"/>
      <c r="C97" s="959" t="s">
        <v>1315</v>
      </c>
      <c r="D97" s="984"/>
      <c r="E97" s="959" t="s">
        <v>459</v>
      </c>
      <c r="F97" s="960"/>
      <c r="G97" s="959" t="s">
        <v>460</v>
      </c>
      <c r="H97" s="960"/>
      <c r="I97" s="959" t="s">
        <v>274</v>
      </c>
      <c r="J97" s="984"/>
      <c r="K97" s="389"/>
      <c r="L97" s="50"/>
      <c r="M97" s="50"/>
      <c r="N97" s="50"/>
      <c r="P97" s="46"/>
      <c r="Q97" s="10"/>
      <c r="R97" s="10"/>
      <c r="S97" s="10"/>
      <c r="T97" s="10"/>
      <c r="U97" s="10"/>
      <c r="V97" s="10"/>
      <c r="W97" s="10"/>
      <c r="X97" s="10"/>
      <c r="Y97" s="46"/>
      <c r="Z97" s="10"/>
      <c r="AA97" s="10"/>
      <c r="AB97" s="10"/>
      <c r="AC97" s="10"/>
      <c r="AD97" s="10"/>
      <c r="AE97" s="10"/>
      <c r="AF97" s="10"/>
      <c r="AG97" s="10"/>
      <c r="AJ97" s="32"/>
      <c r="AK97" s="27"/>
      <c r="AL97" s="27"/>
      <c r="AM97" s="27"/>
      <c r="AN97" s="27"/>
      <c r="AO97" s="27"/>
      <c r="AP97" s="49"/>
    </row>
    <row r="98" spans="1:51" ht="13" x14ac:dyDescent="0.3">
      <c r="A98" s="975"/>
      <c r="B98" s="976"/>
      <c r="C98" s="503">
        <f ca="1">J61*(E61/D61)</f>
        <v>1.0555366955424643</v>
      </c>
      <c r="D98" s="613"/>
      <c r="E98" s="995">
        <f ca="1">G87</f>
        <v>5.6634650695636664</v>
      </c>
      <c r="F98" s="996"/>
      <c r="G98" s="995">
        <f ca="1">H87</f>
        <v>0.17912614976847363</v>
      </c>
      <c r="H98" s="1000"/>
      <c r="I98" s="503">
        <f ca="1">C98+E98+G98</f>
        <v>6.8981279148746042</v>
      </c>
      <c r="J98" s="872"/>
      <c r="K98" s="390"/>
      <c r="L98" s="24"/>
      <c r="M98" s="24"/>
      <c r="N98" s="24"/>
      <c r="P98" s="10"/>
      <c r="Q98" s="10"/>
      <c r="R98" s="10"/>
      <c r="S98" s="10"/>
      <c r="T98" s="10"/>
      <c r="U98" s="10"/>
      <c r="V98" s="10"/>
      <c r="W98" s="10"/>
      <c r="X98" s="10"/>
      <c r="Y98" s="10"/>
      <c r="Z98" s="10"/>
      <c r="AA98" s="10"/>
      <c r="AB98" s="10"/>
      <c r="AC98" s="10"/>
      <c r="AD98" s="10"/>
      <c r="AE98" s="10"/>
      <c r="AF98" s="10"/>
      <c r="AG98" s="10"/>
      <c r="AJ98" s="27"/>
      <c r="AK98" s="27"/>
      <c r="AL98" s="27"/>
      <c r="AM98" s="27"/>
      <c r="AN98" s="27"/>
      <c r="AO98" s="27"/>
      <c r="AP98" s="49"/>
      <c r="AQ98" s="35"/>
      <c r="AR98" s="35"/>
      <c r="AS98" s="35"/>
      <c r="AT98" s="35"/>
      <c r="AU98" s="35"/>
      <c r="AV98" s="35"/>
      <c r="AW98" s="35"/>
      <c r="AX98" s="35"/>
      <c r="AY98" s="35"/>
    </row>
    <row r="99" spans="1:51" ht="15.5" x14ac:dyDescent="0.3">
      <c r="A99" s="973" t="s">
        <v>123</v>
      </c>
      <c r="B99" s="977"/>
      <c r="C99" s="959" t="s">
        <v>1316</v>
      </c>
      <c r="D99" s="984"/>
      <c r="E99" s="998" t="s">
        <v>14</v>
      </c>
      <c r="F99" s="960"/>
      <c r="G99" s="998" t="s">
        <v>14</v>
      </c>
      <c r="H99" s="960"/>
      <c r="I99" s="959" t="s">
        <v>274</v>
      </c>
      <c r="J99" s="984"/>
      <c r="K99" s="389"/>
      <c r="L99" s="50"/>
      <c r="M99" s="50"/>
      <c r="N99" s="50"/>
      <c r="P99" s="10"/>
      <c r="Q99" s="10"/>
      <c r="R99" s="10"/>
      <c r="S99" s="10"/>
      <c r="T99" s="10"/>
      <c r="U99" s="10"/>
      <c r="V99" s="10"/>
      <c r="W99" s="10"/>
      <c r="X99" s="10"/>
      <c r="Y99" s="10"/>
      <c r="Z99" s="10"/>
      <c r="AA99" s="10"/>
      <c r="AB99" s="10"/>
      <c r="AC99" s="10"/>
      <c r="AD99" s="10"/>
      <c r="AE99" s="10"/>
      <c r="AF99" s="10"/>
      <c r="AG99" s="10"/>
      <c r="AJ99" s="25"/>
      <c r="AM99" s="5"/>
      <c r="AQ99" s="1"/>
      <c r="AV99" s="1"/>
      <c r="AW99" s="1"/>
      <c r="AX99" s="1"/>
      <c r="AY99" s="1"/>
    </row>
    <row r="100" spans="1:51" ht="13.5" thickBot="1" x14ac:dyDescent="0.35">
      <c r="A100" s="978"/>
      <c r="B100" s="979"/>
      <c r="C100" s="518">
        <f ca="1">J61*(F61/D61)</f>
        <v>2.6245922955901988</v>
      </c>
      <c r="D100" s="520"/>
      <c r="E100" s="997">
        <v>0</v>
      </c>
      <c r="F100" s="517"/>
      <c r="G100" s="997">
        <v>0</v>
      </c>
      <c r="H100" s="517"/>
      <c r="I100" s="518">
        <f ca="1">C100+E100+G100</f>
        <v>2.6245922955901988</v>
      </c>
      <c r="J100" s="520"/>
      <c r="K100" s="390"/>
      <c r="L100" s="24"/>
      <c r="M100" s="24"/>
      <c r="N100" s="24"/>
      <c r="P100" s="10"/>
      <c r="Q100" s="10"/>
      <c r="R100" s="10"/>
      <c r="S100" s="10"/>
      <c r="T100" s="10"/>
      <c r="U100" s="10"/>
      <c r="V100" s="10"/>
      <c r="W100" s="10"/>
      <c r="X100" s="10"/>
      <c r="Y100" s="10"/>
      <c r="Z100" s="10"/>
      <c r="AA100" s="10"/>
      <c r="AB100" s="10"/>
      <c r="AC100" s="10"/>
      <c r="AD100" s="10"/>
      <c r="AE100" s="10"/>
      <c r="AF100" s="10"/>
      <c r="AG100" s="10"/>
      <c r="AJ100" s="34"/>
      <c r="AK100" s="33"/>
      <c r="AL100" s="1"/>
      <c r="AM100" s="8"/>
      <c r="AN100" s="5"/>
      <c r="AO100" s="35"/>
      <c r="AQ100" s="5"/>
      <c r="AV100" s="5"/>
      <c r="AW100" s="5"/>
      <c r="AX100" s="5"/>
    </row>
    <row r="101" spans="1:51" ht="13" x14ac:dyDescent="0.3">
      <c r="A101" s="23"/>
      <c r="C101" s="23"/>
      <c r="D101" s="23"/>
      <c r="E101" s="23"/>
      <c r="F101" s="28"/>
      <c r="G101" s="23"/>
      <c r="H101" s="23"/>
      <c r="I101" s="28"/>
      <c r="K101" s="44"/>
      <c r="L101" s="44"/>
      <c r="M101" s="44"/>
      <c r="P101" s="10"/>
      <c r="Q101" s="10"/>
      <c r="R101" s="10"/>
      <c r="S101" s="10"/>
      <c r="T101" s="10"/>
      <c r="U101" s="10"/>
      <c r="V101" s="10"/>
      <c r="W101" s="10"/>
      <c r="X101" s="10"/>
      <c r="Y101" s="10"/>
      <c r="Z101" s="10"/>
      <c r="AA101" s="10"/>
      <c r="AB101" s="10"/>
      <c r="AC101" s="10"/>
      <c r="AD101" s="10"/>
      <c r="AE101" s="10"/>
      <c r="AF101" s="10"/>
      <c r="AG101" s="10"/>
      <c r="AJ101" s="21"/>
      <c r="AK101" s="1"/>
      <c r="AM101" s="36"/>
      <c r="AN101" s="1"/>
      <c r="AO101" s="36"/>
      <c r="AP101" s="36"/>
      <c r="AV101" s="5"/>
      <c r="AW101" s="5"/>
      <c r="AX101" s="5"/>
    </row>
    <row r="102" spans="1:51" ht="13" x14ac:dyDescent="0.3">
      <c r="A102" s="32"/>
      <c r="B102" s="32"/>
      <c r="C102" s="32"/>
      <c r="D102" s="32"/>
      <c r="F102" s="32"/>
      <c r="G102" s="32"/>
      <c r="H102" s="32"/>
      <c r="I102" s="32"/>
      <c r="K102" s="44"/>
      <c r="L102" s="44"/>
      <c r="M102" s="44"/>
      <c r="P102" s="10"/>
      <c r="Q102" s="10"/>
      <c r="R102" s="10"/>
      <c r="S102" s="10"/>
      <c r="T102" s="10"/>
      <c r="U102" s="10"/>
      <c r="V102" s="10"/>
      <c r="W102" s="10"/>
      <c r="X102" s="10"/>
      <c r="Y102" s="10"/>
      <c r="Z102" s="10"/>
      <c r="AA102" s="10"/>
      <c r="AB102" s="10"/>
      <c r="AC102" s="10"/>
      <c r="AD102" s="10"/>
      <c r="AE102" s="10"/>
      <c r="AF102" s="10"/>
      <c r="AG102" s="10"/>
      <c r="AJ102" s="21"/>
      <c r="AK102" s="1"/>
      <c r="AM102" s="36"/>
      <c r="AN102" s="1"/>
      <c r="AO102" s="36"/>
      <c r="AP102" s="36"/>
      <c r="AV102" s="5"/>
      <c r="AW102" s="5"/>
      <c r="AX102" s="8"/>
    </row>
    <row r="103" spans="1:51" ht="13" x14ac:dyDescent="0.25">
      <c r="A103" s="32"/>
      <c r="C103" s="283"/>
      <c r="I103" s="283"/>
      <c r="AJ103" s="21"/>
      <c r="AK103" s="1"/>
      <c r="AM103" s="24"/>
      <c r="AN103" s="1"/>
      <c r="AO103" s="36"/>
      <c r="AP103" s="36"/>
      <c r="AV103" s="1"/>
      <c r="AW103" s="9"/>
      <c r="AX103" s="6"/>
    </row>
    <row r="104" spans="1:51" x14ac:dyDescent="0.25">
      <c r="A104" s="1"/>
    </row>
    <row r="105" spans="1:51" x14ac:dyDescent="0.25">
      <c r="A105" s="1"/>
      <c r="D105" s="55"/>
      <c r="E105" s="40"/>
      <c r="F105" s="39"/>
      <c r="G105" s="55"/>
      <c r="H105" s="40"/>
      <c r="I105" s="39"/>
    </row>
    <row r="106" spans="1:51" x14ac:dyDescent="0.25">
      <c r="A106" s="1"/>
      <c r="D106" s="1"/>
      <c r="E106" s="1"/>
      <c r="F106" s="1"/>
      <c r="G106" s="1"/>
      <c r="H106" s="1"/>
      <c r="I106" s="1"/>
    </row>
    <row r="107" spans="1:51" x14ac:dyDescent="0.25">
      <c r="D107" s="24"/>
      <c r="E107" s="24"/>
      <c r="F107" s="24"/>
      <c r="G107" s="24"/>
      <c r="H107" s="24"/>
      <c r="I107" s="24"/>
    </row>
    <row r="108" spans="1:51" x14ac:dyDescent="0.25">
      <c r="A108" s="22"/>
      <c r="D108" s="38"/>
      <c r="E108" s="22"/>
      <c r="F108" s="22"/>
      <c r="G108" s="28"/>
      <c r="I108" s="22"/>
    </row>
    <row r="109" spans="1:51" x14ac:dyDescent="0.25">
      <c r="A109" s="42"/>
      <c r="C109" s="24"/>
      <c r="D109" s="24"/>
      <c r="E109" s="24"/>
      <c r="F109" s="24"/>
      <c r="G109" s="24"/>
      <c r="H109" s="24"/>
      <c r="I109" s="24"/>
    </row>
    <row r="110" spans="1:51" x14ac:dyDescent="0.25">
      <c r="A110" s="42"/>
      <c r="C110" s="24"/>
      <c r="D110" s="24"/>
      <c r="E110" s="24"/>
      <c r="F110" s="24"/>
      <c r="G110" s="24"/>
      <c r="H110" s="24"/>
      <c r="I110" s="24"/>
    </row>
    <row r="111" spans="1:51" x14ac:dyDescent="0.25">
      <c r="A111" s="34"/>
      <c r="C111" s="24"/>
      <c r="D111" s="24"/>
      <c r="E111" s="24"/>
      <c r="F111" s="24"/>
      <c r="G111" s="24"/>
      <c r="H111" s="24"/>
      <c r="I111" s="24"/>
    </row>
    <row r="112" spans="1:51" x14ac:dyDescent="0.25">
      <c r="A112" s="42"/>
      <c r="C112" s="24"/>
      <c r="D112" s="24"/>
      <c r="E112" s="24"/>
      <c r="F112" s="24"/>
      <c r="G112" s="24"/>
      <c r="H112" s="24"/>
      <c r="I112" s="24"/>
    </row>
    <row r="113" spans="1:9" x14ac:dyDescent="0.25">
      <c r="A113" s="42"/>
      <c r="C113" s="24"/>
      <c r="D113" s="24"/>
      <c r="E113" s="24"/>
      <c r="F113" s="24"/>
      <c r="G113" s="24"/>
      <c r="H113" s="24"/>
      <c r="I113" s="24"/>
    </row>
    <row r="114" spans="1:9" x14ac:dyDescent="0.25">
      <c r="A114" s="42"/>
      <c r="C114" s="24"/>
      <c r="D114" s="24"/>
      <c r="E114" s="24"/>
      <c r="F114" s="24"/>
      <c r="G114" s="24"/>
      <c r="H114" s="24"/>
      <c r="I114" s="24"/>
    </row>
    <row r="115" spans="1:9" x14ac:dyDescent="0.25">
      <c r="A115" s="53"/>
      <c r="B115" s="33"/>
      <c r="C115" s="33"/>
      <c r="D115" s="33"/>
      <c r="E115" s="33"/>
      <c r="F115" s="33"/>
      <c r="G115" s="33"/>
      <c r="H115" s="33"/>
      <c r="I115" s="33"/>
    </row>
    <row r="116" spans="1:9" x14ac:dyDescent="0.25">
      <c r="C116" s="24"/>
      <c r="D116" s="24"/>
      <c r="E116" s="24"/>
      <c r="F116" s="24"/>
      <c r="G116" s="1"/>
      <c r="H116" s="24"/>
      <c r="I116" s="24"/>
    </row>
    <row r="117" spans="1:9" ht="13" x14ac:dyDescent="0.3">
      <c r="A117" s="5"/>
      <c r="B117" s="1"/>
      <c r="C117" s="1"/>
      <c r="D117" s="1"/>
      <c r="E117" s="1"/>
      <c r="F117" s="1"/>
      <c r="G117" s="1"/>
    </row>
    <row r="119" spans="1:9" ht="13" x14ac:dyDescent="0.25">
      <c r="A119" s="25"/>
      <c r="B119" s="25"/>
      <c r="C119" s="25"/>
      <c r="D119" s="25"/>
      <c r="E119" s="25"/>
      <c r="F119" s="25"/>
      <c r="G119" s="25"/>
      <c r="H119" s="25"/>
      <c r="I119" s="25"/>
    </row>
    <row r="120" spans="1:9" x14ac:dyDescent="0.25">
      <c r="A120" s="23"/>
      <c r="B120" s="23"/>
      <c r="C120" s="23"/>
      <c r="E120" s="28"/>
      <c r="F120" s="1"/>
      <c r="G120" s="1"/>
      <c r="H120" s="1"/>
      <c r="I120" s="28"/>
    </row>
    <row r="121" spans="1:9" ht="13" x14ac:dyDescent="0.3">
      <c r="A121" s="32"/>
      <c r="B121" s="32"/>
      <c r="C121" s="32"/>
      <c r="D121" s="32"/>
      <c r="E121" s="5"/>
      <c r="F121" s="5"/>
      <c r="G121" s="5"/>
      <c r="H121" s="5"/>
      <c r="I121" s="5"/>
    </row>
    <row r="122" spans="1:9" x14ac:dyDescent="0.25">
      <c r="A122" s="49"/>
      <c r="B122" s="49"/>
      <c r="C122" s="49"/>
      <c r="D122" s="49"/>
      <c r="E122" s="28"/>
      <c r="I122" s="28"/>
    </row>
    <row r="123" spans="1:9" x14ac:dyDescent="0.25">
      <c r="A123" s="33"/>
      <c r="B123" s="33"/>
      <c r="C123" s="33"/>
      <c r="E123" s="24"/>
      <c r="F123" s="1"/>
      <c r="G123" s="1"/>
      <c r="H123" s="1"/>
      <c r="I123" s="10"/>
    </row>
    <row r="124" spans="1:9" x14ac:dyDescent="0.25">
      <c r="A124" s="33"/>
      <c r="B124" s="33"/>
      <c r="C124" s="33"/>
      <c r="E124" s="24"/>
      <c r="F124" s="1"/>
      <c r="G124" s="1"/>
      <c r="H124" s="1"/>
      <c r="I124" s="10"/>
    </row>
    <row r="125" spans="1:9" x14ac:dyDescent="0.25">
      <c r="A125" s="34"/>
      <c r="B125" s="33"/>
      <c r="C125" s="33"/>
      <c r="E125" s="24"/>
      <c r="F125" s="1"/>
      <c r="G125" s="1"/>
      <c r="H125" s="1"/>
      <c r="I125" s="10"/>
    </row>
    <row r="126" spans="1:9" x14ac:dyDescent="0.25">
      <c r="A126" s="33"/>
      <c r="B126" s="33"/>
      <c r="C126" s="33"/>
      <c r="E126" s="24"/>
      <c r="F126" s="1"/>
      <c r="G126" s="1"/>
      <c r="H126" s="1"/>
      <c r="I126" s="10"/>
    </row>
    <row r="127" spans="1:9" x14ac:dyDescent="0.25">
      <c r="A127" s="53"/>
      <c r="B127" s="33"/>
      <c r="C127" s="33"/>
      <c r="D127" s="33"/>
      <c r="E127" s="33"/>
      <c r="F127" s="33"/>
      <c r="G127" s="33"/>
      <c r="H127" s="33"/>
      <c r="I127" s="33"/>
    </row>
    <row r="132" spans="1:9" x14ac:dyDescent="0.25">
      <c r="A132" s="23"/>
      <c r="B132" s="23"/>
      <c r="C132" s="23"/>
      <c r="D132" s="23"/>
      <c r="E132" s="23"/>
      <c r="F132" s="23"/>
      <c r="G132" s="23"/>
      <c r="H132" s="23"/>
      <c r="I132" s="23"/>
    </row>
    <row r="133" spans="1:9" ht="13" x14ac:dyDescent="0.25">
      <c r="A133" s="31"/>
      <c r="B133" s="31"/>
      <c r="C133" s="31"/>
      <c r="D133" s="32"/>
      <c r="E133" s="32"/>
      <c r="F133" s="32"/>
      <c r="G133" s="32"/>
      <c r="I133" s="32"/>
    </row>
    <row r="134" spans="1:9" ht="13" x14ac:dyDescent="0.25">
      <c r="A134" s="31"/>
      <c r="B134" s="31"/>
      <c r="C134" s="31"/>
      <c r="D134" s="23"/>
      <c r="G134" s="23"/>
      <c r="H134" s="23"/>
      <c r="I134" s="23"/>
    </row>
    <row r="135" spans="1:9" x14ac:dyDescent="0.25">
      <c r="A135" s="33"/>
      <c r="B135" s="33"/>
      <c r="C135" s="33"/>
      <c r="D135" s="24"/>
      <c r="E135" s="1"/>
      <c r="F135" s="1"/>
      <c r="G135" s="24"/>
      <c r="H135" s="1"/>
      <c r="I135" s="1"/>
    </row>
    <row r="136" spans="1:9" x14ac:dyDescent="0.25">
      <c r="A136" s="33"/>
      <c r="B136" s="33"/>
      <c r="C136" s="33"/>
      <c r="D136" s="24"/>
      <c r="E136" s="1"/>
      <c r="F136" s="1"/>
      <c r="G136" s="24"/>
      <c r="H136" s="1"/>
      <c r="I136" s="1"/>
    </row>
    <row r="137" spans="1:9" x14ac:dyDescent="0.25">
      <c r="A137" s="33"/>
      <c r="B137" s="33"/>
      <c r="C137" s="33"/>
      <c r="D137" s="24"/>
      <c r="E137" s="1"/>
      <c r="F137" s="1"/>
      <c r="G137" s="24"/>
      <c r="H137" s="1"/>
      <c r="I137" s="1"/>
    </row>
  </sheetData>
  <mergeCells count="150">
    <mergeCell ref="G96:H96"/>
    <mergeCell ref="I100:J100"/>
    <mergeCell ref="G100:H100"/>
    <mergeCell ref="I94:J94"/>
    <mergeCell ref="I95:J95"/>
    <mergeCell ref="I99:J99"/>
    <mergeCell ref="I97:J97"/>
    <mergeCell ref="I96:J96"/>
    <mergeCell ref="I98:J98"/>
    <mergeCell ref="G99:H99"/>
    <mergeCell ref="G95:H95"/>
    <mergeCell ref="G98:H98"/>
    <mergeCell ref="G94:H94"/>
    <mergeCell ref="B5:C5"/>
    <mergeCell ref="E98:F98"/>
    <mergeCell ref="E100:F100"/>
    <mergeCell ref="E97:F97"/>
    <mergeCell ref="E99:F99"/>
    <mergeCell ref="J9:J11"/>
    <mergeCell ref="B14:C14"/>
    <mergeCell ref="B15:C15"/>
    <mergeCell ref="B32:C32"/>
    <mergeCell ref="B33:C33"/>
    <mergeCell ref="B34:C34"/>
    <mergeCell ref="B39:C39"/>
    <mergeCell ref="I6:I8"/>
    <mergeCell ref="J6:J8"/>
    <mergeCell ref="E9:E11"/>
    <mergeCell ref="F9:F11"/>
    <mergeCell ref="G6:G11"/>
    <mergeCell ref="I9:I11"/>
    <mergeCell ref="B23:C23"/>
    <mergeCell ref="B18:C18"/>
    <mergeCell ref="B19:C19"/>
    <mergeCell ref="I93:J93"/>
    <mergeCell ref="B59:C59"/>
    <mergeCell ref="B61:C61"/>
    <mergeCell ref="B43:C43"/>
    <mergeCell ref="H6:H11"/>
    <mergeCell ref="B24:C24"/>
    <mergeCell ref="B25:C25"/>
    <mergeCell ref="B30:C30"/>
    <mergeCell ref="B16:C16"/>
    <mergeCell ref="B17:C17"/>
    <mergeCell ref="B36:C36"/>
    <mergeCell ref="B37:C37"/>
    <mergeCell ref="B38:C38"/>
    <mergeCell ref="B46:C46"/>
    <mergeCell ref="B47:C47"/>
    <mergeCell ref="B48:C48"/>
    <mergeCell ref="B49:C49"/>
    <mergeCell ref="B27:C27"/>
    <mergeCell ref="E87:F87"/>
    <mergeCell ref="A94:B94"/>
    <mergeCell ref="A93:B93"/>
    <mergeCell ref="E94:F94"/>
    <mergeCell ref="E81:F81"/>
    <mergeCell ref="E82:F82"/>
    <mergeCell ref="E83:F83"/>
    <mergeCell ref="B60:C60"/>
    <mergeCell ref="E76:F76"/>
    <mergeCell ref="E77:F77"/>
    <mergeCell ref="E78:H78"/>
    <mergeCell ref="E79:F79"/>
    <mergeCell ref="E80:F80"/>
    <mergeCell ref="G93:H93"/>
    <mergeCell ref="E93:F93"/>
    <mergeCell ref="B44:C44"/>
    <mergeCell ref="B45:C45"/>
    <mergeCell ref="B42:U42"/>
    <mergeCell ref="A91:J92"/>
    <mergeCell ref="B53:C53"/>
    <mergeCell ref="B54:C54"/>
    <mergeCell ref="A99:B100"/>
    <mergeCell ref="C93:D93"/>
    <mergeCell ref="C94:D94"/>
    <mergeCell ref="C95:D95"/>
    <mergeCell ref="C97:D97"/>
    <mergeCell ref="C99:D99"/>
    <mergeCell ref="C96:D96"/>
    <mergeCell ref="C98:D98"/>
    <mergeCell ref="C100:D100"/>
    <mergeCell ref="A95:B96"/>
    <mergeCell ref="E95:F95"/>
    <mergeCell ref="E96:F96"/>
    <mergeCell ref="G97:H97"/>
    <mergeCell ref="E85:F85"/>
    <mergeCell ref="E86:F86"/>
    <mergeCell ref="B50:C50"/>
    <mergeCell ref="B52:C52"/>
    <mergeCell ref="E67:F67"/>
    <mergeCell ref="E68:F68"/>
    <mergeCell ref="E69:H69"/>
    <mergeCell ref="E70:F70"/>
    <mergeCell ref="E71:F71"/>
    <mergeCell ref="E84:F84"/>
    <mergeCell ref="B57:C57"/>
    <mergeCell ref="B58:C58"/>
    <mergeCell ref="E72:F72"/>
    <mergeCell ref="E73:F73"/>
    <mergeCell ref="E74:F74"/>
    <mergeCell ref="E75:F75"/>
    <mergeCell ref="E65:H66"/>
    <mergeCell ref="B55:C55"/>
    <mergeCell ref="B56:C56"/>
    <mergeCell ref="B51:U51"/>
    <mergeCell ref="A97:B98"/>
    <mergeCell ref="R6:R8"/>
    <mergeCell ref="K6:K8"/>
    <mergeCell ref="N6:N8"/>
    <mergeCell ref="K9:K11"/>
    <mergeCell ref="N9:N11"/>
    <mergeCell ref="B13:N13"/>
    <mergeCell ref="B22:N22"/>
    <mergeCell ref="B31:N31"/>
    <mergeCell ref="B41:U41"/>
    <mergeCell ref="B40:C40"/>
    <mergeCell ref="B28:C28"/>
    <mergeCell ref="B29:C29"/>
    <mergeCell ref="B35:C35"/>
    <mergeCell ref="B20:C20"/>
    <mergeCell ref="B21:C21"/>
    <mergeCell ref="B26:C26"/>
    <mergeCell ref="B6:C11"/>
    <mergeCell ref="D6:F8"/>
    <mergeCell ref="D9:D11"/>
    <mergeCell ref="V53:Y59"/>
    <mergeCell ref="V44:Y50"/>
    <mergeCell ref="V15:Y21"/>
    <mergeCell ref="V24:Y30"/>
    <mergeCell ref="V33:Y39"/>
    <mergeCell ref="B3:U4"/>
    <mergeCell ref="S6:S8"/>
    <mergeCell ref="T6:T8"/>
    <mergeCell ref="P9:P11"/>
    <mergeCell ref="Q9:Q11"/>
    <mergeCell ref="R9:R11"/>
    <mergeCell ref="S9:S11"/>
    <mergeCell ref="T9:T11"/>
    <mergeCell ref="B12:U12"/>
    <mergeCell ref="U6:U8"/>
    <mergeCell ref="U9:U11"/>
    <mergeCell ref="O6:O8"/>
    <mergeCell ref="L6:L8"/>
    <mergeCell ref="M6:M8"/>
    <mergeCell ref="L9:L11"/>
    <mergeCell ref="M9:M11"/>
    <mergeCell ref="O9:O11"/>
    <mergeCell ref="P6:P8"/>
    <mergeCell ref="Q6:Q8"/>
  </mergeCells>
  <dataValidations count="2">
    <dataValidation type="list" allowBlank="1" showInputMessage="1" showErrorMessage="1" sqref="AL100" xr:uid="{00000000-0002-0000-0700-000000000000}">
      <formula1>Local</formula1>
    </dataValidation>
    <dataValidation type="whole" allowBlank="1" showInputMessage="1" showErrorMessage="1" sqref="I14:I21 I43:I50 I32:I40 I23:I30 I52:I60" xr:uid="{00000000-0002-0000-0700-000001000000}">
      <formula1>0</formula1>
      <formula2>78300</formula2>
    </dataValidation>
  </dataValidations>
  <pageMargins left="0.7" right="0.7" top="0.75" bottom="0.75" header="0.3" footer="0.3"/>
  <pageSetup scale="74" fitToHeight="2" orientation="landscape" r:id="rId1"/>
  <headerFooter>
    <oddHeader>&amp;CUrban and Suburban Predictive Method</oddHeader>
    <oddFooter>&amp;R&amp;P</oddFooter>
  </headerFooter>
  <rowBreaks count="1" manualBreakCount="1">
    <brk id="6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E07FEF-DFE0-4CC1-890E-9E76EA91E0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144B64-2FB0-42EC-AA06-60A4708546A6}">
  <ds:schemaRefs>
    <ds:schemaRef ds:uri="http://schemas.microsoft.com/sharepoint/v3"/>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7EF3E3B-1BCC-484B-9D30-712CA4957B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42</vt:i4>
      </vt:variant>
    </vt:vector>
  </HeadingPairs>
  <TitlesOfParts>
    <vt:vector size="59" baseType="lpstr">
      <vt:lpstr>Overview</vt:lpstr>
      <vt:lpstr>Instructions</vt:lpstr>
      <vt:lpstr>Segment_1</vt:lpstr>
      <vt:lpstr>Ped&amp;Bike (Segments)</vt:lpstr>
      <vt:lpstr>Intersection_1</vt:lpstr>
      <vt:lpstr>Ped&amp;Bike (Intersections)</vt:lpstr>
      <vt:lpstr>Ped&amp;Bike (Segment Results)</vt:lpstr>
      <vt:lpstr>Ped&amp;Bike (Intersection Results)</vt:lpstr>
      <vt:lpstr>Summary Tables (Site Totals)</vt:lpstr>
      <vt:lpstr>Summary Tables (Project Total)</vt:lpstr>
      <vt:lpstr>Reference Tables (Segment)</vt:lpstr>
      <vt:lpstr>Reference Tables (Ped Segment )</vt:lpstr>
      <vt:lpstr>Reference Tables (Bike Segment)</vt:lpstr>
      <vt:lpstr>Reference Tables (Ped Intersct)</vt:lpstr>
      <vt:lpstr>ReferenceTables (Bike Intersct)</vt:lpstr>
      <vt:lpstr>Reference Tables (Intersection)</vt:lpstr>
      <vt:lpstr>Construction - Do Not Delete</vt:lpstr>
      <vt:lpstr>'Reference Tables (Segment)'!_Toc96592051</vt:lpstr>
      <vt:lpstr>CRumble</vt:lpstr>
      <vt:lpstr>Differ</vt:lpstr>
      <vt:lpstr>Division</vt:lpstr>
      <vt:lpstr>IApproach</vt:lpstr>
      <vt:lpstr>ILight</vt:lpstr>
      <vt:lpstr>IType</vt:lpstr>
      <vt:lpstr>IType2</vt:lpstr>
      <vt:lpstr>LApproach</vt:lpstr>
      <vt:lpstr>Lighting</vt:lpstr>
      <vt:lpstr>Local</vt:lpstr>
      <vt:lpstr>LWidth</vt:lpstr>
      <vt:lpstr>MWidth</vt:lpstr>
      <vt:lpstr>OffsetFO</vt:lpstr>
      <vt:lpstr>OnStreet</vt:lpstr>
      <vt:lpstr>OnStreetType</vt:lpstr>
      <vt:lpstr>Phasing</vt:lpstr>
      <vt:lpstr>Phasing2</vt:lpstr>
      <vt:lpstr>PLane</vt:lpstr>
      <vt:lpstr>PLane2</vt:lpstr>
      <vt:lpstr>Posted</vt:lpstr>
      <vt:lpstr>PresOrNot</vt:lpstr>
      <vt:lpstr>Intersection_1!Print_Area</vt:lpstr>
      <vt:lpstr>Segment_1!Print_Area</vt:lpstr>
      <vt:lpstr>'Summary Tables (Project Total)'!Print_Area</vt:lpstr>
      <vt:lpstr>'Summary Tables (Site Totals)'!Print_Area</vt:lpstr>
      <vt:lpstr>Pspeed</vt:lpstr>
      <vt:lpstr>RApproach</vt:lpstr>
      <vt:lpstr>RHR</vt:lpstr>
      <vt:lpstr>RType</vt:lpstr>
      <vt:lpstr>Shld2</vt:lpstr>
      <vt:lpstr>SpEnforce</vt:lpstr>
      <vt:lpstr>Spiral</vt:lpstr>
      <vt:lpstr>SSlope</vt:lpstr>
      <vt:lpstr>SType</vt:lpstr>
      <vt:lpstr>SWidth</vt:lpstr>
      <vt:lpstr>TLanes</vt:lpstr>
      <vt:lpstr>TWLTL</vt:lpstr>
      <vt:lpstr>UMedian</vt:lpstr>
      <vt:lpstr>UMedian2</vt:lpstr>
      <vt:lpstr>UMedWidth</vt:lpstr>
      <vt:lpstr>UnsigApproach</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Nachtrieb, Rebecca</cp:lastModifiedBy>
  <cp:lastPrinted>2010-11-22T18:15:00Z</cp:lastPrinted>
  <dcterms:created xsi:type="dcterms:W3CDTF">2009-11-22T21:24:43Z</dcterms:created>
  <dcterms:modified xsi:type="dcterms:W3CDTF">2023-08-01T18:54:27Z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