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N:\RNachtrieb\NCHRP RR 1064 Ped Bike Safety\Blurb\"/>
    </mc:Choice>
  </mc:AlternateContent>
  <xr:revisionPtr revIDLastSave="0" documentId="13_ncr:1_{2AD51DE9-1D72-4749-BC9D-E9245A0A83E8}" xr6:coauthVersionLast="47" xr6:coauthVersionMax="47" xr10:uidLastSave="{00000000-0000-0000-0000-000000000000}"/>
  <bookViews>
    <workbookView xWindow="-28920" yWindow="-120" windowWidth="29040" windowHeight="15840" tabRatio="924" xr2:uid="{00000000-000D-0000-FFFF-FFFF00000000}"/>
  </bookViews>
  <sheets>
    <sheet name="Sheet2" sheetId="36" r:id="rId1"/>
    <sheet name="Instructions" sheetId="19" r:id="rId2"/>
    <sheet name="Segment_1" sheetId="26" r:id="rId3"/>
    <sheet name="Ped&amp;Bike (Segments)" sheetId="28" r:id="rId4"/>
    <sheet name="Intersection_1" sheetId="14" r:id="rId5"/>
    <sheet name="Ped&amp;Bike (Intersections)" sheetId="30" r:id="rId6"/>
    <sheet name="Ped&amp;Bike (Segment Results)" sheetId="29" r:id="rId7"/>
    <sheet name="Ped&amp;Bike (Intersection Results)" sheetId="31" r:id="rId8"/>
    <sheet name="Summary Tables (Site Totals)" sheetId="20" r:id="rId9"/>
    <sheet name="Summary Tables (Project Total)" sheetId="21" r:id="rId10"/>
    <sheet name="Reference Tables (Segment)" sheetId="24" r:id="rId11"/>
    <sheet name="Reference Tables (Intersection)" sheetId="25" r:id="rId12"/>
    <sheet name="Reference Tables (Ped Segment)" sheetId="32" r:id="rId13"/>
    <sheet name="Reference Tables (Bike Segment)" sheetId="33" r:id="rId14"/>
    <sheet name="Reference Tables (Ped Intersct)" sheetId="34" r:id="rId15"/>
    <sheet name="ReferenceTables (Bike Intersct)" sheetId="35" r:id="rId16"/>
    <sheet name="Sheet1" sheetId="27" r:id="rId17"/>
    <sheet name="Construction - Do Not Delete" sheetId="10" state="hidden" r:id="rId1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Shld2">'Construction - Do Not Delete'!$J$37:$J$47</definedName>
    <definedName name="SpEnforce">'Construction - Do Not Delete'!$J$23:$J$24</definedName>
    <definedName name="Spiral">'Construction - Do Not Delete'!$F$17:$F$18</definedName>
    <definedName name="Spiral2">'Construction - Do Not Delete'!$F$17:$F$19</definedName>
    <definedName name="SSlope">'Construction - Do Not Delete'!$H$37:$H$41</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31" l="1"/>
  <c r="F23" i="31"/>
  <c r="F22" i="31"/>
  <c r="F7" i="31"/>
  <c r="F6" i="31"/>
  <c r="F37" i="31"/>
  <c r="C77" i="31"/>
  <c r="C76" i="31"/>
  <c r="C67" i="31"/>
  <c r="C49" i="31"/>
  <c r="C31" i="31"/>
  <c r="C13" i="31"/>
  <c r="D19" i="28" l="1"/>
  <c r="F25" i="20"/>
  <c r="E25" i="20"/>
  <c r="E28" i="21"/>
  <c r="F25" i="21"/>
  <c r="F18" i="21"/>
  <c r="F30" i="20"/>
  <c r="F12" i="21"/>
  <c r="D27" i="20"/>
  <c r="D25" i="21"/>
  <c r="D26" i="20"/>
  <c r="E24" i="20"/>
  <c r="D24" i="20"/>
  <c r="F24" i="21"/>
  <c r="D17" i="20"/>
  <c r="F24" i="20"/>
  <c r="F16" i="20"/>
  <c r="F16" i="21"/>
  <c r="E14" i="20"/>
  <c r="F20" i="20"/>
  <c r="D13" i="21"/>
  <c r="F22" i="21"/>
  <c r="D15" i="21"/>
  <c r="D18" i="20"/>
  <c r="D28" i="20"/>
  <c r="F26" i="21"/>
  <c r="F19" i="20"/>
  <c r="D30" i="20"/>
  <c r="E28" i="20"/>
  <c r="E25" i="21"/>
  <c r="E27" i="21"/>
  <c r="F26" i="20"/>
  <c r="D18" i="21"/>
  <c r="E18" i="20"/>
  <c r="D28" i="21"/>
  <c r="E12" i="21"/>
  <c r="D14" i="21"/>
  <c r="F23" i="21"/>
  <c r="D15" i="20"/>
  <c r="D24" i="21"/>
  <c r="F17" i="20"/>
  <c r="D23" i="21"/>
  <c r="E13" i="21"/>
  <c r="F28" i="21"/>
  <c r="E23" i="21"/>
  <c r="E17" i="20"/>
  <c r="F27" i="21"/>
  <c r="E30" i="20"/>
  <c r="D19" i="20"/>
  <c r="E15" i="20"/>
  <c r="D20" i="20"/>
  <c r="E20" i="20"/>
  <c r="E18" i="21"/>
  <c r="F14" i="21"/>
  <c r="E26" i="20"/>
  <c r="F15" i="20"/>
  <c r="F18" i="20"/>
  <c r="D16" i="21"/>
  <c r="E27" i="20"/>
  <c r="E16" i="21"/>
  <c r="F27" i="20"/>
  <c r="E26" i="21"/>
  <c r="F28" i="20"/>
  <c r="F29" i="20"/>
  <c r="D25" i="20"/>
  <c r="F15" i="21"/>
  <c r="D12" i="21"/>
  <c r="E22" i="21"/>
  <c r="D26" i="21"/>
  <c r="D17" i="21"/>
  <c r="E16" i="20"/>
  <c r="D14" i="20"/>
  <c r="E19" i="20"/>
  <c r="E24" i="21"/>
  <c r="E14" i="21"/>
  <c r="E15" i="21"/>
  <c r="D29" i="20"/>
  <c r="D27" i="21"/>
  <c r="F14" i="20"/>
  <c r="D22" i="21"/>
  <c r="F17" i="21"/>
  <c r="D16" i="20"/>
  <c r="F13" i="21"/>
  <c r="E29" i="20"/>
  <c r="E17" i="21"/>
  <c r="C4" i="31" l="1"/>
  <c r="F4" i="31"/>
  <c r="C5" i="31"/>
  <c r="F5" i="31"/>
  <c r="C6" i="31"/>
  <c r="C7" i="31"/>
  <c r="F12" i="31"/>
  <c r="C8" i="31"/>
  <c r="F8" i="31"/>
  <c r="C9" i="31"/>
  <c r="F9" i="31"/>
  <c r="C10" i="31"/>
  <c r="F10" i="31"/>
  <c r="C11" i="31"/>
  <c r="C12" i="31"/>
  <c r="F13" i="31"/>
  <c r="F14" i="31"/>
  <c r="C15" i="31"/>
  <c r="F15" i="31"/>
  <c r="C16" i="31"/>
  <c r="C17" i="31"/>
  <c r="C18" i="31"/>
  <c r="F20" i="31"/>
  <c r="F21" i="31"/>
  <c r="C22" i="31"/>
  <c r="C23" i="31"/>
  <c r="F28" i="31"/>
  <c r="C24" i="31"/>
  <c r="C33" i="31" s="1"/>
  <c r="F24" i="31"/>
  <c r="C25" i="31"/>
  <c r="F25" i="31"/>
  <c r="C26" i="31"/>
  <c r="F26" i="31"/>
  <c r="C27" i="31"/>
  <c r="C28" i="31"/>
  <c r="C29" i="31"/>
  <c r="F29" i="31"/>
  <c r="C30" i="31"/>
  <c r="F30" i="31"/>
  <c r="F31" i="31"/>
  <c r="C34" i="31"/>
  <c r="C35" i="31"/>
  <c r="C36" i="31"/>
  <c r="C40" i="31"/>
  <c r="C41" i="31"/>
  <c r="C42" i="31"/>
  <c r="C51" i="31" s="1"/>
  <c r="C43" i="31"/>
  <c r="C44" i="31"/>
  <c r="C45" i="31"/>
  <c r="C46" i="31"/>
  <c r="C47" i="31"/>
  <c r="C48" i="31"/>
  <c r="C52" i="31"/>
  <c r="C53" i="31"/>
  <c r="C54" i="31"/>
  <c r="C58" i="31"/>
  <c r="C59" i="31"/>
  <c r="C60" i="31"/>
  <c r="C61" i="31"/>
  <c r="C62" i="31"/>
  <c r="C63" i="31"/>
  <c r="C64" i="31"/>
  <c r="C65" i="31"/>
  <c r="C66" i="31"/>
  <c r="C69" i="31"/>
  <c r="C70" i="31"/>
  <c r="C71" i="31"/>
  <c r="C72" i="31"/>
  <c r="J3" i="29"/>
  <c r="C4" i="29"/>
  <c r="E4" i="29"/>
  <c r="J4" i="29"/>
  <c r="J14" i="29" s="1"/>
  <c r="C5" i="29"/>
  <c r="E5" i="29"/>
  <c r="J5" i="29"/>
  <c r="C6" i="29"/>
  <c r="E6" i="29"/>
  <c r="J6" i="29"/>
  <c r="C7" i="29"/>
  <c r="E7" i="29"/>
  <c r="J7" i="29"/>
  <c r="C8" i="29"/>
  <c r="E8" i="29"/>
  <c r="J8" i="29"/>
  <c r="C9" i="29"/>
  <c r="J9" i="29"/>
  <c r="C10" i="29"/>
  <c r="J10" i="29"/>
  <c r="C11" i="29"/>
  <c r="E11" i="29"/>
  <c r="J11" i="29"/>
  <c r="C12" i="29"/>
  <c r="E12" i="29"/>
  <c r="J12" i="29"/>
  <c r="C13" i="29"/>
  <c r="C14" i="29"/>
  <c r="E14" i="29"/>
  <c r="J15" i="29"/>
  <c r="C16" i="29"/>
  <c r="E16" i="29"/>
  <c r="J16" i="29"/>
  <c r="C17" i="29"/>
  <c r="E17" i="29"/>
  <c r="J17" i="29"/>
  <c r="C18" i="29"/>
  <c r="E18" i="29"/>
  <c r="C19" i="29"/>
  <c r="E19" i="29"/>
  <c r="C23" i="29"/>
  <c r="D23" i="29"/>
  <c r="E23" i="29"/>
  <c r="F23" i="29"/>
  <c r="G23" i="29"/>
  <c r="C24" i="29"/>
  <c r="D24" i="29"/>
  <c r="E24" i="29"/>
  <c r="F24" i="29"/>
  <c r="G24" i="29"/>
  <c r="C25" i="29"/>
  <c r="D25" i="29"/>
  <c r="E25" i="29"/>
  <c r="F25" i="29"/>
  <c r="G25" i="29"/>
  <c r="C26" i="29"/>
  <c r="D26" i="29"/>
  <c r="E26" i="29"/>
  <c r="F26" i="29"/>
  <c r="G26" i="29"/>
  <c r="C27" i="29"/>
  <c r="D27" i="29"/>
  <c r="E27" i="29"/>
  <c r="F27" i="29"/>
  <c r="G27" i="29"/>
  <c r="C28" i="29"/>
  <c r="D28" i="29"/>
  <c r="E28" i="29"/>
  <c r="F28" i="29"/>
  <c r="G28" i="29"/>
  <c r="C29" i="29"/>
  <c r="D29" i="29"/>
  <c r="E29" i="29"/>
  <c r="F29" i="29"/>
  <c r="G29" i="29"/>
  <c r="C30" i="29"/>
  <c r="D30" i="29"/>
  <c r="E30" i="29"/>
  <c r="F30" i="29"/>
  <c r="G30" i="29"/>
  <c r="C31" i="29"/>
  <c r="D31" i="29"/>
  <c r="E31" i="29"/>
  <c r="F31" i="29"/>
  <c r="G31" i="29"/>
  <c r="C33" i="29"/>
  <c r="D33" i="29"/>
  <c r="E33" i="29"/>
  <c r="F33" i="29"/>
  <c r="G33" i="29"/>
  <c r="C34" i="29"/>
  <c r="D34" i="29"/>
  <c r="E34" i="29"/>
  <c r="F34" i="29"/>
  <c r="G34" i="29"/>
  <c r="C35" i="29"/>
  <c r="D35" i="29"/>
  <c r="E35" i="29"/>
  <c r="F35" i="29"/>
  <c r="G35" i="29"/>
  <c r="C36" i="29"/>
  <c r="D36" i="29"/>
  <c r="E36" i="29"/>
  <c r="F36" i="29"/>
  <c r="G36" i="29"/>
  <c r="D4" i="28"/>
  <c r="D7" i="28"/>
  <c r="D8" i="28"/>
  <c r="D11" i="28"/>
  <c r="D12" i="28"/>
  <c r="E9" i="29" s="1"/>
  <c r="D13" i="28"/>
  <c r="E10" i="29" s="1"/>
  <c r="E13" i="29"/>
  <c r="E32" i="29" l="1"/>
  <c r="G32" i="29"/>
  <c r="F11" i="31"/>
  <c r="F17" i="31" s="1"/>
  <c r="C14" i="31"/>
  <c r="C19" i="31" s="1"/>
  <c r="C32" i="31"/>
  <c r="C37" i="31" s="1"/>
  <c r="F27" i="31"/>
  <c r="F33" i="31" s="1"/>
  <c r="C50" i="31"/>
  <c r="C55" i="31" s="1"/>
  <c r="C68" i="31"/>
  <c r="C73" i="31" s="1"/>
  <c r="J13" i="29"/>
  <c r="J19" i="29" s="1"/>
  <c r="J44" i="29" s="1"/>
  <c r="C15" i="29"/>
  <c r="C20" i="29" s="1"/>
  <c r="D32" i="29"/>
  <c r="F32" i="29"/>
  <c r="C32" i="29"/>
  <c r="C37" i="29" s="1"/>
  <c r="G37" i="29"/>
  <c r="D37" i="29"/>
  <c r="F37" i="29"/>
  <c r="E37" i="29"/>
  <c r="E15" i="29"/>
  <c r="E20" i="29" s="1"/>
  <c r="G32" i="20"/>
  <c r="F35" i="31" l="1"/>
  <c r="F80" i="31" s="1"/>
  <c r="D49" i="14" s="1"/>
  <c r="L23" i="20" s="1"/>
  <c r="C75" i="31"/>
  <c r="C80" i="31" s="1"/>
  <c r="C88" i="31" s="1"/>
  <c r="H63" i="26"/>
  <c r="D63" i="26"/>
  <c r="L13" i="20" s="1"/>
  <c r="L21" i="20" s="1"/>
  <c r="J46" i="29"/>
  <c r="J54" i="29" s="1"/>
  <c r="J45" i="29"/>
  <c r="J53" i="29" s="1"/>
  <c r="J48" i="29"/>
  <c r="J56" i="29" s="1"/>
  <c r="J47" i="29"/>
  <c r="J55" i="29" s="1"/>
  <c r="J52" i="29"/>
  <c r="C39" i="29"/>
  <c r="C44" i="29" s="1"/>
  <c r="F88" i="31"/>
  <c r="F83" i="31"/>
  <c r="F91" i="31" s="1"/>
  <c r="J85" i="26"/>
  <c r="G31" i="20"/>
  <c r="G21" i="20"/>
  <c r="N15" i="26"/>
  <c r="O9" i="14"/>
  <c r="J84" i="26"/>
  <c r="J74" i="26"/>
  <c r="F74" i="26"/>
  <c r="C74" i="26"/>
  <c r="J73" i="26"/>
  <c r="F73" i="26"/>
  <c r="C73" i="26"/>
  <c r="J72" i="26"/>
  <c r="F72" i="26"/>
  <c r="C72" i="26"/>
  <c r="J71" i="26"/>
  <c r="F71" i="26"/>
  <c r="C71" i="26"/>
  <c r="J70" i="26"/>
  <c r="F70" i="26"/>
  <c r="C70" i="26"/>
  <c r="J67" i="26"/>
  <c r="F67" i="26"/>
  <c r="C67" i="26"/>
  <c r="J66" i="26"/>
  <c r="F66" i="26"/>
  <c r="C66" i="26"/>
  <c r="J65" i="26"/>
  <c r="F65" i="26"/>
  <c r="C65" i="26"/>
  <c r="J62" i="26"/>
  <c r="F62" i="26"/>
  <c r="C62" i="26"/>
  <c r="K51" i="26"/>
  <c r="K50" i="26"/>
  <c r="K49" i="26"/>
  <c r="D49" i="26"/>
  <c r="L41" i="26"/>
  <c r="K41" i="26"/>
  <c r="J41" i="26"/>
  <c r="I41" i="26"/>
  <c r="H41" i="26"/>
  <c r="G41" i="26"/>
  <c r="F41" i="26"/>
  <c r="E41" i="26"/>
  <c r="D41" i="26"/>
  <c r="AG33" i="26"/>
  <c r="AG32" i="26" s="1"/>
  <c r="AH32" i="26"/>
  <c r="AF32" i="26"/>
  <c r="AH30" i="26"/>
  <c r="AF30" i="26"/>
  <c r="AG29" i="26"/>
  <c r="AG30" i="26" s="1"/>
  <c r="AH28" i="26"/>
  <c r="AF28" i="26"/>
  <c r="AG27" i="26"/>
  <c r="AH26" i="26"/>
  <c r="AF26" i="26"/>
  <c r="AG25" i="26"/>
  <c r="U18" i="26"/>
  <c r="U16" i="26"/>
  <c r="AH14" i="26"/>
  <c r="AF14" i="26"/>
  <c r="U14" i="26"/>
  <c r="AG13" i="26"/>
  <c r="AG14" i="26" s="1"/>
  <c r="AH12" i="26"/>
  <c r="AF12" i="26"/>
  <c r="AG11" i="26"/>
  <c r="A41" i="26"/>
  <c r="AH10" i="26"/>
  <c r="AF10" i="26"/>
  <c r="N10" i="26"/>
  <c r="AG9" i="26"/>
  <c r="AA8" i="26"/>
  <c r="U8" i="26"/>
  <c r="AA6" i="26"/>
  <c r="U6" i="26"/>
  <c r="E11" i="14"/>
  <c r="N11" i="14" s="1"/>
  <c r="E10" i="14"/>
  <c r="N10" i="14" s="1"/>
  <c r="I24" i="14"/>
  <c r="E16" i="25"/>
  <c r="G16" i="25"/>
  <c r="I16" i="25"/>
  <c r="I17" i="25" s="1"/>
  <c r="I18" i="25" s="1"/>
  <c r="K16" i="25"/>
  <c r="K17" i="25" s="1"/>
  <c r="K18" i="25" s="1"/>
  <c r="M16" i="25"/>
  <c r="M17" i="25" s="1"/>
  <c r="O16" i="25"/>
  <c r="E35" i="25"/>
  <c r="F35" i="25"/>
  <c r="G35" i="25"/>
  <c r="C54" i="14" s="1"/>
  <c r="H35" i="25"/>
  <c r="I35" i="25"/>
  <c r="I43" i="25" s="1"/>
  <c r="J35" i="25"/>
  <c r="J43" i="25" s="1"/>
  <c r="K35" i="25"/>
  <c r="L35" i="25"/>
  <c r="M35" i="25"/>
  <c r="N35" i="25"/>
  <c r="O35" i="25"/>
  <c r="P35" i="25"/>
  <c r="Q35" i="25"/>
  <c r="R35" i="25"/>
  <c r="S35" i="25"/>
  <c r="T35" i="25"/>
  <c r="U35" i="25"/>
  <c r="V35" i="25"/>
  <c r="E42" i="25"/>
  <c r="E43" i="25" s="1"/>
  <c r="F42" i="25"/>
  <c r="J61" i="14" s="1"/>
  <c r="G42" i="25"/>
  <c r="C61" i="14"/>
  <c r="H42" i="25"/>
  <c r="I42" i="25"/>
  <c r="J42" i="25"/>
  <c r="K42" i="25"/>
  <c r="K43" i="25" s="1"/>
  <c r="L42" i="25"/>
  <c r="M42" i="25"/>
  <c r="N42" i="25"/>
  <c r="O42" i="25"/>
  <c r="P42" i="25"/>
  <c r="Q42" i="25"/>
  <c r="R42" i="25"/>
  <c r="S42" i="25"/>
  <c r="T42" i="25"/>
  <c r="U42" i="25"/>
  <c r="V42" i="25"/>
  <c r="X9" i="24"/>
  <c r="Z9" i="24"/>
  <c r="X10" i="24"/>
  <c r="Z10" i="24"/>
  <c r="X11" i="24"/>
  <c r="Z11" i="24"/>
  <c r="X12" i="24"/>
  <c r="Z12" i="24"/>
  <c r="E13" i="24"/>
  <c r="E14" i="24" s="1"/>
  <c r="F51" i="26" s="1"/>
  <c r="D85" i="26" s="1"/>
  <c r="H13" i="24"/>
  <c r="H14" i="24" s="1"/>
  <c r="E31" i="24"/>
  <c r="F31" i="24"/>
  <c r="F39" i="24" s="1"/>
  <c r="G31" i="24"/>
  <c r="I31" i="24"/>
  <c r="J31" i="24"/>
  <c r="K31" i="24"/>
  <c r="E38" i="24"/>
  <c r="F38" i="24"/>
  <c r="G38" i="24"/>
  <c r="I38" i="24"/>
  <c r="J38" i="24"/>
  <c r="K38" i="24"/>
  <c r="J60" i="14"/>
  <c r="F60" i="14"/>
  <c r="C60" i="14"/>
  <c r="J59" i="14"/>
  <c r="F59" i="14"/>
  <c r="C59" i="14"/>
  <c r="J58" i="14"/>
  <c r="F58" i="14"/>
  <c r="C58" i="14"/>
  <c r="J57" i="14"/>
  <c r="F57" i="14"/>
  <c r="C57" i="14"/>
  <c r="J56" i="14"/>
  <c r="F56" i="14"/>
  <c r="C56" i="14"/>
  <c r="J53" i="14"/>
  <c r="F53" i="14"/>
  <c r="C53" i="14"/>
  <c r="J52" i="14"/>
  <c r="F52" i="14"/>
  <c r="C52" i="14"/>
  <c r="J51" i="14"/>
  <c r="F51" i="14"/>
  <c r="C51" i="14"/>
  <c r="J48" i="14"/>
  <c r="F48" i="14"/>
  <c r="C48" i="14"/>
  <c r="J35" i="14"/>
  <c r="J34" i="14"/>
  <c r="J33" i="14"/>
  <c r="E33" i="14"/>
  <c r="C33" i="14"/>
  <c r="F54" i="14"/>
  <c r="F24" i="14"/>
  <c r="D24" i="14"/>
  <c r="A24" i="14"/>
  <c r="U20" i="26"/>
  <c r="U22" i="26"/>
  <c r="C41" i="26" s="1"/>
  <c r="C49" i="26"/>
  <c r="J83" i="26"/>
  <c r="H16" i="20"/>
  <c r="H19" i="20"/>
  <c r="H23" i="20"/>
  <c r="H17" i="21"/>
  <c r="H24" i="21"/>
  <c r="H25" i="21"/>
  <c r="H26" i="20"/>
  <c r="H21" i="21"/>
  <c r="H15" i="21"/>
  <c r="H14" i="21"/>
  <c r="H16" i="21"/>
  <c r="H15" i="20"/>
  <c r="H12" i="21"/>
  <c r="H30" i="20"/>
  <c r="H13" i="21"/>
  <c r="H28" i="20"/>
  <c r="H11" i="21"/>
  <c r="H18" i="21"/>
  <c r="H25" i="20"/>
  <c r="H14" i="20"/>
  <c r="H17" i="20"/>
  <c r="H27" i="21"/>
  <c r="H27" i="20"/>
  <c r="H18" i="20"/>
  <c r="H23" i="21"/>
  <c r="H22" i="21"/>
  <c r="H13" i="20"/>
  <c r="H26" i="21"/>
  <c r="H29" i="20"/>
  <c r="H20" i="20"/>
  <c r="H28" i="21"/>
  <c r="H24" i="20"/>
  <c r="F45" i="14" l="1"/>
  <c r="F82" i="31"/>
  <c r="F90" i="31" s="1"/>
  <c r="F81" i="31"/>
  <c r="F89" i="31" s="1"/>
  <c r="F84" i="31"/>
  <c r="F92" i="31" s="1"/>
  <c r="K39" i="24"/>
  <c r="H49" i="14"/>
  <c r="C82" i="31"/>
  <c r="C90" i="31" s="1"/>
  <c r="C83" i="31"/>
  <c r="C91" i="31" s="1"/>
  <c r="C81" i="31"/>
  <c r="C89" i="31" s="1"/>
  <c r="C84" i="31"/>
  <c r="C92" i="31" s="1"/>
  <c r="D50" i="14"/>
  <c r="H50" i="14"/>
  <c r="U43" i="25"/>
  <c r="C68" i="26"/>
  <c r="C45" i="29"/>
  <c r="C53" i="29" s="1"/>
  <c r="H64" i="26"/>
  <c r="D64" i="26"/>
  <c r="K13" i="20" s="1"/>
  <c r="C48" i="29"/>
  <c r="C56" i="29" s="1"/>
  <c r="C47" i="29"/>
  <c r="C55" i="29" s="1"/>
  <c r="C46" i="29"/>
  <c r="C54" i="29" s="1"/>
  <c r="C52" i="29"/>
  <c r="F68" i="26"/>
  <c r="M43" i="25"/>
  <c r="F61" i="14"/>
  <c r="L43" i="25"/>
  <c r="H43" i="25"/>
  <c r="U10" i="26"/>
  <c r="N43" i="25"/>
  <c r="O43" i="25"/>
  <c r="J68" i="26"/>
  <c r="J75" i="26"/>
  <c r="E39" i="24"/>
  <c r="V43" i="25"/>
  <c r="AA10" i="26"/>
  <c r="T43" i="25"/>
  <c r="P43" i="25"/>
  <c r="H51" i="26"/>
  <c r="S43" i="25"/>
  <c r="F43" i="25"/>
  <c r="J45" i="14" s="1"/>
  <c r="I39" i="24"/>
  <c r="H15" i="24"/>
  <c r="Q43" i="25"/>
  <c r="O17" i="25"/>
  <c r="O18" i="25" s="1"/>
  <c r="C75" i="26"/>
  <c r="F75" i="26"/>
  <c r="AG10" i="26"/>
  <c r="AG12" i="26"/>
  <c r="I16" i="20"/>
  <c r="J16" i="20" s="1"/>
  <c r="M16" i="20" s="1"/>
  <c r="I17" i="20"/>
  <c r="J17" i="20" s="1"/>
  <c r="M17" i="20" s="1"/>
  <c r="I14" i="20"/>
  <c r="J14" i="20" s="1"/>
  <c r="M14" i="20" s="1"/>
  <c r="I19" i="20"/>
  <c r="J19" i="20" s="1"/>
  <c r="M19" i="20" s="1"/>
  <c r="I27" i="20"/>
  <c r="J27" i="20" s="1"/>
  <c r="M27" i="20" s="1"/>
  <c r="I15" i="20"/>
  <c r="J15" i="20" s="1"/>
  <c r="M15" i="20" s="1"/>
  <c r="I26" i="20"/>
  <c r="J26" i="20" s="1"/>
  <c r="M26" i="20" s="1"/>
  <c r="I25" i="20"/>
  <c r="J25" i="20" s="1"/>
  <c r="M25" i="20" s="1"/>
  <c r="I30" i="20"/>
  <c r="J30" i="20" s="1"/>
  <c r="M30" i="20" s="1"/>
  <c r="I20" i="20"/>
  <c r="J20" i="20" s="1"/>
  <c r="M20" i="20" s="1"/>
  <c r="I18" i="20"/>
  <c r="J18" i="20" s="1"/>
  <c r="M18" i="20" s="1"/>
  <c r="I29" i="20"/>
  <c r="J29" i="20" s="1"/>
  <c r="M29" i="20" s="1"/>
  <c r="I28" i="20"/>
  <c r="J28" i="20" s="1"/>
  <c r="M28" i="20" s="1"/>
  <c r="I24" i="20"/>
  <c r="J24" i="20" s="1"/>
  <c r="M24" i="20" s="1"/>
  <c r="I28" i="21"/>
  <c r="J28" i="21"/>
  <c r="I25" i="21"/>
  <c r="J25" i="21"/>
  <c r="I24" i="21"/>
  <c r="J24" i="21"/>
  <c r="J27" i="21"/>
  <c r="I27" i="21"/>
  <c r="J26" i="21"/>
  <c r="I26" i="21"/>
  <c r="J23" i="21"/>
  <c r="I23" i="21"/>
  <c r="I22" i="21"/>
  <c r="J22" i="21"/>
  <c r="J39" i="24"/>
  <c r="G17" i="25"/>
  <c r="G18" i="25" s="1"/>
  <c r="M18" i="25"/>
  <c r="L24" i="14"/>
  <c r="G43" i="25"/>
  <c r="R43" i="25"/>
  <c r="J54" i="14"/>
  <c r="AG28" i="26"/>
  <c r="AG26" i="26"/>
  <c r="E15" i="24"/>
  <c r="E17" i="25"/>
  <c r="E18" i="25" s="1"/>
  <c r="F34" i="14"/>
  <c r="F50" i="26"/>
  <c r="K23" i="20" l="1"/>
  <c r="K31" i="20"/>
  <c r="K32" i="20"/>
  <c r="K21" i="20"/>
  <c r="C59" i="26"/>
  <c r="F59" i="26"/>
  <c r="B41" i="26"/>
  <c r="M41" i="26" s="1"/>
  <c r="J50" i="26" s="1"/>
  <c r="F33" i="14"/>
  <c r="I35" i="14"/>
  <c r="I33" i="14"/>
  <c r="I34" i="14"/>
  <c r="D84" i="26"/>
  <c r="H50" i="26"/>
  <c r="F35" i="14"/>
  <c r="F49" i="26"/>
  <c r="E69" i="14"/>
  <c r="G34" i="14"/>
  <c r="C45" i="14"/>
  <c r="H41" i="20" l="1"/>
  <c r="H43" i="20"/>
  <c r="L50" i="26"/>
  <c r="J49" i="26"/>
  <c r="J51" i="26"/>
  <c r="L51" i="26" s="1"/>
  <c r="G33" i="14"/>
  <c r="L33" i="14" s="1"/>
  <c r="E68" i="14"/>
  <c r="E70" i="14"/>
  <c r="G35" i="14"/>
  <c r="L35" i="14" s="1"/>
  <c r="D83" i="26"/>
  <c r="H49" i="26"/>
  <c r="L34" i="14"/>
  <c r="F13" i="20"/>
  <c r="D21" i="21"/>
  <c r="F11" i="21"/>
  <c r="F23" i="20"/>
  <c r="E21" i="21"/>
  <c r="E23" i="20"/>
  <c r="E11" i="21"/>
  <c r="F21" i="21"/>
  <c r="D23" i="20"/>
  <c r="E13" i="20"/>
  <c r="I68" i="14" l="1"/>
  <c r="L49" i="26"/>
  <c r="L65" i="26"/>
  <c r="H71" i="26"/>
  <c r="I69" i="14"/>
  <c r="H68" i="26"/>
  <c r="H73" i="26"/>
  <c r="G84" i="26"/>
  <c r="L84" i="26" s="1"/>
  <c r="H65" i="26"/>
  <c r="H59" i="26"/>
  <c r="H74" i="26"/>
  <c r="H62" i="26"/>
  <c r="H66" i="26"/>
  <c r="H75" i="26"/>
  <c r="H72" i="26"/>
  <c r="H70" i="26"/>
  <c r="H67" i="26"/>
  <c r="L74" i="26"/>
  <c r="L59" i="26"/>
  <c r="L71" i="26"/>
  <c r="L73" i="26"/>
  <c r="L62" i="26"/>
  <c r="L67" i="26"/>
  <c r="L72" i="26"/>
  <c r="L66" i="26"/>
  <c r="L70" i="26"/>
  <c r="L68" i="26"/>
  <c r="G85" i="26"/>
  <c r="L45" i="14"/>
  <c r="I70" i="14"/>
  <c r="D45" i="14"/>
  <c r="H45" i="14"/>
  <c r="D11" i="21"/>
  <c r="D13" i="20"/>
  <c r="G83" i="26" l="1"/>
  <c r="L83" i="26" s="1"/>
  <c r="D70" i="26"/>
  <c r="D72" i="26"/>
  <c r="D67" i="26"/>
  <c r="D74" i="26"/>
  <c r="D66" i="26"/>
  <c r="D75" i="26"/>
  <c r="D71" i="26"/>
  <c r="D62" i="26"/>
  <c r="D59" i="26"/>
  <c r="D68" i="26"/>
  <c r="D65" i="26"/>
  <c r="D73" i="26"/>
  <c r="L75" i="26"/>
  <c r="F21" i="20"/>
  <c r="L85" i="26"/>
  <c r="F32" i="20"/>
  <c r="E32" i="20"/>
  <c r="D32" i="20"/>
  <c r="D31" i="20"/>
  <c r="F29" i="21"/>
  <c r="E29" i="21"/>
  <c r="J11" i="21"/>
  <c r="I11" i="21"/>
  <c r="F19" i="21"/>
  <c r="E19" i="21"/>
  <c r="E21" i="20"/>
  <c r="D60" i="14"/>
  <c r="D51" i="14"/>
  <c r="D48" i="14"/>
  <c r="D59" i="14"/>
  <c r="D61" i="14"/>
  <c r="D52" i="14"/>
  <c r="D53" i="14"/>
  <c r="D57" i="14"/>
  <c r="D58" i="14"/>
  <c r="D54" i="14"/>
  <c r="D56" i="14"/>
  <c r="E31" i="20"/>
  <c r="E30" i="21"/>
  <c r="E43" i="21" s="1"/>
  <c r="H60" i="14"/>
  <c r="H51" i="14"/>
  <c r="H58" i="14"/>
  <c r="H56" i="14"/>
  <c r="H61" i="14"/>
  <c r="H59" i="14"/>
  <c r="H48" i="14"/>
  <c r="H54" i="14"/>
  <c r="H53" i="14"/>
  <c r="H52" i="14"/>
  <c r="H57" i="14"/>
  <c r="F30" i="21"/>
  <c r="E45" i="21" s="1"/>
  <c r="L51" i="14"/>
  <c r="L61" i="14"/>
  <c r="L48" i="14"/>
  <c r="L53" i="14"/>
  <c r="L56" i="14"/>
  <c r="L57" i="14"/>
  <c r="L59" i="14"/>
  <c r="L52" i="14"/>
  <c r="L58" i="14"/>
  <c r="L54" i="14"/>
  <c r="L60" i="14"/>
  <c r="I18" i="21" l="1"/>
  <c r="J18" i="21"/>
  <c r="I14" i="21"/>
  <c r="J14" i="21"/>
  <c r="D29" i="21"/>
  <c r="I21" i="21"/>
  <c r="J21" i="21"/>
  <c r="I23" i="20"/>
  <c r="F31" i="20"/>
  <c r="D19" i="21"/>
  <c r="D30" i="21"/>
  <c r="E41" i="21" s="1"/>
  <c r="I16" i="21"/>
  <c r="J16" i="21"/>
  <c r="J15" i="21"/>
  <c r="I15" i="21"/>
  <c r="D21" i="20"/>
  <c r="I13" i="20"/>
  <c r="J13" i="20" s="1"/>
  <c r="M13" i="20" s="1"/>
  <c r="M21" i="20" s="1"/>
  <c r="J13" i="21"/>
  <c r="I13" i="21"/>
  <c r="J17" i="21"/>
  <c r="I17" i="21"/>
  <c r="I12" i="21"/>
  <c r="J12" i="21"/>
  <c r="J23" i="20" l="1"/>
  <c r="M23" i="20" s="1"/>
  <c r="M31" i="20" s="1"/>
  <c r="M32" i="20" s="1"/>
  <c r="J30" i="21"/>
  <c r="I30" i="21"/>
  <c r="K30" i="21" s="1"/>
  <c r="J21" i="20"/>
  <c r="J31" i="20" l="1"/>
  <c r="J32" i="20"/>
  <c r="M30" i="21"/>
  <c r="N30" i="21" s="1"/>
  <c r="E45" i="20" l="1"/>
  <c r="M45" i="20" s="1"/>
  <c r="E43" i="20"/>
  <c r="E41" i="20"/>
  <c r="L31" i="20"/>
  <c r="L32" i="20"/>
  <c r="L30" i="21"/>
  <c r="K43" i="20" l="1"/>
  <c r="M43" i="20" s="1"/>
  <c r="K41" i="20"/>
  <c r="M41" i="20"/>
  <c r="O30" i="21"/>
  <c r="H45" i="21" s="1"/>
  <c r="H41" i="21" l="1"/>
  <c r="H43" i="21"/>
</calcChain>
</file>

<file path=xl/sharedStrings.xml><?xml version="1.0" encoding="utf-8"?>
<sst xmlns="http://schemas.openxmlformats.org/spreadsheetml/2006/main" count="1827" uniqueCount="941">
  <si>
    <t>Worksheet 1A -- General Information and Input Data for Rural Two-Lane Two-Way Roadway Segments</t>
  </si>
  <si>
    <t>General Information</t>
  </si>
  <si>
    <t>Analyst</t>
  </si>
  <si>
    <t>Agency or Company</t>
  </si>
  <si>
    <t>Date Performed</t>
  </si>
  <si>
    <t>Input Data</t>
  </si>
  <si>
    <t>Length of segment, L (mi)</t>
  </si>
  <si>
    <t>AADT (veh/day)</t>
  </si>
  <si>
    <t>Lane width (ft)</t>
  </si>
  <si>
    <t>Shoulder width (ft)</t>
  </si>
  <si>
    <t>Shoulder type</t>
  </si>
  <si>
    <t>Length of horizontal curve (mi)</t>
  </si>
  <si>
    <t>Radius of curvature (ft)</t>
  </si>
  <si>
    <t>Spiral transition curve (present/not present)</t>
  </si>
  <si>
    <t>Superelevation variance (ft/ft)</t>
  </si>
  <si>
    <t>Grade (%)</t>
  </si>
  <si>
    <t>Driveway density (driveways/mile)</t>
  </si>
  <si>
    <t>Centerline rumble strips (present/not present)</t>
  </si>
  <si>
    <t>Two-way left-turn lane (present/not present)</t>
  </si>
  <si>
    <t>Roadside hazard rating (1-7 scale)</t>
  </si>
  <si>
    <t>Segment lighting (present/not present)</t>
  </si>
  <si>
    <t>Auto speed enforcement (present/not present)</t>
  </si>
  <si>
    <t>Calibration Factor, Cr</t>
  </si>
  <si>
    <t>Location Information</t>
  </si>
  <si>
    <t>Roadway</t>
  </si>
  <si>
    <t>Roadway Section</t>
  </si>
  <si>
    <t>Jurisdiction</t>
  </si>
  <si>
    <t>Analysis Year</t>
  </si>
  <si>
    <t>Base Conditions</t>
  </si>
  <si>
    <t>--</t>
  </si>
  <si>
    <t>Site Conditions</t>
  </si>
  <si>
    <t>Worksheet 1B -- Crash Modification Factors for Rural Two-Lane Two-Way Roadway Segments</t>
  </si>
  <si>
    <t>(1)</t>
  </si>
  <si>
    <t>(2)</t>
  </si>
  <si>
    <t>(3)</t>
  </si>
  <si>
    <t>(4)</t>
  </si>
  <si>
    <t>(5)</t>
  </si>
  <si>
    <t>(6)</t>
  </si>
  <si>
    <t>(7)</t>
  </si>
  <si>
    <t>(8)</t>
  </si>
  <si>
    <t>(9)</t>
  </si>
  <si>
    <t>(10)</t>
  </si>
  <si>
    <t>(11)</t>
  </si>
  <si>
    <t>(12)</t>
  </si>
  <si>
    <t>(13)</t>
  </si>
  <si>
    <t>CMF for Lane Width</t>
  </si>
  <si>
    <t>CMF for Shoulder Width and Type</t>
  </si>
  <si>
    <t>CMF for Horizontal Curves</t>
  </si>
  <si>
    <t>CMF for Grades</t>
  </si>
  <si>
    <t>CMF for Driveway Density</t>
  </si>
  <si>
    <t>CMF for Centerline Rumble Strips</t>
  </si>
  <si>
    <t>CMF for Passing Lanes</t>
  </si>
  <si>
    <t>CMF for Two-Way Left-Turn Lane</t>
  </si>
  <si>
    <t>CMF for Roadside Design</t>
  </si>
  <si>
    <t>CMF for Lighting</t>
  </si>
  <si>
    <t>CMF for Automated Speed Enforcement</t>
  </si>
  <si>
    <t>CMF 1r</t>
  </si>
  <si>
    <t>CMF 2r</t>
  </si>
  <si>
    <t>CMF 3r</t>
  </si>
  <si>
    <t>CMF 4r</t>
  </si>
  <si>
    <t>CMR 5r</t>
  </si>
  <si>
    <t>CMF 6r</t>
  </si>
  <si>
    <t>CMF 7r</t>
  </si>
  <si>
    <t>CMF 9r</t>
  </si>
  <si>
    <t>CMF 8r</t>
  </si>
  <si>
    <t>CMF 10r</t>
  </si>
  <si>
    <t>CMF 11r</t>
  </si>
  <si>
    <t>CMF 12r</t>
  </si>
  <si>
    <t>CMF comb</t>
  </si>
  <si>
    <t>from Equation 10-11</t>
  </si>
  <si>
    <t>from Equation 10-12</t>
  </si>
  <si>
    <t>from Equation 10-13</t>
  </si>
  <si>
    <t>from Equations 10-14, 10-15, or 10-16</t>
  </si>
  <si>
    <t>from Equation 10-17</t>
  </si>
  <si>
    <t>from Section 10.7.1</t>
  </si>
  <si>
    <t>from Equation 10-20</t>
  </si>
  <si>
    <t>from Equation 10-21</t>
  </si>
  <si>
    <t>(1)x(2)x … x(11)x(12)</t>
  </si>
  <si>
    <t>Worksheet 1C -- Roadway Segment Crashes for Rural Two-Lane Two-Way Roadway Segments</t>
  </si>
  <si>
    <t>Crash Severity Level</t>
  </si>
  <si>
    <t>N spf rs</t>
  </si>
  <si>
    <t>Overdispersion Parameter, k</t>
  </si>
  <si>
    <t>Crash Severity Distribution</t>
  </si>
  <si>
    <t>N spf rs by Severity Distribution</t>
  </si>
  <si>
    <t>Combined CMFs</t>
  </si>
  <si>
    <t xml:space="preserve">  from Equation 10-7</t>
  </si>
  <si>
    <r>
      <t>(2)</t>
    </r>
    <r>
      <rPr>
        <sz val="8"/>
        <rFont val="Arial"/>
        <family val="2"/>
      </rPr>
      <t>TOTAL</t>
    </r>
    <r>
      <rPr>
        <sz val="10"/>
        <rFont val="Arial"/>
        <family val="2"/>
      </rPr>
      <t xml:space="preserve"> x (4)</t>
    </r>
  </si>
  <si>
    <t>(13) from Worksheet 1B</t>
  </si>
  <si>
    <t>Total</t>
  </si>
  <si>
    <t>Fatal and Injury (FI)</t>
  </si>
  <si>
    <t>Property Damage Only (PDO)</t>
  </si>
  <si>
    <t>Worksheet 1D -- Crashes by Severity Level and Collision Type for Rural Two-Lane Two-Way Roadway Segments</t>
  </si>
  <si>
    <t>Collision Type</t>
  </si>
  <si>
    <r>
      <t xml:space="preserve">N </t>
    </r>
    <r>
      <rPr>
        <b/>
        <i/>
        <sz val="6"/>
        <rFont val="Arial"/>
        <family val="2"/>
      </rPr>
      <t>predicted rs</t>
    </r>
    <r>
      <rPr>
        <b/>
        <sz val="6"/>
        <rFont val="Arial"/>
        <family val="2"/>
      </rPr>
      <t xml:space="preserve"> (TOTAL)</t>
    </r>
    <r>
      <rPr>
        <b/>
        <sz val="10"/>
        <rFont val="Arial"/>
        <family val="2"/>
      </rPr>
      <t xml:space="preserve"> (crashes/year)</t>
    </r>
  </si>
  <si>
    <r>
      <t>Proportion of Collision Type</t>
    </r>
    <r>
      <rPr>
        <b/>
        <sz val="6"/>
        <rFont val="Arial"/>
        <family val="2"/>
      </rPr>
      <t>(FI)</t>
    </r>
  </si>
  <si>
    <r>
      <t xml:space="preserve">N </t>
    </r>
    <r>
      <rPr>
        <b/>
        <i/>
        <sz val="6"/>
        <rFont val="Arial"/>
        <family val="2"/>
      </rPr>
      <t>predicted rs</t>
    </r>
    <r>
      <rPr>
        <b/>
        <sz val="6"/>
        <rFont val="Arial"/>
        <family val="2"/>
      </rPr>
      <t xml:space="preserve"> (FI)</t>
    </r>
    <r>
      <rPr>
        <b/>
        <sz val="10"/>
        <rFont val="Arial"/>
        <family val="2"/>
      </rPr>
      <t xml:space="preserve"> (crashes/year)</t>
    </r>
  </si>
  <si>
    <r>
      <t>Proportion of Collision Type</t>
    </r>
    <r>
      <rPr>
        <b/>
        <sz val="6"/>
        <rFont val="Arial"/>
        <family val="2"/>
      </rPr>
      <t>(TOTAL)</t>
    </r>
  </si>
  <si>
    <r>
      <t>Proportion of Collision Type</t>
    </r>
    <r>
      <rPr>
        <b/>
        <sz val="6"/>
        <rFont val="Arial"/>
        <family val="2"/>
      </rPr>
      <t>(PDO)</t>
    </r>
  </si>
  <si>
    <r>
      <t xml:space="preserve">N </t>
    </r>
    <r>
      <rPr>
        <b/>
        <i/>
        <sz val="6"/>
        <rFont val="Arial"/>
        <family val="2"/>
      </rPr>
      <t>predicted rs</t>
    </r>
    <r>
      <rPr>
        <b/>
        <sz val="6"/>
        <rFont val="Arial"/>
        <family val="2"/>
      </rPr>
      <t xml:space="preserve"> (PDO)</t>
    </r>
    <r>
      <rPr>
        <b/>
        <sz val="10"/>
        <rFont val="Arial"/>
        <family val="2"/>
      </rPr>
      <t xml:space="preserve"> (crashes/year)</t>
    </r>
  </si>
  <si>
    <r>
      <t>(8)</t>
    </r>
    <r>
      <rPr>
        <sz val="6"/>
        <rFont val="Arial"/>
        <family val="2"/>
      </rPr>
      <t>PDO</t>
    </r>
    <r>
      <rPr>
        <sz val="10"/>
        <rFont val="Arial"/>
        <family val="2"/>
      </rPr>
      <t xml:space="preserve"> from Worksheet 1C</t>
    </r>
  </si>
  <si>
    <r>
      <t>(2)x(3)</t>
    </r>
    <r>
      <rPr>
        <sz val="6"/>
        <rFont val="Arial"/>
        <family val="2"/>
      </rPr>
      <t>TOTAL</t>
    </r>
  </si>
  <si>
    <r>
      <t>(4)x(5)</t>
    </r>
    <r>
      <rPr>
        <sz val="6"/>
        <rFont val="Arial"/>
        <family val="2"/>
      </rPr>
      <t>FI</t>
    </r>
  </si>
  <si>
    <r>
      <t>(6)x(7)</t>
    </r>
    <r>
      <rPr>
        <sz val="6"/>
        <rFont val="Arial"/>
        <family val="2"/>
      </rPr>
      <t>PDO</t>
    </r>
  </si>
  <si>
    <t>SINGLE-VEHICLE</t>
  </si>
  <si>
    <t>Collision with animal</t>
  </si>
  <si>
    <t>Collision with bicycle</t>
  </si>
  <si>
    <t>Collision with pedestrian</t>
  </si>
  <si>
    <t>Overturned</t>
  </si>
  <si>
    <t>Ran off road</t>
  </si>
  <si>
    <t>Other single-vehicle collision</t>
  </si>
  <si>
    <t>Total single-vehicle crashes</t>
  </si>
  <si>
    <t>MULTIPLE-VEHICLE</t>
  </si>
  <si>
    <t>Angle collision</t>
  </si>
  <si>
    <t>Head-on collision</t>
  </si>
  <si>
    <t>Rear-end collision</t>
  </si>
  <si>
    <t>Sideswipe collision</t>
  </si>
  <si>
    <t>Other multiple-vehicle collision</t>
  </si>
  <si>
    <t>Worksheet 1E -- Summary Results for Rural Two-Lane Two-Way Roadway Segments</t>
  </si>
  <si>
    <t>Crash severity level</t>
  </si>
  <si>
    <t>Predicted average crash frequency (crashes/year)</t>
  </si>
  <si>
    <t>Roadway segment length (mi)</t>
  </si>
  <si>
    <t>Crash rate (crashes/mi/year)</t>
  </si>
  <si>
    <t>(4) from Worksheet 1C</t>
  </si>
  <si>
    <t>(3)/(4)</t>
  </si>
  <si>
    <t>&lt; 0.01</t>
  </si>
  <si>
    <t>Lane Width (ft)</t>
  </si>
  <si>
    <t>Shoulder Width (ft)</t>
  </si>
  <si>
    <t>Shoulder Type</t>
  </si>
  <si>
    <t>Lane Width</t>
  </si>
  <si>
    <t>TWLTL</t>
  </si>
  <si>
    <t>Lighting</t>
  </si>
  <si>
    <t>&lt; 400</t>
  </si>
  <si>
    <t>400 to 2000</t>
  </si>
  <si>
    <t>&gt; 2000</t>
  </si>
  <si>
    <t>Fatal</t>
  </si>
  <si>
    <t>Incapacitating Injury</t>
  </si>
  <si>
    <t>Nonincapacitating Injury</t>
  </si>
  <si>
    <t>Possible Injury</t>
  </si>
  <si>
    <t>Total Fatal Plus Injury</t>
  </si>
  <si>
    <t>Property Damage Only</t>
  </si>
  <si>
    <t>TOTAL</t>
  </si>
  <si>
    <t>HSM-Provided Values</t>
  </si>
  <si>
    <t>Locally-Derived Values</t>
  </si>
  <si>
    <t>Collision type</t>
  </si>
  <si>
    <t>SINGLE-VEHICLE CRASHES</t>
  </si>
  <si>
    <t>Other single-vehicle crash</t>
  </si>
  <si>
    <t>MULTIPLE-VEHICLE CRASHES</t>
  </si>
  <si>
    <t>Total multiple-vehicle crashes</t>
  </si>
  <si>
    <t>TOTAL CRASHES</t>
  </si>
  <si>
    <t>Total fatal and injury</t>
  </si>
  <si>
    <t>Property damage only</t>
  </si>
  <si>
    <t>TOTAL (all severity levels combined)</t>
  </si>
  <si>
    <t>Shoulder Width</t>
  </si>
  <si>
    <t>RHR</t>
  </si>
  <si>
    <t>Paved</t>
  </si>
  <si>
    <t>Gravel</t>
  </si>
  <si>
    <t>Composite</t>
  </si>
  <si>
    <t>Turf</t>
  </si>
  <si>
    <t>Spiral</t>
  </si>
  <si>
    <t>Not Present</t>
  </si>
  <si>
    <t>Present</t>
  </si>
  <si>
    <t>Centerline</t>
  </si>
  <si>
    <t>Rumble Strips</t>
  </si>
  <si>
    <t>Passing</t>
  </si>
  <si>
    <t>Lane</t>
  </si>
  <si>
    <t>SpEnforce</t>
  </si>
  <si>
    <t>Three-leg stop-controlled intersections</t>
  </si>
  <si>
    <t>Four-leg stop-controlled intersections</t>
  </si>
  <si>
    <t>Four-leg signalized intersections</t>
  </si>
  <si>
    <t>Nonincapacitating injury</t>
  </si>
  <si>
    <t>Incapacitating injury</t>
  </si>
  <si>
    <t>Possible injury</t>
  </si>
  <si>
    <t>Total fatal plus injury</t>
  </si>
  <si>
    <t>Fatal and Injury</t>
  </si>
  <si>
    <t>Fatal and injury</t>
  </si>
  <si>
    <t>Note: The collision types related to lane width to which this CMF applies include single-vehicle run-off-the-road and multiple-vehicle head-on, opposite-direction sideswipe, and same-direction sideswipe crashes.</t>
  </si>
  <si>
    <t>Note: The collision types related to shoulder width to which this CMF applies include single-vehicle run-off-the-road and multiple-vehicle head-on, opposite-direction sideswipe, and same-direction sideswipe crashes.</t>
  </si>
  <si>
    <t>CMF for Super-elevation</t>
  </si>
  <si>
    <t>Passing lanes [present (1 lane) /present (2 lane) / not present)]</t>
  </si>
  <si>
    <t>Present (1 lane)</t>
  </si>
  <si>
    <t>Present (2 lanes)</t>
  </si>
  <si>
    <t>2U</t>
  </si>
  <si>
    <r>
      <t>Fatal and Injury p</t>
    </r>
    <r>
      <rPr>
        <b/>
        <vertAlign val="subscript"/>
        <sz val="10"/>
        <rFont val="Arial"/>
        <family val="2"/>
      </rPr>
      <t>inr</t>
    </r>
  </si>
  <si>
    <r>
      <t>PDO p</t>
    </r>
    <r>
      <rPr>
        <b/>
        <vertAlign val="subscript"/>
        <sz val="10"/>
        <rFont val="Arial"/>
        <family val="2"/>
      </rPr>
      <t>pnr</t>
    </r>
  </si>
  <si>
    <r>
      <t>p</t>
    </r>
    <r>
      <rPr>
        <b/>
        <vertAlign val="subscript"/>
        <sz val="10"/>
        <rFont val="Arial"/>
        <family val="2"/>
      </rPr>
      <t>nr</t>
    </r>
  </si>
  <si>
    <t>Proportion of total nighttime crashes by severity level</t>
  </si>
  <si>
    <t>Proportion of crashes that occur at night</t>
  </si>
  <si>
    <t>Roadway Type</t>
  </si>
  <si>
    <t>Note: The values for composite shoulders in this exhibit represent a shoulder for which 50 percent of the shoulder width is paved and 50 percent of the shoulder width is turf.</t>
  </si>
  <si>
    <t>Local</t>
  </si>
  <si>
    <t>Yes</t>
  </si>
  <si>
    <t>No</t>
  </si>
  <si>
    <t>Locally-Derived Values?</t>
  </si>
  <si>
    <t>Worksheet 2A -- General Information and Input Data for Rural Two-Lane Two-Way Roadway Intersections</t>
  </si>
  <si>
    <t>Intersection</t>
  </si>
  <si>
    <t>Intersection type (3ST, 4ST, 4SG)</t>
  </si>
  <si>
    <r>
      <t>AADT</t>
    </r>
    <r>
      <rPr>
        <vertAlign val="subscript"/>
        <sz val="10"/>
        <rFont val="Arial"/>
        <family val="2"/>
      </rPr>
      <t>major</t>
    </r>
    <r>
      <rPr>
        <sz val="10"/>
        <rFont val="Arial"/>
        <family val="2"/>
      </rPr>
      <t xml:space="preserve"> (veh/day)</t>
    </r>
  </si>
  <si>
    <r>
      <t>AADT</t>
    </r>
    <r>
      <rPr>
        <vertAlign val="subscript"/>
        <sz val="10"/>
        <rFont val="Arial"/>
        <family val="2"/>
      </rPr>
      <t>minor</t>
    </r>
    <r>
      <rPr>
        <sz val="10"/>
        <rFont val="Arial"/>
        <family val="2"/>
      </rPr>
      <t xml:space="preserve"> (veh/day)</t>
    </r>
  </si>
  <si>
    <t>Intersection skew angle (degrees)</t>
  </si>
  <si>
    <t>Number of signalized or uncontrolled approaches with a left-turn lane (0, 1, 2, 3, 4)</t>
  </si>
  <si>
    <t>Number of signalized or uncontrolled approaches with a right-turn lane (0, 1, 2, 3, 4)</t>
  </si>
  <si>
    <t>Intersection lighting (present/not present)</t>
  </si>
  <si>
    <r>
      <t>Calibration Factor, C</t>
    </r>
    <r>
      <rPr>
        <vertAlign val="subscript"/>
        <sz val="10"/>
        <rFont val="Arial"/>
        <family val="2"/>
      </rPr>
      <t>i</t>
    </r>
  </si>
  <si>
    <t>Itype</t>
  </si>
  <si>
    <t>3ST</t>
  </si>
  <si>
    <t>4ST</t>
  </si>
  <si>
    <t>4SG</t>
  </si>
  <si>
    <t>Lapproach</t>
  </si>
  <si>
    <t>Rapproach</t>
  </si>
  <si>
    <t>Ilight</t>
  </si>
  <si>
    <t>Worksheet 2B -- Crash Modification Factors for Rural Two-Lane Two-Way Roadway Intersections</t>
  </si>
  <si>
    <t>CMF for Intersection Skew Angle</t>
  </si>
  <si>
    <t>from Equations 10-22 or 10-23</t>
  </si>
  <si>
    <t>CMF for Left-Turn Lanes</t>
  </si>
  <si>
    <t>CMF for Right-Turn Lanes</t>
  </si>
  <si>
    <t>Combined CMF</t>
  </si>
  <si>
    <t>(1)*(2)*(3)*(4)</t>
  </si>
  <si>
    <t>Worksheet 2C -- Intersection Crashes for Rural Two-Lane Two-Way Roadway Intersections</t>
  </si>
  <si>
    <r>
      <t xml:space="preserve">N </t>
    </r>
    <r>
      <rPr>
        <vertAlign val="subscript"/>
        <sz val="10"/>
        <rFont val="Arial"/>
        <family val="2"/>
      </rPr>
      <t>spf 3ST, 4ST or 4SG</t>
    </r>
  </si>
  <si>
    <r>
      <t>N</t>
    </r>
    <r>
      <rPr>
        <vertAlign val="subscript"/>
        <sz val="10"/>
        <rFont val="Arial"/>
        <family val="2"/>
      </rPr>
      <t xml:space="preserve"> spf 3ST, 4ST or 4SG</t>
    </r>
    <r>
      <rPr>
        <sz val="10"/>
        <rFont val="Arial"/>
        <family val="2"/>
      </rPr>
      <t xml:space="preserve"> by Severity Distribution</t>
    </r>
  </si>
  <si>
    <t>from Equations 10-8, 10-9, or 10-10</t>
  </si>
  <si>
    <t>from Section 10.6.2</t>
  </si>
  <si>
    <r>
      <t>(2)</t>
    </r>
    <r>
      <rPr>
        <vertAlign val="subscript"/>
        <sz val="10"/>
        <rFont val="Arial"/>
        <family val="2"/>
      </rPr>
      <t>TOTAL</t>
    </r>
    <r>
      <rPr>
        <sz val="10"/>
        <rFont val="Arial"/>
        <family val="2"/>
      </rPr>
      <t xml:space="preserve"> * (4)</t>
    </r>
  </si>
  <si>
    <t>Worksheet 2D -- Crashes by Severity Level and Collision Type for Rural Two-Lane Two-Way Road Intersections</t>
  </si>
  <si>
    <t>Worksheet 2E -- Summary Results for Rural Two-Lane Two-Way Road Intersections</t>
  </si>
  <si>
    <t>(4) from Worksheet 2C</t>
  </si>
  <si>
    <t>[If 4ST, does skew differ for minor legs?]</t>
  </si>
  <si>
    <t>Differ</t>
  </si>
  <si>
    <t>Skew for Leg 1 (All):</t>
  </si>
  <si>
    <t>Skew for Leg 2 (4ST only):</t>
  </si>
  <si>
    <r>
      <t>Number of approaches with left-turn lanes</t>
    </r>
    <r>
      <rPr>
        <b/>
        <vertAlign val="superscript"/>
        <sz val="10"/>
        <rFont val="Arial"/>
        <family val="2"/>
      </rPr>
      <t xml:space="preserve"> a</t>
    </r>
  </si>
  <si>
    <t>Intersection type</t>
  </si>
  <si>
    <t>Intersection traffic control</t>
  </si>
  <si>
    <t>Three-leg intersection</t>
  </si>
  <si>
    <t>Traffic signal</t>
  </si>
  <si>
    <r>
      <rPr>
        <vertAlign val="superscript"/>
        <sz val="8"/>
        <rFont val="Arial"/>
        <family val="2"/>
      </rPr>
      <t>a</t>
    </r>
    <r>
      <rPr>
        <sz val="8"/>
        <rFont val="Arial"/>
        <family val="2"/>
      </rPr>
      <t xml:space="preserve"> Stop-controlled approaches are not considered in determing the number of approaches with left-turn lanes</t>
    </r>
  </si>
  <si>
    <t>Note:</t>
  </si>
  <si>
    <r>
      <rPr>
        <vertAlign val="superscript"/>
        <sz val="8"/>
        <rFont val="Arial"/>
        <family val="2"/>
      </rPr>
      <t>b</t>
    </r>
    <r>
      <rPr>
        <sz val="8"/>
        <rFont val="Arial"/>
        <family val="2"/>
      </rPr>
      <t xml:space="preserve"> Stop signs present on minor road approaches only.</t>
    </r>
  </si>
  <si>
    <r>
      <rPr>
        <vertAlign val="superscript"/>
        <sz val="8"/>
        <rFont val="Arial"/>
        <family val="2"/>
      </rPr>
      <t>a</t>
    </r>
    <r>
      <rPr>
        <sz val="8"/>
        <rFont val="Arial"/>
        <family val="2"/>
      </rPr>
      <t xml:space="preserve"> Stop-controlled approaches are not considered in determing the number of approaches with right-turn lanes</t>
    </r>
  </si>
  <si>
    <t>Intersection Type</t>
  </si>
  <si>
    <t>HSM Provided Values</t>
  </si>
  <si>
    <r>
      <t xml:space="preserve">Predicted average crash frequency,   N </t>
    </r>
    <r>
      <rPr>
        <vertAlign val="subscript"/>
        <sz val="10"/>
        <rFont val="Arial"/>
        <family val="2"/>
      </rPr>
      <t>predicted int</t>
    </r>
  </si>
  <si>
    <r>
      <t>(8)</t>
    </r>
    <r>
      <rPr>
        <sz val="6"/>
        <rFont val="Arial"/>
        <family val="2"/>
      </rPr>
      <t>PDO</t>
    </r>
    <r>
      <rPr>
        <sz val="10"/>
        <rFont val="Arial"/>
        <family val="2"/>
      </rPr>
      <t xml:space="preserve"> from Worksheet 2C</t>
    </r>
  </si>
  <si>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</si>
  <si>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</si>
  <si>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r>
      <t xml:space="preserve">N </t>
    </r>
    <r>
      <rPr>
        <b/>
        <i/>
        <sz val="6"/>
        <rFont val="Arial"/>
        <family val="2"/>
      </rPr>
      <t>predicted int</t>
    </r>
    <r>
      <rPr>
        <b/>
        <sz val="6"/>
        <rFont val="Arial"/>
        <family val="2"/>
      </rPr>
      <t xml:space="preserve"> (PDO)</t>
    </r>
    <r>
      <rPr>
        <b/>
        <sz val="10"/>
        <rFont val="Arial"/>
        <family val="2"/>
      </rPr>
      <t xml:space="preserve"> (crashes/year)</t>
    </r>
  </si>
  <si>
    <t>Predicted average crash frequency (crashes / year)</t>
  </si>
  <si>
    <t>Mwidth</t>
  </si>
  <si>
    <t>Divided</t>
  </si>
  <si>
    <t>Undivided</t>
  </si>
  <si>
    <t>Division</t>
  </si>
  <si>
    <t>Sslope</t>
  </si>
  <si>
    <t>1:2 or Steeper</t>
  </si>
  <si>
    <t>1:4</t>
  </si>
  <si>
    <t>1:5</t>
  </si>
  <si>
    <t>1:6</t>
  </si>
  <si>
    <t>1:7 or Flatter</t>
  </si>
  <si>
    <t>Shld2</t>
  </si>
  <si>
    <t>Iapproach</t>
  </si>
  <si>
    <t>Overview</t>
  </si>
  <si>
    <t>Color Coding in the Worksheets</t>
  </si>
  <si>
    <t>Color Used</t>
  </si>
  <si>
    <t>Type of Information Required from User</t>
  </si>
  <si>
    <t>The current contents of this spreadsheet include the following:</t>
  </si>
  <si>
    <t>Worksheet Name</t>
  </si>
  <si>
    <t>Contents</t>
  </si>
  <si>
    <t>Instructions</t>
  </si>
  <si>
    <t>Worksheet 3A -- Predicted and Observed Crashes by Severity and Site Type Using the Site-Specific EB Method</t>
  </si>
  <si>
    <t>Site type</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</si>
  <si>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</si>
  <si>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</si>
  <si>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</si>
  <si>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t>
    </r>
    <r>
      <rPr>
        <sz val="10"/>
        <rFont val="Arial"/>
        <family val="2"/>
      </rPr>
      <t xml:space="preserve">    (PDO)</t>
    </r>
  </si>
  <si>
    <t>Equation A-5 from Part C Appendix</t>
  </si>
  <si>
    <t>Equation   A-4 from Part C Appendix</t>
  </si>
  <si>
    <t>ROADWAY SEGMENTS</t>
  </si>
  <si>
    <t>INTERSECTIONS</t>
  </si>
  <si>
    <t>COMBINED (sum of column)</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</si>
  <si>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</si>
  <si>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</si>
  <si>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</si>
  <si>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(8)</t>
    </r>
    <r>
      <rPr>
        <vertAlign val="subscript"/>
        <sz val="10"/>
        <rFont val="Arial"/>
        <family val="2"/>
      </rPr>
      <t>COMB</t>
    </r>
    <r>
      <rPr>
        <sz val="10"/>
        <rFont val="Arial"/>
        <family val="2"/>
      </rPr>
      <t xml:space="preserve"> from Worksheet 3A</t>
    </r>
  </si>
  <si>
    <t>Fatal and injury (FI)</t>
  </si>
  <si>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</si>
  <si>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Property damage only (PDO)</t>
  </si>
  <si>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</si>
  <si>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t>Worksheet 4A -- Predicted and Observed Crashes by Severity and Site Type Using the Project-Level EB Method</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</si>
  <si>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</si>
  <si>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</si>
  <si>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</si>
  <si>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</si>
  <si>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w</t>
    </r>
    <r>
      <rPr>
        <b/>
        <vertAlign val="subscript"/>
        <sz val="10"/>
        <rFont val="Arial"/>
        <family val="2"/>
      </rPr>
      <t>1</t>
    </r>
  </si>
  <si>
    <r>
      <t>N</t>
    </r>
    <r>
      <rPr>
        <b/>
        <vertAlign val="subscript"/>
        <sz val="10"/>
        <rFont val="Arial"/>
        <family val="2"/>
      </rPr>
      <t>1</t>
    </r>
  </si>
  <si>
    <r>
      <t>N</t>
    </r>
    <r>
      <rPr>
        <b/>
        <vertAlign val="subscript"/>
        <sz val="10"/>
        <rFont val="Arial"/>
        <family val="2"/>
      </rPr>
      <t>p/comb</t>
    </r>
  </si>
  <si>
    <r>
      <t xml:space="preserve"> N</t>
    </r>
    <r>
      <rPr>
        <vertAlign val="subscript"/>
        <sz val="10"/>
        <rFont val="Arial"/>
        <family val="2"/>
      </rPr>
      <t xml:space="preserve"> predicted</t>
    </r>
    <r>
      <rPr>
        <sz val="10"/>
        <rFont val="Arial"/>
        <family val="2"/>
      </rPr>
      <t xml:space="preserve">    (FI)</t>
    </r>
  </si>
  <si>
    <r>
      <t>Equation A-8  (6)*(2)</t>
    </r>
    <r>
      <rPr>
        <vertAlign val="superscript"/>
        <sz val="10"/>
        <rFont val="Arial"/>
        <family val="2"/>
      </rPr>
      <t>2</t>
    </r>
  </si>
  <si>
    <t>Equation A-9  sqrt((6)*(2))</t>
  </si>
  <si>
    <t>Equation   A-10</t>
  </si>
  <si>
    <t>Equation   A-11</t>
  </si>
  <si>
    <t>Equation   A-12</t>
  </si>
  <si>
    <t>Equation   A-13</t>
  </si>
  <si>
    <t>Equation   A-14</t>
  </si>
  <si>
    <r>
      <t>(2)</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</si>
  <si>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</si>
  <si>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</si>
  <si>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</si>
  <si>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Tables Affiliated with Crash Statistics:</t>
  </si>
  <si>
    <t>Tables Affiliated with Crash Modification Factors:</t>
  </si>
  <si>
    <t>Supplemental CMF Calculations for Shoulders:</t>
  </si>
  <si>
    <t>Supplemental CMF Calculations for Horizontal Curves:</t>
  </si>
  <si>
    <t>Adjusted Curve Length (if less than 100 ft):</t>
  </si>
  <si>
    <t>Adjusted Curve Radius (if less than 100 ft):</t>
  </si>
  <si>
    <t>One End Only</t>
  </si>
  <si>
    <t>Numeric Value for S:</t>
  </si>
  <si>
    <t>Calculated Horizonatal Curve CMF:</t>
  </si>
  <si>
    <t>Adjusted Horizontal Curve CMF:</t>
  </si>
  <si>
    <t>Predicted average crash frequency,      N predicted rs (crashes/year)</t>
  </si>
  <si>
    <r>
      <t>CMF</t>
    </r>
    <r>
      <rPr>
        <vertAlign val="subscript"/>
        <sz val="10"/>
        <rFont val="Arial"/>
        <family val="2"/>
      </rPr>
      <t xml:space="preserve"> 1i</t>
    </r>
  </si>
  <si>
    <r>
      <t>CMF</t>
    </r>
    <r>
      <rPr>
        <vertAlign val="subscript"/>
        <sz val="10"/>
        <rFont val="Arial"/>
        <family val="2"/>
      </rPr>
      <t xml:space="preserve"> 2i</t>
    </r>
  </si>
  <si>
    <r>
      <t>CMF</t>
    </r>
    <r>
      <rPr>
        <vertAlign val="subscript"/>
        <sz val="10"/>
        <rFont val="Arial"/>
        <family val="2"/>
      </rPr>
      <t xml:space="preserve"> 3i</t>
    </r>
  </si>
  <si>
    <r>
      <t>CMF</t>
    </r>
    <r>
      <rPr>
        <vertAlign val="subscript"/>
        <sz val="10"/>
        <rFont val="Arial"/>
        <family val="2"/>
      </rPr>
      <t xml:space="preserve"> 4i</t>
    </r>
  </si>
  <si>
    <r>
      <t>CMF</t>
    </r>
    <r>
      <rPr>
        <vertAlign val="subscript"/>
        <sz val="10"/>
        <rFont val="Arial"/>
        <family val="2"/>
      </rPr>
      <t xml:space="preserve"> COMB</t>
    </r>
  </si>
  <si>
    <t>from (5) of Worksheet 2B</t>
  </si>
  <si>
    <t>COMBINED</t>
  </si>
  <si>
    <t>Table 10-3: Distribution for Crash Severity Level on Rural Two-Lane Two-Way Roadway Segments plus Locally-Derived Values</t>
  </si>
  <si>
    <t>Table 10-4: Default Distribution by Collision Type for Specific Crash Severity Levels on Rural Two-Lane Two-Way Roadway Segments plus Locally-Derived Values</t>
  </si>
  <si>
    <t>Note:  HSM-provided values based on crash data for Washington (2002-2006); includes approximately 70 percent opposite-direction sideswipe and 30 percent same-direction sideswipe collisions.</t>
  </si>
  <si>
    <t>Note: HSM-provided crash severity data based on HSIS data for Washington (2002-2006)</t>
  </si>
  <si>
    <t>Table 10-5: Default Distribution for Crash Severity Level at Rural Two-Lane Two-Way Intersections plus Locally-Derived Values</t>
  </si>
  <si>
    <t>Table 10-6: Default Distribution for Collision Type and Manner of Collision at Rural Two-Way Intersections plus Locally-Derived Values</t>
  </si>
  <si>
    <t>Note:  HSM-Provided values based on HSIS data for California (2002-2006)</t>
  </si>
  <si>
    <r>
      <t>Table 10-8: CMF for Lane Width on Roadway Segments (CMF</t>
    </r>
    <r>
      <rPr>
        <b/>
        <vertAlign val="subscript"/>
        <sz val="10"/>
        <rFont val="Arial"/>
        <family val="2"/>
      </rPr>
      <t>ra</t>
    </r>
    <r>
      <rPr>
        <b/>
        <sz val="10"/>
        <rFont val="Arial"/>
        <family val="2"/>
      </rPr>
      <t>)</t>
    </r>
  </si>
  <si>
    <r>
      <t>Table 10-9: CMF for Shoulder Width on Roadway Segments (CMF</t>
    </r>
    <r>
      <rPr>
        <b/>
        <vertAlign val="subscript"/>
        <sz val="10"/>
        <rFont val="Arial"/>
        <family val="2"/>
      </rPr>
      <t>wra</t>
    </r>
    <r>
      <rPr>
        <b/>
        <sz val="10"/>
        <rFont val="Arial"/>
        <family val="2"/>
      </rPr>
      <t>)</t>
    </r>
  </si>
  <si>
    <r>
      <t>Table 10-10: Crash Modification Factors for Shoulder Types and Shoulder Widths on Roadway Segments (CMF</t>
    </r>
    <r>
      <rPr>
        <b/>
        <vertAlign val="subscript"/>
        <sz val="10"/>
        <rFont val="Arial"/>
        <family val="2"/>
      </rPr>
      <t>tra</t>
    </r>
    <r>
      <rPr>
        <b/>
        <sz val="10"/>
        <rFont val="Arial"/>
        <family val="2"/>
      </rPr>
      <t>)</t>
    </r>
  </si>
  <si>
    <t>from Table 10-11</t>
  </si>
  <si>
    <t>from Equation 10-18 &amp; 10-19</t>
  </si>
  <si>
    <t>Note:  HSM-provided values based on HSIS data for Washington (2002-2006)</t>
  </si>
  <si>
    <t>Table 10-12: Nighttime Crash Proportions for Unlighted Roadway Segments plus Locally-Derived Values</t>
  </si>
  <si>
    <t>from  Equation 10-6</t>
  </si>
  <si>
    <t>from Table 10-3 (proportion)</t>
  </si>
  <si>
    <t>from Table 10-4</t>
  </si>
  <si>
    <t xml:space="preserve">  from Table   10-4</t>
  </si>
  <si>
    <t>Crash Severity Distribution (proportion)</t>
  </si>
  <si>
    <t xml:space="preserve">  from Table  10-5</t>
  </si>
  <si>
    <t xml:space="preserve">    from Table  10-6</t>
  </si>
  <si>
    <t>from Table 10-6</t>
  </si>
  <si>
    <r>
      <t xml:space="preserve">Crash Severity Distribution </t>
    </r>
    <r>
      <rPr>
        <sz val="10"/>
        <rFont val="Arial"/>
        <family val="2"/>
      </rPr>
      <t>(proportion)</t>
    </r>
  </si>
  <si>
    <r>
      <t>Table 10-13: CMF for Installation of Left-Turn Lanes on Intersection Approaches (CMF</t>
    </r>
    <r>
      <rPr>
        <b/>
        <vertAlign val="subscript"/>
        <sz val="10"/>
        <rFont val="Arial"/>
        <family val="2"/>
      </rPr>
      <t>2i</t>
    </r>
    <r>
      <rPr>
        <b/>
        <sz val="10"/>
        <rFont val="Arial"/>
        <family val="2"/>
      </rPr>
      <t>)</t>
    </r>
  </si>
  <si>
    <r>
      <t xml:space="preserve">Minor road stop control </t>
    </r>
    <r>
      <rPr>
        <vertAlign val="superscript"/>
        <sz val="10"/>
        <rFont val="Arial"/>
        <family val="2"/>
      </rPr>
      <t>b</t>
    </r>
  </si>
  <si>
    <t>Four-leg intersection</t>
  </si>
  <si>
    <r>
      <t>Table 10-14: CMF for Installation of Right-Turn Lanes on Intersection Approaches (CMF</t>
    </r>
    <r>
      <rPr>
        <b/>
        <vertAlign val="subscript"/>
        <sz val="10"/>
        <rFont val="Arial"/>
        <family val="2"/>
      </rPr>
      <t>3i</t>
    </r>
    <r>
      <rPr>
        <b/>
        <sz val="10"/>
        <rFont val="Arial"/>
        <family val="2"/>
      </rPr>
      <t>)</t>
    </r>
  </si>
  <si>
    <t>Table 10-15: Nighttime Crash Proportions for Unlighted Intersections</t>
  </si>
  <si>
    <t>from Table 10-13</t>
  </si>
  <si>
    <t>from Table 10-14</t>
  </si>
  <si>
    <t>from Equation 10-24</t>
  </si>
  <si>
    <t>Highway Safety Manual 1st Edition, Volume 2, Chapter 10 -- Predictive Method for Rural Two-Lane, Two-Way Roads -- Analysis Spreadsheet Summary</t>
  </si>
  <si>
    <t>Locally-Derived Values (Oregon)</t>
  </si>
  <si>
    <r>
      <t>AADT</t>
    </r>
    <r>
      <rPr>
        <vertAlign val="subscript"/>
        <sz val="10"/>
        <rFont val="Arial"/>
        <family val="2"/>
      </rPr>
      <t>MAX</t>
    </r>
    <r>
      <rPr>
        <sz val="10"/>
        <rFont val="Arial"/>
        <family val="2"/>
      </rPr>
      <t xml:space="preserve"> =</t>
    </r>
  </si>
  <si>
    <t>(veh/day)</t>
  </si>
  <si>
    <t>Right Shld:</t>
  </si>
  <si>
    <r>
      <t>Calculated Right Shoulder Width (CMF</t>
    </r>
    <r>
      <rPr>
        <vertAlign val="subscript"/>
        <sz val="10"/>
        <rFont val="Arial"/>
        <family val="2"/>
      </rPr>
      <t>wra</t>
    </r>
    <r>
      <rPr>
        <sz val="10"/>
        <rFont val="Arial"/>
        <family val="2"/>
      </rPr>
      <t>) :</t>
    </r>
  </si>
  <si>
    <r>
      <t>Calculated Left Shoulder Width (CMF</t>
    </r>
    <r>
      <rPr>
        <vertAlign val="subscript"/>
        <sz val="10"/>
        <rFont val="Arial"/>
        <family val="2"/>
      </rPr>
      <t>wra</t>
    </r>
    <r>
      <rPr>
        <sz val="10"/>
        <rFont val="Arial"/>
        <family val="2"/>
      </rPr>
      <t>) :</t>
    </r>
  </si>
  <si>
    <r>
      <t>Calculated Right Shoulder Type (CMF</t>
    </r>
    <r>
      <rPr>
        <vertAlign val="subscript"/>
        <sz val="10"/>
        <rFont val="Arial"/>
        <family val="2"/>
      </rPr>
      <t xml:space="preserve"> tra</t>
    </r>
    <r>
      <rPr>
        <sz val="10"/>
        <rFont val="Arial"/>
        <family val="2"/>
      </rPr>
      <t>) :</t>
    </r>
  </si>
  <si>
    <r>
      <t>Calculated Left Shoulder Type (CMF</t>
    </r>
    <r>
      <rPr>
        <vertAlign val="subscript"/>
        <sz val="10"/>
        <rFont val="Arial"/>
        <family val="2"/>
      </rPr>
      <t xml:space="preserve"> tra</t>
    </r>
    <r>
      <rPr>
        <sz val="10"/>
        <rFont val="Arial"/>
        <family val="2"/>
      </rPr>
      <t>) :</t>
    </r>
  </si>
  <si>
    <r>
      <t>Computed Right Shoulder CMF</t>
    </r>
    <r>
      <rPr>
        <vertAlign val="subscript"/>
        <sz val="10"/>
        <rFont val="Arial"/>
        <family val="2"/>
      </rPr>
      <t xml:space="preserve">2r </t>
    </r>
    <r>
      <rPr>
        <sz val="10"/>
        <rFont val="Arial"/>
        <family val="2"/>
      </rPr>
      <t>:</t>
    </r>
  </si>
  <si>
    <r>
      <t>Computed Left Shoulder CMF</t>
    </r>
    <r>
      <rPr>
        <vertAlign val="subscript"/>
        <sz val="10"/>
        <rFont val="Arial"/>
        <family val="2"/>
      </rPr>
      <t xml:space="preserve">2r </t>
    </r>
    <r>
      <rPr>
        <sz val="10"/>
        <rFont val="Arial"/>
        <family val="2"/>
      </rPr>
      <t>:</t>
    </r>
  </si>
  <si>
    <t>Left Shld:</t>
  </si>
  <si>
    <t>Spreadsheet developed by:</t>
  </si>
  <si>
    <t>Karen Dixon, Ph.D., P.E.</t>
  </si>
  <si>
    <t>Skew Intersection:</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</si>
  <si>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</si>
  <si>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</si>
  <si>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</si>
  <si>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</si>
  <si>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</si>
  <si>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</si>
  <si>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</si>
  <si>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</si>
  <si>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</si>
  <si>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</si>
  <si>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</si>
  <si>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</si>
  <si>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Last modified:</t>
  </si>
  <si>
    <t>Karen Dixon (k-dixon@tamu.edu)</t>
  </si>
  <si>
    <t>July, 2019</t>
  </si>
  <si>
    <t>Tariq Shihadah (tariq.shihadah@jacobs.com)</t>
  </si>
  <si>
    <t>Updates per errata, other</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</si>
  <si>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</si>
  <si>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</si>
  <si>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</si>
  <si>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</si>
  <si>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</si>
  <si>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</si>
  <si>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</si>
  <si>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</si>
  <si>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</si>
  <si>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</si>
  <si>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</si>
  <si>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</si>
  <si>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</si>
  <si>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</si>
  <si>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</si>
  <si>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</si>
  <si>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(enter name)</t>
  </si>
  <si>
    <t>(enter agency)</t>
  </si>
  <si>
    <t>(enter date)</t>
  </si>
  <si>
    <t>(enter roadway name)</t>
  </si>
  <si>
    <t>(enter roadway section)</t>
  </si>
  <si>
    <t>(enter jurisdiction)</t>
  </si>
  <si>
    <t>(enter intersection name)</t>
  </si>
  <si>
    <t>Reference Tables (Segment)</t>
  </si>
  <si>
    <t>This spreadsheet has been developed to demonstrate the predictive models for rural two-lane highways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</si>
  <si>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</si>
  <si>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</si>
  <si>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Input data required from the user but  restricted to options provided in pull-down boxes.</t>
  </si>
  <si>
    <t>Required input information as identified in the HSM.</t>
  </si>
  <si>
    <t>Current worksheet displaying overview, summary of spreadsheet worksheets, and description of color coding included in the worksheets.</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</si>
  <si>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</si>
  <si>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Reference Tables (Intersection)</t>
  </si>
  <si>
    <t>The page tabs shown at the bottom of this file represent the various analyses that can be performed using this spreadsheet tool and the HSM predictive methods. To conduct an analysis, the user should complete one worksheet per segment or intersection location using segment worksheets 1-8 and/or intersection worksheets 1-8. Results of the analysis are compiled in the summary worksheets where observed crash data can be input to perform the Empirical Bayes method.</t>
  </si>
  <si>
    <t>Segment_1-8</t>
  </si>
  <si>
    <t>Intersection_1-8</t>
  </si>
  <si>
    <t>Summary Tables (Site Totals)</t>
  </si>
  <si>
    <t>Summary Tables (Project Total)</t>
  </si>
  <si>
    <t>Includes segment reference tables used for analysis of HSM-provided crash trends as well as locally-derived crash  information. These are HSM Tables 10-3, 10-4, and 10-12. This worksheet also includes tables used for CMF calculations. These tables include Table 10-8, 10-9, and 10-10.</t>
  </si>
  <si>
    <t>Includes intersection reference tables used for analysis of HSM-provided crash trends as well as locally-derived crash information. These are HSM Tables 10-5, 10-6, and 10-15. This worksheet also includes tables used for CMF calculations. These tables include Tables 10-13 and 10-14.</t>
  </si>
  <si>
    <t>Construction - Do Not Delete</t>
  </si>
  <si>
    <t>Formatting, consistency, comments by HSM Steering Group; updated formulas in summary sheets for consistency, ease of use; modified instructional text for consistency between workbooks and clarity</t>
  </si>
  <si>
    <t>For questions:</t>
  </si>
  <si>
    <t>info@highwaysafetymanual.org</t>
  </si>
  <si>
    <t>Roadway:</t>
  </si>
  <si>
    <t>Left side of roadway</t>
  </si>
  <si>
    <t>Right side of roadway</t>
  </si>
  <si>
    <t>Motor-vehicle traffic volume (veh/day) (directional)</t>
  </si>
  <si>
    <t>Peak hour pedestrian volume (peds/hr) (directional)</t>
  </si>
  <si>
    <t>101 to 200</t>
  </si>
  <si>
    <t>Peak hour bicycle volume (bikes/hr) (includes both directions of travel combined)</t>
  </si>
  <si>
    <t>201 to 300</t>
  </si>
  <si>
    <t>Motor vehicle speed (mph)</t>
  </si>
  <si>
    <t>Number of through traffic lanes</t>
  </si>
  <si>
    <t>One Lane</t>
  </si>
  <si>
    <t>Lane width</t>
  </si>
  <si>
    <t>Wide (&gt;= 10.6 ft)</t>
  </si>
  <si>
    <t>Horizontal curvature</t>
  </si>
  <si>
    <t>Straight or gently curving (advisory speed &gt;= 60 mph or curve radius &gt; 2600 ft)</t>
  </si>
  <si>
    <t>Advanced visibility of a curve</t>
  </si>
  <si>
    <t>Not applicable (no horizontal curve present)</t>
  </si>
  <si>
    <t>Percent grade</t>
  </si>
  <si>
    <t>0% to &lt; 7.5%</t>
  </si>
  <si>
    <t>Presence and condition of delineation</t>
  </si>
  <si>
    <t>Clearly visible</t>
  </si>
  <si>
    <t>Shoulder rumble strips</t>
  </si>
  <si>
    <t>Not present</t>
  </si>
  <si>
    <t>Sidewalk or paved shoulder provision</t>
  </si>
  <si>
    <t>Paved shoulder present with width &gt;= 3 ft and &lt; 7.9 ft</t>
  </si>
  <si>
    <t>School zone warning</t>
  </si>
  <si>
    <t>Not applicable (no school zone at this location)</t>
  </si>
  <si>
    <t>Vehicle parking (Pedestrians)</t>
  </si>
  <si>
    <t>None</t>
  </si>
  <si>
    <t>Vehicle parking (Bicyclist)</t>
  </si>
  <si>
    <t>Street lighting</t>
  </si>
  <si>
    <t>Bicycle facilities and paved shoulder provision</t>
  </si>
  <si>
    <t>Separated bicycle path without barrier</t>
  </si>
  <si>
    <t>Pedestrian Midblock Crossing</t>
  </si>
  <si>
    <t>Number of Midblock Crossing</t>
  </si>
  <si>
    <t>Midblock Crossing 1</t>
  </si>
  <si>
    <t>Midblock Crossing 2</t>
  </si>
  <si>
    <t>Midblock Crossing 3</t>
  </si>
  <si>
    <t>Midblock Crossing 4</t>
  </si>
  <si>
    <t>Midblock Crossing 5</t>
  </si>
  <si>
    <t>Peak hour pedestrian volume, midblock (ped/hr)</t>
  </si>
  <si>
    <t>26 to 50</t>
  </si>
  <si>
    <t>6 to 25</t>
  </si>
  <si>
    <t>Location of pedestrian crossing</t>
  </si>
  <si>
    <t>Locations other than schools</t>
  </si>
  <si>
    <t>Pedestrian crossing facility type</t>
  </si>
  <si>
    <t>No facility</t>
  </si>
  <si>
    <t>Unsignalized marked crossing without refuge but with pedestrian hybrid beacon</t>
  </si>
  <si>
    <t>School zone flashing beacons or other active warnings present</t>
  </si>
  <si>
    <t>Advance visibility of a pedestrian crossing</t>
  </si>
  <si>
    <t>Substantial</t>
  </si>
  <si>
    <t>Limited</t>
  </si>
  <si>
    <t>Pedestrian fencing</t>
  </si>
  <si>
    <t>Vehicle parking</t>
  </si>
  <si>
    <t>Median type</t>
  </si>
  <si>
    <t>Centerline only (no median)</t>
  </si>
  <si>
    <t>Wide centerline (1 to 3 ft)</t>
  </si>
  <si>
    <t>Number of auxiliary lanes</t>
  </si>
  <si>
    <r>
      <rPr>
        <b/>
        <sz val="11"/>
        <color rgb="FF000000"/>
        <rFont val="Calibri"/>
        <family val="2"/>
        <charset val="1"/>
      </rPr>
      <t>N</t>
    </r>
    <r>
      <rPr>
        <b/>
        <vertAlign val="subscript"/>
        <sz val="11"/>
        <color rgb="FF000000"/>
        <rFont val="Calibri"/>
        <family val="2"/>
        <charset val="1"/>
      </rPr>
      <t>bikers-C</t>
    </r>
  </si>
  <si>
    <r>
      <rPr>
        <b/>
        <sz val="11"/>
        <color rgb="FF000000"/>
        <rFont val="Calibri"/>
        <family val="2"/>
        <charset val="1"/>
      </rPr>
      <t>N</t>
    </r>
    <r>
      <rPr>
        <b/>
        <vertAlign val="subscript"/>
        <sz val="11"/>
        <color rgb="FF000000"/>
        <rFont val="Calibri"/>
        <family val="2"/>
        <charset val="1"/>
      </rPr>
      <t>pedrs-C</t>
    </r>
  </si>
  <si>
    <r>
      <rPr>
        <b/>
        <sz val="11"/>
        <color rgb="FF000000"/>
        <rFont val="Calibri"/>
        <family val="2"/>
        <charset val="1"/>
      </rPr>
      <t>N</t>
    </r>
    <r>
      <rPr>
        <b/>
        <vertAlign val="subscript"/>
        <sz val="11"/>
        <color rgb="FF000000"/>
        <rFont val="Calibri"/>
        <family val="2"/>
        <charset val="1"/>
      </rPr>
      <t>bikers-B</t>
    </r>
  </si>
  <si>
    <r>
      <rPr>
        <b/>
        <sz val="11"/>
        <color rgb="FF000000"/>
        <rFont val="Calibri"/>
        <family val="2"/>
        <charset val="1"/>
      </rPr>
      <t>N</t>
    </r>
    <r>
      <rPr>
        <b/>
        <vertAlign val="subscript"/>
        <sz val="11"/>
        <color rgb="FF000000"/>
        <rFont val="Calibri"/>
        <family val="2"/>
        <charset val="1"/>
      </rPr>
      <t>pedrs-B</t>
    </r>
  </si>
  <si>
    <r>
      <rPr>
        <b/>
        <sz val="11"/>
        <color rgb="FF000000"/>
        <rFont val="Calibri"/>
        <family val="2"/>
        <charset val="1"/>
      </rPr>
      <t>N</t>
    </r>
    <r>
      <rPr>
        <b/>
        <vertAlign val="subscript"/>
        <sz val="11"/>
        <color rgb="FF000000"/>
        <rFont val="Calibri"/>
        <family val="2"/>
        <charset val="1"/>
      </rPr>
      <t>bikers-A</t>
    </r>
  </si>
  <si>
    <r>
      <rPr>
        <b/>
        <sz val="11"/>
        <color rgb="FF000000"/>
        <rFont val="Calibri"/>
        <family val="2"/>
        <charset val="1"/>
      </rPr>
      <t>N</t>
    </r>
    <r>
      <rPr>
        <b/>
        <vertAlign val="subscript"/>
        <sz val="11"/>
        <color rgb="FF000000"/>
        <rFont val="Calibri"/>
        <family val="2"/>
        <charset val="1"/>
      </rPr>
      <t>pedrs-A</t>
    </r>
  </si>
  <si>
    <r>
      <rPr>
        <b/>
        <sz val="11"/>
        <color rgb="FF000000"/>
        <rFont val="Calibri"/>
        <family val="2"/>
        <charset val="1"/>
      </rPr>
      <t>N</t>
    </r>
    <r>
      <rPr>
        <b/>
        <vertAlign val="subscript"/>
        <sz val="11"/>
        <color rgb="FF000000"/>
        <rFont val="Calibri"/>
        <family val="2"/>
        <charset val="1"/>
      </rPr>
      <t>bikers-K</t>
    </r>
  </si>
  <si>
    <r>
      <rPr>
        <b/>
        <sz val="11"/>
        <color rgb="FF000000"/>
        <rFont val="Calibri"/>
        <family val="2"/>
        <charset val="1"/>
      </rPr>
      <t>N</t>
    </r>
    <r>
      <rPr>
        <b/>
        <vertAlign val="subscript"/>
        <sz val="11"/>
        <color rgb="FF000000"/>
        <rFont val="Calibri"/>
        <family val="2"/>
        <charset val="1"/>
      </rPr>
      <t>pedrs-K</t>
    </r>
  </si>
  <si>
    <r>
      <rPr>
        <b/>
        <sz val="11"/>
        <color rgb="FF000000"/>
        <rFont val="Calibri"/>
        <family val="2"/>
        <charset val="1"/>
      </rPr>
      <t>N</t>
    </r>
    <r>
      <rPr>
        <b/>
        <vertAlign val="subscript"/>
        <sz val="11"/>
        <color rgb="FF000000"/>
        <rFont val="Calibri"/>
        <family val="2"/>
        <charset val="1"/>
      </rPr>
      <t>bikers</t>
    </r>
  </si>
  <si>
    <r>
      <rPr>
        <b/>
        <sz val="11"/>
        <color rgb="FF000000"/>
        <rFont val="Calibri"/>
        <family val="2"/>
        <charset val="1"/>
      </rPr>
      <t>N</t>
    </r>
    <r>
      <rPr>
        <b/>
        <vertAlign val="subscript"/>
        <sz val="11"/>
        <color rgb="FF000000"/>
        <rFont val="Calibri"/>
        <family val="2"/>
        <charset val="1"/>
      </rPr>
      <t>pedrs</t>
    </r>
  </si>
  <si>
    <t>Number of Bicyclists Injured</t>
  </si>
  <si>
    <t>Person Level</t>
  </si>
  <si>
    <t>Number of Pedestrians Injured</t>
  </si>
  <si>
    <t>Number of Bicycle Crashes</t>
  </si>
  <si>
    <t>Crash Level</t>
  </si>
  <si>
    <t>Number of Pedestrian Crashes</t>
  </si>
  <si>
    <r>
      <rPr>
        <sz val="10"/>
        <rFont val="Arial"/>
        <family val="2"/>
      </rPr>
      <t>C</t>
    </r>
    <r>
      <rPr>
        <vertAlign val="subscript"/>
        <sz val="11"/>
        <color rgb="FF000000"/>
        <rFont val="Calibri"/>
        <family val="2"/>
        <charset val="1"/>
      </rPr>
      <t>pedrs</t>
    </r>
  </si>
  <si>
    <r>
      <t>FT</t>
    </r>
    <r>
      <rPr>
        <vertAlign val="subscript"/>
        <sz val="11"/>
        <color rgb="FF000000"/>
        <rFont val="Calibri"/>
        <family val="2"/>
        <charset val="1"/>
      </rPr>
      <t>ped</t>
    </r>
    <r>
      <rPr>
        <vertAlign val="subscript"/>
        <sz val="11"/>
        <color rgb="FF000000"/>
        <rFont val="Calibri"/>
        <family val="2"/>
      </rPr>
      <t>rs</t>
    </r>
  </si>
  <si>
    <r>
      <t>(N</t>
    </r>
    <r>
      <rPr>
        <vertAlign val="subscript"/>
        <sz val="11"/>
        <color theme="1"/>
        <rFont val="Calibri"/>
        <family val="2"/>
        <scheme val="minor"/>
      </rPr>
      <t>alongleft-ped</t>
    </r>
    <r>
      <rPr>
        <sz val="10"/>
        <rFont val="Arial"/>
        <family val="2"/>
      </rPr>
      <t xml:space="preserve"> + N</t>
    </r>
    <r>
      <rPr>
        <vertAlign val="subscript"/>
        <sz val="11"/>
        <color theme="1"/>
        <rFont val="Calibri"/>
        <family val="2"/>
        <scheme val="minor"/>
      </rPr>
      <t xml:space="preserve">alongright-ped </t>
    </r>
    <r>
      <rPr>
        <sz val="10"/>
        <rFont val="Arial"/>
        <family val="2"/>
      </rPr>
      <t>+</t>
    </r>
    <r>
      <rPr>
        <vertAlign val="subscript"/>
        <sz val="11"/>
        <color theme="1"/>
        <rFont val="Calibri"/>
        <family val="2"/>
        <scheme val="minor"/>
      </rPr>
      <t xml:space="preserve"> </t>
    </r>
    <r>
      <rPr>
        <sz val="11"/>
        <color theme="1"/>
        <rFont val="Calibri"/>
        <family val="2"/>
      </rPr>
      <t>∑N</t>
    </r>
    <r>
      <rPr>
        <vertAlign val="subscript"/>
        <sz val="11"/>
        <color theme="1"/>
        <rFont val="Calibri"/>
        <family val="2"/>
      </rPr>
      <t>midcrossing-ped</t>
    </r>
    <r>
      <rPr>
        <sz val="11"/>
        <color theme="1"/>
        <rFont val="Calibri"/>
        <family val="2"/>
      </rPr>
      <t xml:space="preserve"> )</t>
    </r>
  </si>
  <si>
    <r>
      <rPr>
        <sz val="10"/>
        <rFont val="Arial"/>
        <family val="2"/>
      </rPr>
      <t>N</t>
    </r>
    <r>
      <rPr>
        <vertAlign val="subscript"/>
        <sz val="11"/>
        <color rgb="FF000000"/>
        <rFont val="Calibri"/>
        <family val="2"/>
        <charset val="1"/>
      </rPr>
      <t>midcrossing-ped</t>
    </r>
  </si>
  <si>
    <r>
      <t>PFF</t>
    </r>
    <r>
      <rPr>
        <vertAlign val="subscript"/>
        <sz val="11"/>
        <color rgb="FF000000"/>
        <rFont val="Calibri"/>
        <family val="2"/>
        <charset val="1"/>
      </rPr>
      <t>rs</t>
    </r>
  </si>
  <si>
    <r>
      <t>MVTFF</t>
    </r>
    <r>
      <rPr>
        <vertAlign val="subscript"/>
        <sz val="11"/>
        <color rgb="FF000000"/>
        <rFont val="Calibri"/>
        <family val="2"/>
        <charset val="1"/>
      </rPr>
      <t>pedrs</t>
    </r>
  </si>
  <si>
    <r>
      <t>MVTSF</t>
    </r>
    <r>
      <rPr>
        <vertAlign val="subscript"/>
        <sz val="11"/>
        <color rgb="FF000000"/>
        <rFont val="Calibri"/>
        <family val="2"/>
        <charset val="1"/>
      </rPr>
      <t>pedrs</t>
    </r>
  </si>
  <si>
    <r>
      <rPr>
        <sz val="10"/>
        <rFont val="Arial"/>
        <family val="2"/>
      </rPr>
      <t>Severity</t>
    </r>
    <r>
      <rPr>
        <vertAlign val="subscript"/>
        <sz val="11"/>
        <color rgb="FF000000"/>
        <rFont val="Calibri"/>
        <family val="2"/>
        <charset val="1"/>
      </rPr>
      <t>midcrossing-ped</t>
    </r>
  </si>
  <si>
    <r>
      <rPr>
        <sz val="10"/>
        <rFont val="Arial"/>
        <family val="2"/>
      </rPr>
      <t>Likelihood</t>
    </r>
    <r>
      <rPr>
        <vertAlign val="subscript"/>
        <sz val="11"/>
        <color rgb="FF000000"/>
        <rFont val="Calibri"/>
        <family val="2"/>
        <charset val="1"/>
      </rPr>
      <t>midcrossing-ped</t>
    </r>
  </si>
  <si>
    <r>
      <t>AF</t>
    </r>
    <r>
      <rPr>
        <vertAlign val="subscript"/>
        <sz val="11"/>
        <color rgb="FF000000"/>
        <rFont val="Calibri"/>
        <family val="2"/>
        <charset val="1"/>
      </rPr>
      <t>LM15-ped</t>
    </r>
    <r>
      <rPr>
        <sz val="10"/>
        <rFont val="Arial"/>
        <family val="2"/>
      </rPr>
      <t xml:space="preserve"> (Median type)</t>
    </r>
  </si>
  <si>
    <r>
      <t>AF</t>
    </r>
    <r>
      <rPr>
        <vertAlign val="subscript"/>
        <sz val="11"/>
        <color rgb="FF000000"/>
        <rFont val="Calibri"/>
        <family val="2"/>
        <charset val="1"/>
      </rPr>
      <t>LM14-ped</t>
    </r>
    <r>
      <rPr>
        <sz val="10"/>
        <rFont val="Arial"/>
        <family val="2"/>
      </rPr>
      <t xml:space="preserve"> (Number of traffic lanes to be crossed)</t>
    </r>
  </si>
  <si>
    <r>
      <t>AF</t>
    </r>
    <r>
      <rPr>
        <vertAlign val="subscript"/>
        <sz val="11"/>
        <color rgb="FF000000"/>
        <rFont val="Calibri"/>
        <family val="2"/>
        <charset val="1"/>
      </rPr>
      <t>LM13-ped</t>
    </r>
    <r>
      <rPr>
        <sz val="10"/>
        <rFont val="Arial"/>
        <family val="2"/>
      </rPr>
      <t xml:space="preserve"> (Street lighting)</t>
    </r>
  </si>
  <si>
    <r>
      <t>AF</t>
    </r>
    <r>
      <rPr>
        <vertAlign val="subscript"/>
        <sz val="11"/>
        <color rgb="FF000000"/>
        <rFont val="Calibri"/>
        <family val="2"/>
        <charset val="1"/>
      </rPr>
      <t>LM12-ped</t>
    </r>
    <r>
      <rPr>
        <sz val="10"/>
        <rFont val="Arial"/>
        <family val="2"/>
      </rPr>
      <t xml:space="preserve"> (Vehicle parking)</t>
    </r>
  </si>
  <si>
    <r>
      <t>AF</t>
    </r>
    <r>
      <rPr>
        <vertAlign val="subscript"/>
        <sz val="11"/>
        <color rgb="FF000000"/>
        <rFont val="Calibri"/>
        <family val="2"/>
        <charset val="1"/>
      </rPr>
      <t>LM5-ped</t>
    </r>
    <r>
      <rPr>
        <sz val="10"/>
        <rFont val="Arial"/>
        <family val="2"/>
      </rPr>
      <t xml:space="preserve"> (Pedestrian fencing)</t>
    </r>
  </si>
  <si>
    <r>
      <t>AF</t>
    </r>
    <r>
      <rPr>
        <vertAlign val="subscript"/>
        <sz val="11"/>
        <color rgb="FF000000"/>
        <rFont val="Calibri"/>
        <family val="2"/>
        <charset val="1"/>
      </rPr>
      <t>LM4-ped</t>
    </r>
    <r>
      <rPr>
        <sz val="10"/>
        <rFont val="Arial"/>
        <family val="2"/>
      </rPr>
      <t xml:space="preserve"> (Advance visibility of a pedestrian crossing)</t>
    </r>
  </si>
  <si>
    <r>
      <t>AF</t>
    </r>
    <r>
      <rPr>
        <vertAlign val="subscript"/>
        <sz val="11"/>
        <color rgb="FF000000"/>
        <rFont val="Calibri"/>
        <family val="2"/>
        <charset val="1"/>
      </rPr>
      <t>SM3-ped</t>
    </r>
    <r>
      <rPr>
        <sz val="10"/>
        <rFont val="Arial"/>
        <family val="2"/>
      </rPr>
      <t xml:space="preserve"> (Pedestrian crossing facility type)</t>
    </r>
  </si>
  <si>
    <r>
      <t>AF</t>
    </r>
    <r>
      <rPr>
        <vertAlign val="subscript"/>
        <sz val="11"/>
        <color rgb="FF000000"/>
        <rFont val="Calibri"/>
        <family val="2"/>
        <charset val="1"/>
      </rPr>
      <t>LM3-ped</t>
    </r>
    <r>
      <rPr>
        <sz val="10"/>
        <rFont val="Arial"/>
        <family val="2"/>
      </rPr>
      <t xml:space="preserve"> (Pedestrian crossing facility type)</t>
    </r>
  </si>
  <si>
    <r>
      <t>AF</t>
    </r>
    <r>
      <rPr>
        <vertAlign val="subscript"/>
        <sz val="11"/>
        <color rgb="FF000000"/>
        <rFont val="Calibri"/>
        <family val="2"/>
        <charset val="1"/>
      </rPr>
      <t>LM2-ped</t>
    </r>
    <r>
      <rPr>
        <sz val="10"/>
        <rFont val="Arial"/>
        <family val="2"/>
      </rPr>
      <t xml:space="preserve"> (School zone warning)</t>
    </r>
  </si>
  <si>
    <r>
      <rPr>
        <sz val="10"/>
        <rFont val="Arial"/>
        <family val="2"/>
      </rPr>
      <t>C</t>
    </r>
    <r>
      <rPr>
        <vertAlign val="subscript"/>
        <sz val="11"/>
        <color rgb="FF000000"/>
        <rFont val="Calibri"/>
        <family val="2"/>
        <charset val="1"/>
      </rPr>
      <t>bikers</t>
    </r>
  </si>
  <si>
    <r>
      <rPr>
        <sz val="10"/>
        <rFont val="Arial"/>
        <family val="2"/>
      </rPr>
      <t>FT</t>
    </r>
    <r>
      <rPr>
        <vertAlign val="subscript"/>
        <sz val="11"/>
        <color rgb="FF000000"/>
        <rFont val="Calibri"/>
        <family val="2"/>
        <charset val="1"/>
      </rPr>
      <t>bikers</t>
    </r>
  </si>
  <si>
    <r>
      <rPr>
        <sz val="10"/>
        <rFont val="Arial"/>
        <family val="2"/>
      </rPr>
      <t>N</t>
    </r>
    <r>
      <rPr>
        <vertAlign val="subscript"/>
        <sz val="11"/>
        <color rgb="FF000000"/>
        <rFont val="Calibri"/>
        <family val="2"/>
        <charset val="1"/>
      </rPr>
      <t>alongright-ped</t>
    </r>
  </si>
  <si>
    <r>
      <rPr>
        <sz val="10"/>
        <rFont val="Arial"/>
        <family val="2"/>
      </rPr>
      <t>N</t>
    </r>
    <r>
      <rPr>
        <vertAlign val="subscript"/>
        <sz val="11"/>
        <color rgb="FF000000"/>
        <rFont val="Calibri"/>
        <family val="2"/>
        <charset val="1"/>
      </rPr>
      <t>alongleft-ped</t>
    </r>
  </si>
  <si>
    <r>
      <t>N</t>
    </r>
    <r>
      <rPr>
        <vertAlign val="subscript"/>
        <sz val="11"/>
        <color rgb="FF000000"/>
        <rFont val="Calibri"/>
        <family val="2"/>
        <charset val="1"/>
      </rPr>
      <t>bikers</t>
    </r>
  </si>
  <si>
    <r>
      <rPr>
        <sz val="10"/>
        <rFont val="Arial"/>
        <family val="2"/>
      </rPr>
      <t>PFF</t>
    </r>
    <r>
      <rPr>
        <vertAlign val="subscript"/>
        <sz val="11"/>
        <color rgb="FF000000"/>
        <rFont val="Calibri"/>
        <family val="2"/>
        <charset val="1"/>
      </rPr>
      <t>along-right</t>
    </r>
  </si>
  <si>
    <r>
      <rPr>
        <sz val="10"/>
        <rFont val="Arial"/>
        <family val="2"/>
      </rPr>
      <t>PFF</t>
    </r>
    <r>
      <rPr>
        <vertAlign val="subscript"/>
        <sz val="11"/>
        <color rgb="FF000000"/>
        <rFont val="Calibri"/>
        <family val="2"/>
        <charset val="1"/>
      </rPr>
      <t>along-left</t>
    </r>
  </si>
  <si>
    <r>
      <t>BFF</t>
    </r>
    <r>
      <rPr>
        <vertAlign val="subscript"/>
        <sz val="11"/>
        <color rgb="FF000000"/>
        <rFont val="Calibri"/>
        <family val="2"/>
        <charset val="1"/>
      </rPr>
      <t>rs</t>
    </r>
  </si>
  <si>
    <r>
      <t>MVTFF</t>
    </r>
    <r>
      <rPr>
        <vertAlign val="subscript"/>
        <sz val="11"/>
        <color rgb="FF000000"/>
        <rFont val="Calibri"/>
        <family val="2"/>
        <charset val="1"/>
      </rPr>
      <t>bikers</t>
    </r>
  </si>
  <si>
    <r>
      <rPr>
        <sz val="10"/>
        <rFont val="Arial"/>
        <family val="2"/>
      </rPr>
      <t>Severity</t>
    </r>
    <r>
      <rPr>
        <vertAlign val="subscript"/>
        <sz val="11"/>
        <color rgb="FF000000"/>
        <rFont val="Calibri"/>
        <family val="2"/>
        <charset val="1"/>
      </rPr>
      <t>alongright-ped</t>
    </r>
  </si>
  <si>
    <r>
      <rPr>
        <sz val="10"/>
        <rFont val="Arial"/>
        <family val="2"/>
      </rPr>
      <t>Severity</t>
    </r>
    <r>
      <rPr>
        <vertAlign val="subscript"/>
        <sz val="11"/>
        <color rgb="FF000000"/>
        <rFont val="Calibri"/>
        <family val="2"/>
        <charset val="1"/>
      </rPr>
      <t>alongleft-ped</t>
    </r>
  </si>
  <si>
    <r>
      <t>MVTSF</t>
    </r>
    <r>
      <rPr>
        <vertAlign val="subscript"/>
        <sz val="11"/>
        <color rgb="FF000000"/>
        <rFont val="Calibri"/>
        <family val="2"/>
        <charset val="1"/>
      </rPr>
      <t>bikers</t>
    </r>
  </si>
  <si>
    <r>
      <rPr>
        <sz val="10"/>
        <rFont val="Arial"/>
        <family val="2"/>
      </rPr>
      <t>Likelihood</t>
    </r>
    <r>
      <rPr>
        <vertAlign val="subscript"/>
        <sz val="11"/>
        <color rgb="FF000000"/>
        <rFont val="Calibri"/>
        <family val="2"/>
        <charset val="1"/>
      </rPr>
      <t>alongright-ped</t>
    </r>
  </si>
  <si>
    <r>
      <rPr>
        <sz val="10"/>
        <rFont val="Arial"/>
        <family val="2"/>
      </rPr>
      <t>Likelihood</t>
    </r>
    <r>
      <rPr>
        <vertAlign val="subscript"/>
        <sz val="11"/>
        <color rgb="FF000000"/>
        <rFont val="Calibri"/>
        <family val="2"/>
        <charset val="1"/>
      </rPr>
      <t>alongleft-ped</t>
    </r>
  </si>
  <si>
    <r>
      <t>Severity</t>
    </r>
    <r>
      <rPr>
        <vertAlign val="subscript"/>
        <sz val="11"/>
        <color rgb="FF000000"/>
        <rFont val="Calibri"/>
        <family val="2"/>
        <charset val="1"/>
      </rPr>
      <t>bikers</t>
    </r>
  </si>
  <si>
    <r>
      <t>AF</t>
    </r>
    <r>
      <rPr>
        <vertAlign val="subscript"/>
        <sz val="11"/>
        <color rgb="FF000000"/>
        <rFont val="Calibri"/>
        <family val="2"/>
        <charset val="1"/>
      </rPr>
      <t>LA13-ped</t>
    </r>
    <r>
      <rPr>
        <sz val="10"/>
        <rFont val="Arial"/>
        <family val="2"/>
      </rPr>
      <t xml:space="preserve"> (Street lighting)</t>
    </r>
  </si>
  <si>
    <r>
      <t>Likelihood</t>
    </r>
    <r>
      <rPr>
        <vertAlign val="subscript"/>
        <sz val="11"/>
        <color rgb="FF000000"/>
        <rFont val="Calibri"/>
        <family val="2"/>
        <charset val="1"/>
      </rPr>
      <t>bikers</t>
    </r>
  </si>
  <si>
    <r>
      <t>AF</t>
    </r>
    <r>
      <rPr>
        <vertAlign val="subscript"/>
        <sz val="11"/>
        <color rgb="FF000000"/>
        <rFont val="Calibri"/>
        <family val="2"/>
        <charset val="1"/>
      </rPr>
      <t>LA12-ped</t>
    </r>
    <r>
      <rPr>
        <sz val="10"/>
        <rFont val="Arial"/>
        <family val="2"/>
      </rPr>
      <t xml:space="preserve"> (Vehicle parking)</t>
    </r>
  </si>
  <si>
    <r>
      <t>AF</t>
    </r>
    <r>
      <rPr>
        <vertAlign val="subscript"/>
        <sz val="11"/>
        <color rgb="FF000000"/>
        <rFont val="Calibri"/>
        <family val="2"/>
        <charset val="1"/>
      </rPr>
      <t>LA18-bike</t>
    </r>
    <r>
      <rPr>
        <sz val="10"/>
        <rFont val="Arial"/>
        <family val="2"/>
      </rPr>
      <t xml:space="preserve"> (Street lighting)</t>
    </r>
  </si>
  <si>
    <r>
      <t>AF</t>
    </r>
    <r>
      <rPr>
        <vertAlign val="subscript"/>
        <sz val="11"/>
        <color rgb="FF000000"/>
        <rFont val="Calibri"/>
        <family val="2"/>
        <charset val="1"/>
      </rPr>
      <t>LA11-ped</t>
    </r>
    <r>
      <rPr>
        <sz val="10"/>
        <rFont val="Arial"/>
        <family val="2"/>
      </rPr>
      <t xml:space="preserve"> (Shoulder rumble strips)</t>
    </r>
  </si>
  <si>
    <r>
      <t>AF</t>
    </r>
    <r>
      <rPr>
        <vertAlign val="subscript"/>
        <sz val="11"/>
        <color rgb="FF000000"/>
        <rFont val="Calibri"/>
        <family val="2"/>
        <charset val="1"/>
      </rPr>
      <t>LA16-bike</t>
    </r>
    <r>
      <rPr>
        <sz val="10"/>
        <rFont val="Arial"/>
        <family val="2"/>
      </rPr>
      <t xml:space="preserve"> (Vehicle parking)</t>
    </r>
  </si>
  <si>
    <r>
      <t>AF</t>
    </r>
    <r>
      <rPr>
        <vertAlign val="subscript"/>
        <sz val="11"/>
        <color rgb="FF000000"/>
        <rFont val="Calibri"/>
        <family val="2"/>
        <charset val="1"/>
      </rPr>
      <t>LA10-ped</t>
    </r>
    <r>
      <rPr>
        <sz val="10"/>
        <rFont val="Arial"/>
        <family val="2"/>
      </rPr>
      <t xml:space="preserve"> (Presence and condition of delineation)</t>
    </r>
  </si>
  <si>
    <r>
      <t>AF</t>
    </r>
    <r>
      <rPr>
        <vertAlign val="subscript"/>
        <sz val="11"/>
        <color rgb="FF000000"/>
        <rFont val="Calibri"/>
        <family val="2"/>
        <charset val="1"/>
      </rPr>
      <t>LA15-bike</t>
    </r>
    <r>
      <rPr>
        <sz val="10"/>
        <rFont val="Arial"/>
        <family val="2"/>
      </rPr>
      <t xml:space="preserve"> (Shoulder rumble strips)</t>
    </r>
  </si>
  <si>
    <r>
      <t>AF</t>
    </r>
    <r>
      <rPr>
        <vertAlign val="subscript"/>
        <sz val="11"/>
        <color rgb="FF000000"/>
        <rFont val="Calibri"/>
        <family val="2"/>
        <charset val="1"/>
      </rPr>
      <t>LA9-ped</t>
    </r>
    <r>
      <rPr>
        <sz val="10"/>
        <rFont val="Arial"/>
        <family val="2"/>
      </rPr>
      <t xml:space="preserve"> (Percent grade)</t>
    </r>
  </si>
  <si>
    <r>
      <t>AF</t>
    </r>
    <r>
      <rPr>
        <vertAlign val="subscript"/>
        <sz val="11"/>
        <color rgb="FF000000"/>
        <rFont val="Calibri"/>
        <family val="2"/>
        <charset val="1"/>
      </rPr>
      <t>LA14-bike</t>
    </r>
    <r>
      <rPr>
        <sz val="10"/>
        <rFont val="Arial"/>
        <family val="2"/>
      </rPr>
      <t xml:space="preserve"> (Presence and condition of delineation)</t>
    </r>
  </si>
  <si>
    <r>
      <t>AF</t>
    </r>
    <r>
      <rPr>
        <vertAlign val="subscript"/>
        <sz val="11"/>
        <color rgb="FF000000"/>
        <rFont val="Calibri"/>
        <family val="2"/>
        <charset val="1"/>
      </rPr>
      <t>LA8-ped</t>
    </r>
    <r>
      <rPr>
        <sz val="10"/>
        <rFont val="Arial"/>
        <family val="2"/>
      </rPr>
      <t xml:space="preserve"> (Advanced visibility of a curve)</t>
    </r>
  </si>
  <si>
    <r>
      <t>AF</t>
    </r>
    <r>
      <rPr>
        <vertAlign val="subscript"/>
        <sz val="11"/>
        <color rgb="FF000000"/>
        <rFont val="Calibri"/>
        <family val="2"/>
        <charset val="1"/>
      </rPr>
      <t>LA9-bike</t>
    </r>
    <r>
      <rPr>
        <sz val="10"/>
        <rFont val="Arial"/>
        <family val="2"/>
      </rPr>
      <t xml:space="preserve"> (Percent grade)</t>
    </r>
  </si>
  <si>
    <r>
      <t>AF</t>
    </r>
    <r>
      <rPr>
        <vertAlign val="subscript"/>
        <sz val="11"/>
        <color rgb="FF000000"/>
        <rFont val="Calibri"/>
        <family val="2"/>
        <charset val="1"/>
      </rPr>
      <t>LA7-ped</t>
    </r>
    <r>
      <rPr>
        <sz val="10"/>
        <rFont val="Arial"/>
        <family val="2"/>
      </rPr>
      <t xml:space="preserve"> (Horizontal curvature)</t>
    </r>
  </si>
  <si>
    <r>
      <t>AF</t>
    </r>
    <r>
      <rPr>
        <vertAlign val="subscript"/>
        <sz val="11"/>
        <color rgb="FF000000"/>
        <rFont val="Calibri"/>
        <family val="2"/>
        <charset val="1"/>
      </rPr>
      <t>LA8-bike</t>
    </r>
    <r>
      <rPr>
        <sz val="10"/>
        <rFont val="Arial"/>
        <family val="2"/>
      </rPr>
      <t xml:space="preserve"> (Advance visibility of a curve)</t>
    </r>
  </si>
  <si>
    <r>
      <t>AF</t>
    </r>
    <r>
      <rPr>
        <vertAlign val="subscript"/>
        <sz val="11"/>
        <color rgb="FF000000"/>
        <rFont val="Calibri"/>
        <family val="2"/>
        <charset val="1"/>
      </rPr>
      <t>LA6-ped</t>
    </r>
    <r>
      <rPr>
        <sz val="10"/>
        <rFont val="Arial"/>
        <family val="2"/>
      </rPr>
      <t xml:space="preserve"> (Lane width)</t>
    </r>
  </si>
  <si>
    <r>
      <t>AF</t>
    </r>
    <r>
      <rPr>
        <vertAlign val="subscript"/>
        <sz val="11"/>
        <color rgb="FF000000"/>
        <rFont val="Calibri"/>
        <family val="2"/>
        <charset val="1"/>
      </rPr>
      <t>LA7-bike</t>
    </r>
    <r>
      <rPr>
        <sz val="10"/>
        <rFont val="Arial"/>
        <family val="2"/>
      </rPr>
      <t xml:space="preserve"> (Horizontal curvature)</t>
    </r>
  </si>
  <si>
    <r>
      <t>AF</t>
    </r>
    <r>
      <rPr>
        <vertAlign val="subscript"/>
        <sz val="11"/>
        <color rgb="FF000000"/>
        <rFont val="Calibri"/>
        <family val="2"/>
        <charset val="1"/>
      </rPr>
      <t>LA2-ped</t>
    </r>
    <r>
      <rPr>
        <sz val="10"/>
        <rFont val="Arial"/>
        <family val="2"/>
      </rPr>
      <t xml:space="preserve"> (Presence of warning signs in school zones)</t>
    </r>
  </si>
  <si>
    <r>
      <t>AF</t>
    </r>
    <r>
      <rPr>
        <vertAlign val="subscript"/>
        <sz val="11"/>
        <color rgb="FF000000"/>
        <rFont val="Calibri"/>
        <family val="2"/>
        <charset val="1"/>
      </rPr>
      <t>LA6-bike</t>
    </r>
    <r>
      <rPr>
        <sz val="10"/>
        <rFont val="Arial"/>
        <family val="2"/>
      </rPr>
      <t xml:space="preserve"> (Lane width)</t>
    </r>
  </si>
  <si>
    <r>
      <t>AF</t>
    </r>
    <r>
      <rPr>
        <vertAlign val="subscript"/>
        <sz val="11"/>
        <color rgb="FF000000"/>
        <rFont val="Calibri"/>
        <family val="2"/>
        <charset val="1"/>
      </rPr>
      <t>SA1-ped</t>
    </r>
    <r>
      <rPr>
        <sz val="10"/>
        <rFont val="Arial"/>
        <family val="2"/>
      </rPr>
      <t xml:space="preserve"> (Sidewalk or paved shoulder provision)</t>
    </r>
  </si>
  <si>
    <r>
      <t>AF</t>
    </r>
    <r>
      <rPr>
        <vertAlign val="subscript"/>
        <sz val="11"/>
        <color rgb="FF000000"/>
        <rFont val="Calibri"/>
        <family val="2"/>
        <charset val="1"/>
      </rPr>
      <t>SA1-bike</t>
    </r>
    <r>
      <rPr>
        <sz val="10"/>
        <rFont val="Arial"/>
        <family val="2"/>
      </rPr>
      <t xml:space="preserve"> (Bicycle facilities or paved shoulder provision)</t>
    </r>
  </si>
  <si>
    <r>
      <t>AF</t>
    </r>
    <r>
      <rPr>
        <vertAlign val="subscript"/>
        <sz val="11"/>
        <color rgb="FF000000"/>
        <rFont val="Calibri"/>
        <family val="2"/>
        <charset val="1"/>
      </rPr>
      <t>LA1-ped</t>
    </r>
    <r>
      <rPr>
        <sz val="10"/>
        <rFont val="Arial"/>
        <family val="2"/>
      </rPr>
      <t xml:space="preserve"> (Sidewalk or paved shoulder provision)</t>
    </r>
  </si>
  <si>
    <r>
      <t>AF</t>
    </r>
    <r>
      <rPr>
        <vertAlign val="subscript"/>
        <sz val="11"/>
        <color rgb="FF000000"/>
        <rFont val="Calibri"/>
        <family val="2"/>
        <charset val="1"/>
      </rPr>
      <t>LA1-bike</t>
    </r>
    <r>
      <rPr>
        <sz val="10"/>
        <rFont val="Arial"/>
        <family val="2"/>
      </rPr>
      <t xml:space="preserve"> (Bicycle facilities or paved shoulder provision)</t>
    </r>
  </si>
  <si>
    <t>Along Right Side of Road</t>
  </si>
  <si>
    <t>Values</t>
  </si>
  <si>
    <t>Along Left Side of Road</t>
  </si>
  <si>
    <t>Bicycle:</t>
  </si>
  <si>
    <t>Pedestrian:</t>
  </si>
  <si>
    <t>Intersection channelization</t>
  </si>
  <si>
    <t>Advance visibility of an intersection</t>
  </si>
  <si>
    <t>No bicycle path, no crossing facility, or no intersection</t>
  </si>
  <si>
    <t>Bicycle path presence and pedestrian crossing facility type</t>
  </si>
  <si>
    <t>Bicycle facilities and paved shoulder provision (exiting)</t>
  </si>
  <si>
    <t>Bicycle facilities and paved shoulder provision (entering)</t>
  </si>
  <si>
    <t>Peak hour bicycle volume (bikes/hr) (both directions)</t>
  </si>
  <si>
    <t>Minor Road</t>
  </si>
  <si>
    <t>Major Road</t>
  </si>
  <si>
    <t>Bicyclists</t>
  </si>
  <si>
    <t>Advance visiblity of a pedestrian crossing</t>
  </si>
  <si>
    <t>Peak hour pedestrian volume - crossing intersection leg (ped/hr)</t>
  </si>
  <si>
    <t>Pedestrians</t>
  </si>
  <si>
    <t>Two Lanes</t>
  </si>
  <si>
    <t>Number of through traffic lanes (both directions)</t>
  </si>
  <si>
    <t>Motor-vehicle traffic volume (veh/day) (both directions)</t>
  </si>
  <si>
    <t>Minor Road (Leg 2)</t>
  </si>
  <si>
    <t>Minor Road (Leg 1)</t>
  </si>
  <si>
    <t>Major Road (Leg 2)</t>
  </si>
  <si>
    <t>Major Road (Leg 1)</t>
  </si>
  <si>
    <t>General Intersection Characteristics</t>
  </si>
  <si>
    <t>4-leg signalized with no exclusive left-turn lane</t>
  </si>
  <si>
    <t>Intersection:</t>
  </si>
  <si>
    <r>
      <rPr>
        <b/>
        <sz val="11"/>
        <color rgb="FF000000"/>
        <rFont val="Calibri"/>
        <family val="2"/>
        <charset val="1"/>
      </rPr>
      <t>N</t>
    </r>
    <r>
      <rPr>
        <b/>
        <vertAlign val="subscript"/>
        <sz val="11"/>
        <color rgb="FF000000"/>
        <rFont val="Calibri"/>
        <family val="2"/>
        <charset val="1"/>
      </rPr>
      <t>int-bike-C</t>
    </r>
  </si>
  <si>
    <r>
      <rPr>
        <b/>
        <sz val="11"/>
        <color rgb="FF000000"/>
        <rFont val="Calibri"/>
        <family val="2"/>
        <charset val="1"/>
      </rPr>
      <t>N</t>
    </r>
    <r>
      <rPr>
        <b/>
        <vertAlign val="subscript"/>
        <sz val="11"/>
        <color rgb="FF000000"/>
        <rFont val="Calibri"/>
        <family val="2"/>
        <charset val="1"/>
      </rPr>
      <t>pedi-C</t>
    </r>
  </si>
  <si>
    <r>
      <rPr>
        <b/>
        <sz val="11"/>
        <color rgb="FF000000"/>
        <rFont val="Calibri"/>
        <family val="2"/>
        <charset val="1"/>
      </rPr>
      <t>N</t>
    </r>
    <r>
      <rPr>
        <b/>
        <vertAlign val="subscript"/>
        <sz val="11"/>
        <color rgb="FF000000"/>
        <rFont val="Calibri"/>
        <family val="2"/>
        <charset val="1"/>
      </rPr>
      <t>int-bike-B</t>
    </r>
  </si>
  <si>
    <r>
      <rPr>
        <b/>
        <sz val="11"/>
        <color rgb="FF000000"/>
        <rFont val="Calibri"/>
        <family val="2"/>
        <charset val="1"/>
      </rPr>
      <t>N</t>
    </r>
    <r>
      <rPr>
        <b/>
        <vertAlign val="subscript"/>
        <sz val="11"/>
        <color rgb="FF000000"/>
        <rFont val="Calibri"/>
        <family val="2"/>
        <charset val="1"/>
      </rPr>
      <t>pedi-B</t>
    </r>
  </si>
  <si>
    <r>
      <rPr>
        <b/>
        <sz val="11"/>
        <color rgb="FF000000"/>
        <rFont val="Calibri"/>
        <family val="2"/>
        <charset val="1"/>
      </rPr>
      <t>N</t>
    </r>
    <r>
      <rPr>
        <b/>
        <vertAlign val="subscript"/>
        <sz val="11"/>
        <color rgb="FF000000"/>
        <rFont val="Calibri"/>
        <family val="2"/>
        <charset val="1"/>
      </rPr>
      <t>int-bike-A</t>
    </r>
  </si>
  <si>
    <r>
      <rPr>
        <b/>
        <sz val="11"/>
        <color rgb="FF000000"/>
        <rFont val="Calibri"/>
        <family val="2"/>
        <charset val="1"/>
      </rPr>
      <t>N</t>
    </r>
    <r>
      <rPr>
        <b/>
        <vertAlign val="subscript"/>
        <sz val="11"/>
        <color rgb="FF000000"/>
        <rFont val="Calibri"/>
        <family val="2"/>
        <charset val="1"/>
      </rPr>
      <t>pedi-A</t>
    </r>
  </si>
  <si>
    <r>
      <rPr>
        <b/>
        <sz val="11"/>
        <color rgb="FF000000"/>
        <rFont val="Calibri"/>
        <family val="2"/>
        <charset val="1"/>
      </rPr>
      <t>N</t>
    </r>
    <r>
      <rPr>
        <b/>
        <vertAlign val="subscript"/>
        <sz val="11"/>
        <color rgb="FF000000"/>
        <rFont val="Calibri"/>
        <family val="2"/>
        <charset val="1"/>
      </rPr>
      <t>int-bike-K</t>
    </r>
  </si>
  <si>
    <r>
      <rPr>
        <b/>
        <sz val="11"/>
        <color rgb="FF000000"/>
        <rFont val="Calibri"/>
        <family val="2"/>
        <charset val="1"/>
      </rPr>
      <t>N</t>
    </r>
    <r>
      <rPr>
        <b/>
        <vertAlign val="subscript"/>
        <sz val="11"/>
        <color rgb="FF000000"/>
        <rFont val="Calibri"/>
        <family val="2"/>
        <charset val="1"/>
      </rPr>
      <t>pedi-K</t>
    </r>
  </si>
  <si>
    <r>
      <rPr>
        <b/>
        <sz val="11"/>
        <color rgb="FF000000"/>
        <rFont val="Calibri"/>
        <family val="2"/>
        <charset val="1"/>
      </rPr>
      <t>N</t>
    </r>
    <r>
      <rPr>
        <b/>
        <vertAlign val="subscript"/>
        <sz val="11"/>
        <color rgb="FF000000"/>
        <rFont val="Calibri"/>
        <family val="2"/>
        <charset val="1"/>
      </rPr>
      <t>int-bike</t>
    </r>
  </si>
  <si>
    <r>
      <rPr>
        <b/>
        <sz val="11"/>
        <color rgb="FF000000"/>
        <rFont val="Calibri"/>
        <family val="2"/>
        <charset val="1"/>
      </rPr>
      <t>N</t>
    </r>
    <r>
      <rPr>
        <b/>
        <vertAlign val="subscript"/>
        <sz val="11"/>
        <color rgb="FF000000"/>
        <rFont val="Calibri"/>
        <family val="2"/>
        <charset val="1"/>
      </rPr>
      <t>pedi</t>
    </r>
  </si>
  <si>
    <r>
      <rPr>
        <sz val="10"/>
        <rFont val="Arial"/>
        <family val="2"/>
      </rPr>
      <t>C</t>
    </r>
    <r>
      <rPr>
        <vertAlign val="subscript"/>
        <sz val="11"/>
        <color rgb="FF000000"/>
        <rFont val="Calibri"/>
        <family val="2"/>
        <charset val="1"/>
      </rPr>
      <t>pedi</t>
    </r>
  </si>
  <si>
    <r>
      <rPr>
        <sz val="10"/>
        <rFont val="Arial"/>
        <family val="2"/>
      </rPr>
      <t>FT</t>
    </r>
    <r>
      <rPr>
        <vertAlign val="subscript"/>
        <sz val="11"/>
        <color rgb="FF000000"/>
        <rFont val="Calibri"/>
        <family val="2"/>
        <charset val="1"/>
      </rPr>
      <t>pedi</t>
    </r>
  </si>
  <si>
    <t>∑ Nintcrossing-ped-j</t>
  </si>
  <si>
    <r>
      <rPr>
        <sz val="10"/>
        <rFont val="Arial"/>
        <family val="2"/>
      </rPr>
      <t>N</t>
    </r>
    <r>
      <rPr>
        <vertAlign val="subscript"/>
        <sz val="11"/>
        <color rgb="FF000000"/>
        <rFont val="Calibri"/>
        <family val="2"/>
        <charset val="1"/>
      </rPr>
      <t>intcrossing-ped-4</t>
    </r>
  </si>
  <si>
    <r>
      <rPr>
        <sz val="10"/>
        <rFont val="Arial"/>
        <family val="2"/>
      </rPr>
      <t>PFF</t>
    </r>
    <r>
      <rPr>
        <vertAlign val="subscript"/>
        <sz val="11"/>
        <color rgb="FF000000"/>
        <rFont val="Calibri"/>
        <family val="2"/>
        <charset val="1"/>
      </rPr>
      <t>intcrossing-4</t>
    </r>
  </si>
  <si>
    <r>
      <rPr>
        <sz val="10"/>
        <rFont val="Arial"/>
        <family val="2"/>
      </rPr>
      <t>MVTFF</t>
    </r>
    <r>
      <rPr>
        <vertAlign val="subscript"/>
        <sz val="11"/>
        <color rgb="FF000000"/>
        <rFont val="Calibri"/>
        <family val="2"/>
        <charset val="1"/>
      </rPr>
      <t>intrcrossing-ped-4</t>
    </r>
  </si>
  <si>
    <r>
      <rPr>
        <sz val="10"/>
        <rFont val="Arial"/>
        <family val="2"/>
      </rPr>
      <t>MVTSF</t>
    </r>
    <r>
      <rPr>
        <vertAlign val="subscript"/>
        <sz val="11"/>
        <color rgb="FF000000"/>
        <rFont val="Calibri"/>
        <family val="2"/>
        <charset val="1"/>
      </rPr>
      <t>intcrossing-ped-4</t>
    </r>
  </si>
  <si>
    <r>
      <rPr>
        <sz val="10"/>
        <rFont val="Arial"/>
        <family val="2"/>
      </rPr>
      <t>Severity</t>
    </r>
    <r>
      <rPr>
        <vertAlign val="subscript"/>
        <sz val="11"/>
        <color rgb="FF000000"/>
        <rFont val="Calibri"/>
        <family val="2"/>
        <charset val="1"/>
      </rPr>
      <t>intcrossing-ped-4</t>
    </r>
  </si>
  <si>
    <r>
      <rPr>
        <sz val="10"/>
        <rFont val="Arial"/>
        <family val="2"/>
      </rPr>
      <t>Likelihood</t>
    </r>
    <r>
      <rPr>
        <vertAlign val="subscript"/>
        <sz val="11"/>
        <color rgb="FF000000"/>
        <rFont val="Calibri"/>
        <family val="2"/>
        <charset val="1"/>
      </rPr>
      <t>intcrossing-ped-4</t>
    </r>
  </si>
  <si>
    <r>
      <t>AF</t>
    </r>
    <r>
      <rPr>
        <vertAlign val="subscript"/>
        <sz val="11"/>
        <color rgb="FF000000"/>
        <rFont val="Calibri"/>
        <family val="2"/>
        <charset val="1"/>
      </rPr>
      <t>LI16-ped</t>
    </r>
    <r>
      <rPr>
        <sz val="10"/>
        <rFont val="Arial"/>
        <family val="2"/>
      </rPr>
      <t xml:space="preserve"> (Intersection type)</t>
    </r>
  </si>
  <si>
    <r>
      <t>AF</t>
    </r>
    <r>
      <rPr>
        <vertAlign val="subscript"/>
        <sz val="11"/>
        <color rgb="FF000000"/>
        <rFont val="Calibri"/>
        <family val="2"/>
        <charset val="1"/>
      </rPr>
      <t>LI15-ped</t>
    </r>
    <r>
      <rPr>
        <sz val="10"/>
        <rFont val="Arial"/>
        <family val="2"/>
      </rPr>
      <t xml:space="preserve"> (Median type)</t>
    </r>
  </si>
  <si>
    <r>
      <t>AF</t>
    </r>
    <r>
      <rPr>
        <vertAlign val="subscript"/>
        <sz val="11"/>
        <color rgb="FF000000"/>
        <rFont val="Calibri"/>
        <family val="2"/>
        <charset val="1"/>
      </rPr>
      <t>LI14-ped</t>
    </r>
    <r>
      <rPr>
        <sz val="10"/>
        <rFont val="Arial"/>
        <family val="2"/>
      </rPr>
      <t xml:space="preserve"> (Number of traffic lanes to be crossed)</t>
    </r>
  </si>
  <si>
    <r>
      <t>AF</t>
    </r>
    <r>
      <rPr>
        <vertAlign val="subscript"/>
        <sz val="11"/>
        <color rgb="FF000000"/>
        <rFont val="Calibri"/>
        <family val="2"/>
        <charset val="1"/>
      </rPr>
      <t>LI13-ped</t>
    </r>
    <r>
      <rPr>
        <sz val="10"/>
        <rFont val="Arial"/>
        <family val="2"/>
      </rPr>
      <t xml:space="preserve"> (Street lighting)</t>
    </r>
  </si>
  <si>
    <r>
      <t>AF</t>
    </r>
    <r>
      <rPr>
        <vertAlign val="subscript"/>
        <sz val="11"/>
        <color rgb="FF000000"/>
        <rFont val="Calibri"/>
        <family val="2"/>
        <charset val="1"/>
      </rPr>
      <t>LI12-ped</t>
    </r>
    <r>
      <rPr>
        <sz val="10"/>
        <rFont val="Arial"/>
        <family val="2"/>
      </rPr>
      <t xml:space="preserve"> (Vehicle parking)</t>
    </r>
  </si>
  <si>
    <r>
      <t>AF</t>
    </r>
    <r>
      <rPr>
        <vertAlign val="subscript"/>
        <sz val="11"/>
        <color rgb="FF000000"/>
        <rFont val="Calibri"/>
        <family val="2"/>
        <charset val="1"/>
      </rPr>
      <t>LI5-ped</t>
    </r>
    <r>
      <rPr>
        <sz val="10"/>
        <rFont val="Arial"/>
        <family val="2"/>
      </rPr>
      <t xml:space="preserve"> (Pedestrian fencing)</t>
    </r>
  </si>
  <si>
    <r>
      <t>AF</t>
    </r>
    <r>
      <rPr>
        <vertAlign val="subscript"/>
        <sz val="11"/>
        <color rgb="FF000000"/>
        <rFont val="Calibri"/>
        <family val="2"/>
        <charset val="1"/>
      </rPr>
      <t>LI4-ped</t>
    </r>
    <r>
      <rPr>
        <sz val="10"/>
        <rFont val="Arial"/>
        <family val="2"/>
      </rPr>
      <t xml:space="preserve"> (Advance visibility of a pedestrian crossing)</t>
    </r>
  </si>
  <si>
    <r>
      <t>AF</t>
    </r>
    <r>
      <rPr>
        <vertAlign val="subscript"/>
        <sz val="11"/>
        <color rgb="FF000000"/>
        <rFont val="Calibri"/>
        <family val="2"/>
        <charset val="1"/>
      </rPr>
      <t>SI3-ped</t>
    </r>
    <r>
      <rPr>
        <sz val="10"/>
        <rFont val="Arial"/>
        <family val="2"/>
      </rPr>
      <t xml:space="preserve"> (Pedestrian crossing facility type)</t>
    </r>
  </si>
  <si>
    <r>
      <t>AF</t>
    </r>
    <r>
      <rPr>
        <vertAlign val="subscript"/>
        <sz val="11"/>
        <color rgb="FF000000"/>
        <rFont val="Calibri"/>
        <family val="2"/>
        <charset val="1"/>
      </rPr>
      <t>LI3-ped</t>
    </r>
    <r>
      <rPr>
        <sz val="10"/>
        <rFont val="Arial"/>
        <family val="2"/>
      </rPr>
      <t xml:space="preserve"> (Pedestrian crossing facility type)</t>
    </r>
  </si>
  <si>
    <r>
      <t>AF</t>
    </r>
    <r>
      <rPr>
        <vertAlign val="subscript"/>
        <sz val="11"/>
        <color rgb="FF000000"/>
        <rFont val="Calibri"/>
        <family val="2"/>
        <charset val="1"/>
      </rPr>
      <t>LI2-ped</t>
    </r>
    <r>
      <rPr>
        <sz val="10"/>
        <rFont val="Arial"/>
        <family val="2"/>
      </rPr>
      <t xml:space="preserve"> (School zone warning)</t>
    </r>
  </si>
  <si>
    <t>Minor road leg 2</t>
  </si>
  <si>
    <r>
      <rPr>
        <sz val="10"/>
        <rFont val="Arial"/>
        <family val="2"/>
      </rPr>
      <t>N</t>
    </r>
    <r>
      <rPr>
        <vertAlign val="subscript"/>
        <sz val="11"/>
        <color rgb="FF000000"/>
        <rFont val="Calibri"/>
        <family val="2"/>
        <charset val="1"/>
      </rPr>
      <t>intcrossing-ped-3</t>
    </r>
  </si>
  <si>
    <r>
      <rPr>
        <sz val="10"/>
        <rFont val="Arial"/>
        <family val="2"/>
      </rPr>
      <t>PFF</t>
    </r>
    <r>
      <rPr>
        <vertAlign val="subscript"/>
        <sz val="11"/>
        <color rgb="FF000000"/>
        <rFont val="Calibri"/>
        <family val="2"/>
        <charset val="1"/>
      </rPr>
      <t>intcrossing-3</t>
    </r>
  </si>
  <si>
    <r>
      <rPr>
        <sz val="10"/>
        <rFont val="Arial"/>
        <family val="2"/>
      </rPr>
      <t>MVTFF</t>
    </r>
    <r>
      <rPr>
        <vertAlign val="subscript"/>
        <sz val="11"/>
        <color rgb="FF000000"/>
        <rFont val="Calibri"/>
        <family val="2"/>
        <charset val="1"/>
      </rPr>
      <t>intrcrossing-ped-3</t>
    </r>
  </si>
  <si>
    <r>
      <rPr>
        <sz val="10"/>
        <rFont val="Arial"/>
        <family val="2"/>
      </rPr>
      <t>MVTSF</t>
    </r>
    <r>
      <rPr>
        <vertAlign val="subscript"/>
        <sz val="11"/>
        <color rgb="FF000000"/>
        <rFont val="Calibri"/>
        <family val="2"/>
        <charset val="1"/>
      </rPr>
      <t>intcrossing-ped-3</t>
    </r>
  </si>
  <si>
    <r>
      <rPr>
        <sz val="10"/>
        <rFont val="Arial"/>
        <family val="2"/>
      </rPr>
      <t>Severity</t>
    </r>
    <r>
      <rPr>
        <vertAlign val="subscript"/>
        <sz val="11"/>
        <color rgb="FF000000"/>
        <rFont val="Calibri"/>
        <family val="2"/>
        <charset val="1"/>
      </rPr>
      <t>intcrossing-ped-3</t>
    </r>
  </si>
  <si>
    <r>
      <rPr>
        <sz val="10"/>
        <rFont val="Arial"/>
        <family val="2"/>
      </rPr>
      <t>Likelihood</t>
    </r>
    <r>
      <rPr>
        <vertAlign val="subscript"/>
        <sz val="11"/>
        <color rgb="FF000000"/>
        <rFont val="Calibri"/>
        <family val="2"/>
        <charset val="1"/>
      </rPr>
      <t>intcrossing-ped-3</t>
    </r>
  </si>
  <si>
    <t>Minor road leg 1</t>
  </si>
  <si>
    <r>
      <rPr>
        <sz val="10"/>
        <rFont val="Arial"/>
        <family val="2"/>
      </rPr>
      <t>C</t>
    </r>
    <r>
      <rPr>
        <vertAlign val="subscript"/>
        <sz val="11"/>
        <color rgb="FF000000"/>
        <rFont val="Calibri"/>
        <family val="2"/>
        <charset val="1"/>
      </rPr>
      <t>bikei</t>
    </r>
  </si>
  <si>
    <r>
      <rPr>
        <sz val="10"/>
        <rFont val="Arial"/>
        <family val="2"/>
      </rPr>
      <t>N</t>
    </r>
    <r>
      <rPr>
        <vertAlign val="subscript"/>
        <sz val="11"/>
        <color rgb="FF000000"/>
        <rFont val="Calibri"/>
        <family val="2"/>
        <charset val="1"/>
      </rPr>
      <t>intcrossing-ped-2</t>
    </r>
  </si>
  <si>
    <r>
      <rPr>
        <sz val="10"/>
        <rFont val="Arial"/>
        <family val="2"/>
      </rPr>
      <t>FT</t>
    </r>
    <r>
      <rPr>
        <vertAlign val="subscript"/>
        <sz val="11"/>
        <color rgb="FF000000"/>
        <rFont val="Calibri"/>
        <family val="2"/>
        <charset val="1"/>
      </rPr>
      <t>bikei</t>
    </r>
  </si>
  <si>
    <r>
      <rPr>
        <sz val="10"/>
        <rFont val="Arial"/>
        <family val="2"/>
      </rPr>
      <t>PFF</t>
    </r>
    <r>
      <rPr>
        <vertAlign val="subscript"/>
        <sz val="11"/>
        <color rgb="FF000000"/>
        <rFont val="Calibri"/>
        <family val="2"/>
        <charset val="1"/>
      </rPr>
      <t>intcrossing-2</t>
    </r>
  </si>
  <si>
    <r>
      <t>N</t>
    </r>
    <r>
      <rPr>
        <vertAlign val="subscript"/>
        <sz val="11"/>
        <color theme="1"/>
        <rFont val="Calibri"/>
        <family val="2"/>
        <scheme val="minor"/>
      </rPr>
      <t>unadjusted-bikei</t>
    </r>
  </si>
  <si>
    <r>
      <rPr>
        <sz val="10"/>
        <rFont val="Arial"/>
        <family val="2"/>
      </rPr>
      <t>MVTFF</t>
    </r>
    <r>
      <rPr>
        <vertAlign val="subscript"/>
        <sz val="11"/>
        <color rgb="FF000000"/>
        <rFont val="Calibri"/>
        <family val="2"/>
        <charset val="1"/>
      </rPr>
      <t>intrcrossing-ped-2</t>
    </r>
  </si>
  <si>
    <r>
      <rPr>
        <sz val="10"/>
        <rFont val="Arial"/>
        <family val="2"/>
      </rPr>
      <t>MVTSF</t>
    </r>
    <r>
      <rPr>
        <vertAlign val="subscript"/>
        <sz val="11"/>
        <color rgb="FF000000"/>
        <rFont val="Calibri"/>
        <family val="2"/>
        <charset val="1"/>
      </rPr>
      <t>intcrossing-ped-2</t>
    </r>
  </si>
  <si>
    <r>
      <t>N</t>
    </r>
    <r>
      <rPr>
        <vertAlign val="subscript"/>
        <sz val="11"/>
        <color theme="1"/>
        <rFont val="Calibri"/>
        <family val="2"/>
        <scheme val="minor"/>
      </rPr>
      <t>unadjusted-bikei-minor</t>
    </r>
    <r>
      <rPr>
        <sz val="10"/>
        <rFont val="Arial"/>
        <family val="2"/>
      </rPr>
      <t xml:space="preserve"> </t>
    </r>
  </si>
  <si>
    <r>
      <rPr>
        <sz val="10"/>
        <rFont val="Arial"/>
        <family val="2"/>
      </rPr>
      <t>Severity</t>
    </r>
    <r>
      <rPr>
        <vertAlign val="subscript"/>
        <sz val="11"/>
        <color rgb="FF000000"/>
        <rFont val="Calibri"/>
        <family val="2"/>
        <charset val="1"/>
      </rPr>
      <t>intcrossing-ped-2</t>
    </r>
  </si>
  <si>
    <r>
      <rPr>
        <sz val="10"/>
        <rFont val="Arial"/>
        <family val="2"/>
      </rPr>
      <t>Likelihood</t>
    </r>
    <r>
      <rPr>
        <vertAlign val="subscript"/>
        <sz val="11"/>
        <color rgb="FF000000"/>
        <rFont val="Calibri"/>
        <family val="2"/>
        <charset val="1"/>
      </rPr>
      <t>intcrossing-ped-2</t>
    </r>
  </si>
  <si>
    <r>
      <t>BFF</t>
    </r>
    <r>
      <rPr>
        <vertAlign val="subscript"/>
        <sz val="11"/>
        <color rgb="FF000000"/>
        <rFont val="Calibri"/>
        <family val="2"/>
        <charset val="1"/>
      </rPr>
      <t>minor</t>
    </r>
  </si>
  <si>
    <r>
      <t>MVTFF</t>
    </r>
    <r>
      <rPr>
        <vertAlign val="subscript"/>
        <sz val="11"/>
        <color rgb="FF000000"/>
        <rFont val="Calibri"/>
        <family val="2"/>
        <charset val="1"/>
      </rPr>
      <t>bikei-minor</t>
    </r>
  </si>
  <si>
    <r>
      <t>MVTSF</t>
    </r>
    <r>
      <rPr>
        <vertAlign val="subscript"/>
        <sz val="11"/>
        <color rgb="FF000000"/>
        <rFont val="Calibri"/>
        <family val="2"/>
        <charset val="1"/>
      </rPr>
      <t>bikei-minor</t>
    </r>
  </si>
  <si>
    <r>
      <t>Severity</t>
    </r>
    <r>
      <rPr>
        <vertAlign val="subscript"/>
        <sz val="11"/>
        <color rgb="FF000000"/>
        <rFont val="Calibri"/>
        <family val="2"/>
        <charset val="1"/>
      </rPr>
      <t>bikei-minor</t>
    </r>
  </si>
  <si>
    <r>
      <t>Likelihood</t>
    </r>
    <r>
      <rPr>
        <vertAlign val="subscript"/>
        <sz val="11"/>
        <color rgb="FF000000"/>
        <rFont val="Calibri"/>
        <family val="2"/>
        <charset val="1"/>
      </rPr>
      <t>bikei-minor</t>
    </r>
  </si>
  <si>
    <r>
      <t>AF</t>
    </r>
    <r>
      <rPr>
        <vertAlign val="subscript"/>
        <sz val="11"/>
        <color rgb="FF000000"/>
        <rFont val="Calibri"/>
        <family val="2"/>
        <charset val="1"/>
      </rPr>
      <t>LI18-bike</t>
    </r>
    <r>
      <rPr>
        <sz val="10"/>
        <rFont val="Arial"/>
        <family val="2"/>
      </rPr>
      <t xml:space="preserve"> (Street lighting)</t>
    </r>
  </si>
  <si>
    <r>
      <t>AF</t>
    </r>
    <r>
      <rPr>
        <vertAlign val="subscript"/>
        <sz val="11"/>
        <color rgb="FF000000"/>
        <rFont val="Calibri"/>
        <family val="2"/>
        <charset val="1"/>
      </rPr>
      <t>LI5-bike</t>
    </r>
    <r>
      <rPr>
        <sz val="10"/>
        <rFont val="Arial"/>
        <family val="2"/>
      </rPr>
      <t xml:space="preserve"> (Intersection channelization)</t>
    </r>
  </si>
  <si>
    <r>
      <t>AF</t>
    </r>
    <r>
      <rPr>
        <vertAlign val="subscript"/>
        <sz val="11"/>
        <color rgb="FF000000"/>
        <rFont val="Calibri"/>
        <family val="2"/>
        <charset val="1"/>
      </rPr>
      <t>LI4-bike</t>
    </r>
    <r>
      <rPr>
        <sz val="10"/>
        <rFont val="Arial"/>
        <family val="2"/>
      </rPr>
      <t xml:space="preserve"> (Advance visibility of an intersection)</t>
    </r>
  </si>
  <si>
    <r>
      <t>AF</t>
    </r>
    <r>
      <rPr>
        <vertAlign val="subscript"/>
        <sz val="11"/>
        <color rgb="FF000000"/>
        <rFont val="Calibri"/>
        <family val="2"/>
        <charset val="1"/>
      </rPr>
      <t>SI3-bike</t>
    </r>
    <r>
      <rPr>
        <sz val="10"/>
        <rFont val="Arial"/>
        <family val="2"/>
      </rPr>
      <t xml:space="preserve"> (Intersection type)</t>
    </r>
  </si>
  <si>
    <r>
      <t>AF</t>
    </r>
    <r>
      <rPr>
        <vertAlign val="subscript"/>
        <sz val="11"/>
        <color rgb="FF000000"/>
        <rFont val="Calibri"/>
        <family val="2"/>
        <charset val="1"/>
      </rPr>
      <t>LI3-bike</t>
    </r>
    <r>
      <rPr>
        <sz val="10"/>
        <rFont val="Arial"/>
        <family val="2"/>
      </rPr>
      <t xml:space="preserve"> (Intersection type)</t>
    </r>
  </si>
  <si>
    <r>
      <t>AF</t>
    </r>
    <r>
      <rPr>
        <vertAlign val="subscript"/>
        <sz val="11"/>
        <color rgb="FF000000"/>
        <rFont val="Calibri"/>
        <family val="2"/>
        <charset val="1"/>
      </rPr>
      <t>LI2-bike</t>
    </r>
    <r>
      <rPr>
        <sz val="10"/>
        <rFont val="Arial"/>
        <family val="2"/>
      </rPr>
      <t xml:space="preserve"> (Bicycle path and pedestrian crossing type)</t>
    </r>
  </si>
  <si>
    <t>Major road leg 2</t>
  </si>
  <si>
    <r>
      <t>AF</t>
    </r>
    <r>
      <rPr>
        <vertAlign val="subscript"/>
        <sz val="11"/>
        <color rgb="FF000000"/>
        <rFont val="Calibri"/>
        <family val="2"/>
        <charset val="1"/>
      </rPr>
      <t>LI1-bike</t>
    </r>
    <r>
      <rPr>
        <sz val="10"/>
        <rFont val="Arial"/>
        <family val="2"/>
      </rPr>
      <t xml:space="preserve"> (Bicycle facilities or paved shoulder provision)</t>
    </r>
  </si>
  <si>
    <r>
      <rPr>
        <sz val="10"/>
        <rFont val="Arial"/>
        <family val="2"/>
      </rPr>
      <t>N</t>
    </r>
    <r>
      <rPr>
        <vertAlign val="subscript"/>
        <sz val="11"/>
        <color rgb="FF000000"/>
        <rFont val="Calibri"/>
        <family val="2"/>
        <charset val="1"/>
      </rPr>
      <t>intcrossing-ped-1</t>
    </r>
  </si>
  <si>
    <r>
      <rPr>
        <sz val="10"/>
        <rFont val="Arial"/>
        <family val="2"/>
      </rPr>
      <t>PFF</t>
    </r>
    <r>
      <rPr>
        <vertAlign val="subscript"/>
        <sz val="11"/>
        <color rgb="FF000000"/>
        <rFont val="Calibri"/>
        <family val="2"/>
        <charset val="1"/>
      </rPr>
      <t>intcrossing-1</t>
    </r>
  </si>
  <si>
    <r>
      <t>N</t>
    </r>
    <r>
      <rPr>
        <vertAlign val="subscript"/>
        <sz val="11"/>
        <color theme="1"/>
        <rFont val="Calibri"/>
        <family val="2"/>
        <scheme val="minor"/>
      </rPr>
      <t>unadjusted-bikei-major</t>
    </r>
  </si>
  <si>
    <r>
      <rPr>
        <sz val="10"/>
        <rFont val="Arial"/>
        <family val="2"/>
      </rPr>
      <t>MVTFF</t>
    </r>
    <r>
      <rPr>
        <vertAlign val="subscript"/>
        <sz val="11"/>
        <color rgb="FF000000"/>
        <rFont val="Calibri"/>
        <family val="2"/>
        <charset val="1"/>
      </rPr>
      <t>intrcrossing-ped-1</t>
    </r>
  </si>
  <si>
    <r>
      <rPr>
        <sz val="10"/>
        <rFont val="Arial"/>
        <family val="2"/>
      </rPr>
      <t>MVTSF</t>
    </r>
    <r>
      <rPr>
        <vertAlign val="subscript"/>
        <sz val="11"/>
        <color rgb="FF000000"/>
        <rFont val="Calibri"/>
        <family val="2"/>
        <charset val="1"/>
      </rPr>
      <t>intcrossing-ped-1</t>
    </r>
  </si>
  <si>
    <r>
      <t>BFF</t>
    </r>
    <r>
      <rPr>
        <vertAlign val="subscript"/>
        <sz val="11"/>
        <color rgb="FF000000"/>
        <rFont val="Calibri"/>
        <family val="2"/>
        <charset val="1"/>
      </rPr>
      <t>major</t>
    </r>
  </si>
  <si>
    <r>
      <rPr>
        <sz val="10"/>
        <rFont val="Arial"/>
        <family val="2"/>
      </rPr>
      <t>Severity</t>
    </r>
    <r>
      <rPr>
        <vertAlign val="subscript"/>
        <sz val="11"/>
        <color rgb="FF000000"/>
        <rFont val="Calibri"/>
        <family val="2"/>
        <charset val="1"/>
      </rPr>
      <t>intcrossing-ped-1</t>
    </r>
  </si>
  <si>
    <r>
      <t>MVTFF</t>
    </r>
    <r>
      <rPr>
        <vertAlign val="subscript"/>
        <sz val="11"/>
        <color rgb="FF000000"/>
        <rFont val="Calibri"/>
        <family val="2"/>
        <charset val="1"/>
      </rPr>
      <t>bikei-major</t>
    </r>
  </si>
  <si>
    <r>
      <rPr>
        <sz val="10"/>
        <rFont val="Arial"/>
        <family val="2"/>
      </rPr>
      <t>Likelihood</t>
    </r>
    <r>
      <rPr>
        <vertAlign val="subscript"/>
        <sz val="11"/>
        <color rgb="FF000000"/>
        <rFont val="Calibri"/>
        <family val="2"/>
        <charset val="1"/>
      </rPr>
      <t>intcrossing-ped-1</t>
    </r>
  </si>
  <si>
    <r>
      <t>MVTSF</t>
    </r>
    <r>
      <rPr>
        <vertAlign val="subscript"/>
        <sz val="11"/>
        <color rgb="FF000000"/>
        <rFont val="Calibri"/>
        <family val="2"/>
        <charset val="1"/>
      </rPr>
      <t>bikei-major</t>
    </r>
  </si>
  <si>
    <r>
      <t>Severity</t>
    </r>
    <r>
      <rPr>
        <vertAlign val="subscript"/>
        <sz val="11"/>
        <color rgb="FF000000"/>
        <rFont val="Calibri"/>
        <family val="2"/>
        <charset val="1"/>
      </rPr>
      <t>bikei-major</t>
    </r>
  </si>
  <si>
    <r>
      <t>Likelihood</t>
    </r>
    <r>
      <rPr>
        <vertAlign val="subscript"/>
        <sz val="11"/>
        <color rgb="FF000000"/>
        <rFont val="Calibri"/>
        <family val="2"/>
        <charset val="1"/>
      </rPr>
      <t>bikei-major</t>
    </r>
  </si>
  <si>
    <t>4-leg signalized with exclusive left-turn lane</t>
  </si>
  <si>
    <t>4-leg unsignalized with no exclusive left-turn lane</t>
  </si>
  <si>
    <t>4-leg unsignalized with exclusive left-turn lane</t>
  </si>
  <si>
    <t>3-leg signalized with no exclusive left-turn lane</t>
  </si>
  <si>
    <t>3SG</t>
  </si>
  <si>
    <t>3-leg signalized with exclusive left-turn lane</t>
  </si>
  <si>
    <t>3-leg unsignalized with no exclusive left-turn lane</t>
  </si>
  <si>
    <t>3-leg unsignalized with exclusive left-turn lane</t>
  </si>
  <si>
    <t>Bicyclist</t>
  </si>
  <si>
    <t>Pedestrian</t>
  </si>
  <si>
    <t>Major road leg 1</t>
  </si>
  <si>
    <t>Calibration Factors:</t>
  </si>
  <si>
    <t>more than 900</t>
  </si>
  <si>
    <t>501 to 900</t>
  </si>
  <si>
    <t>401 to 500</t>
  </si>
  <si>
    <t>301 to 400</t>
  </si>
  <si>
    <t>51 to 100</t>
  </si>
  <si>
    <t>1 to 5</t>
  </si>
  <si>
    <t>PFF</t>
  </si>
  <si>
    <t>Pedestrian peak-hour flow for a specific side of road or crossing (p/h)</t>
  </si>
  <si>
    <t>Table 10-18. Pedestrian Flow Factors</t>
  </si>
  <si>
    <t>90 or more</t>
  </si>
  <si>
    <t>20 or less</t>
  </si>
  <si>
    <t>MVTSF(ped)</t>
  </si>
  <si>
    <t>Mean speed of motor-vehicle traffic on a specific roadway segment (mph)</t>
  </si>
  <si>
    <t>Table 10-17. Motor-Vehicle Traffic Speed Factor for Pedestrian Movements</t>
  </si>
  <si>
    <t>C-injury</t>
  </si>
  <si>
    <t>B-injury</t>
  </si>
  <si>
    <t>A-injury</t>
  </si>
  <si>
    <t>Proportion of pedestrian Crashes by Most Severe Pedestrian Injury</t>
  </si>
  <si>
    <t>Table 10-37. Proportion of Pedestrian Crashes on Two-Lane, Two-Way Roadway Segments by Injury Severity Type</t>
  </si>
  <si>
    <t>Central hatching or other flush separation (&gt; 3 ft)</t>
  </si>
  <si>
    <t>Centerline rumble strip (or flexipost)</t>
  </si>
  <si>
    <t>Continuous central turning lane</t>
  </si>
  <si>
    <t>Physical median width &gt;= 3 ft</t>
  </si>
  <si>
    <t>Physical median with traffic barrier</t>
  </si>
  <si>
    <t>AF(LM15-ped)</t>
  </si>
  <si>
    <t>Table 10-34. Crash Likelihood Adjustment Factors for Median Type</t>
  </si>
  <si>
    <t>Six Lanes</t>
  </si>
  <si>
    <t>Five Lanes</t>
  </si>
  <si>
    <t>Four Lanes</t>
  </si>
  <si>
    <t>Three Lanes</t>
  </si>
  <si>
    <t>AF(LA14-ped), AF(LM14-ped)</t>
  </si>
  <si>
    <t>Number of traffic lanes</t>
  </si>
  <si>
    <t>Table 10-33. Crash Likelihood Adjustment Factors for Number of Traffic Lanes to be Crossed</t>
  </si>
  <si>
    <t>AF(LA13-ped)</t>
  </si>
  <si>
    <t>Table 10-32. Crash Likelihood Adjustment Factors for Street Lighting</t>
  </si>
  <si>
    <t>Two sides</t>
  </si>
  <si>
    <t>One side</t>
  </si>
  <si>
    <t>AF(LM12-ped)</t>
  </si>
  <si>
    <t>Vehicle parking (crossing)</t>
  </si>
  <si>
    <t>Table 10-31. Crash Likelihood Adjustment Factors for Vehicle Parking for Pedestrian Movements Crossing the Road</t>
  </si>
  <si>
    <t>Two sides (sidewalk present)</t>
  </si>
  <si>
    <t>One side (sidewalk present)</t>
  </si>
  <si>
    <t>AF(LA12-ped)</t>
  </si>
  <si>
    <t>Table 10-30. Crash Likelihood Adjustment Factors for Vehicle Parking for Pedestrian Movements Along the Road</t>
  </si>
  <si>
    <t>AF(LA11-ped)</t>
  </si>
  <si>
    <t>Table 10-29. Crash Likelihood Adjustment Factors for Shoulder Rumble Strips</t>
  </si>
  <si>
    <t>Loss of reflectivity (e.g., weathered or faded) or absent</t>
  </si>
  <si>
    <t>AF(LA10-ped)</t>
  </si>
  <si>
    <t>Table 10-28. Crash Likelihood Adjustment Factors for Presence and Condition of Delineation</t>
  </si>
  <si>
    <t>&gt;= 10%</t>
  </si>
  <si>
    <t>7.5% to &lt; 10%</t>
  </si>
  <si>
    <t>AF(LA9-ped)</t>
  </si>
  <si>
    <t>Table 10-27. Crash Likelihood Adjustment Factors for Percent Grade</t>
  </si>
  <si>
    <t>AF(LA8-ped)</t>
  </si>
  <si>
    <t>Advance visibility of a curve</t>
  </si>
  <si>
    <t>Table 10-26. Crash Likekilood Adjustment Factors for Advance Visibility of a Curve</t>
  </si>
  <si>
    <t>Very sharp curve (advisory speed &lt; 25 mph or curve radius &lt; 650 ft)</t>
  </si>
  <si>
    <t>AF(LA7-ped)</t>
  </si>
  <si>
    <t>Table 10-25. Crash Likelihood Adjustment Factors for Horizontal Curvature</t>
  </si>
  <si>
    <t>Narrow (&lt; 9 ft)</t>
  </si>
  <si>
    <t>Medium (&gt;= 9 to &lt; 10.6 ft)</t>
  </si>
  <si>
    <t>AF(LA6-ped)</t>
  </si>
  <si>
    <t>Table 10-24. Crash Likelihood Adjustment Factors for Lane Width</t>
  </si>
  <si>
    <t>At pedestrian crossing</t>
  </si>
  <si>
    <t>Full length of roadway segment</t>
  </si>
  <si>
    <t>AF(LM5-ped)</t>
  </si>
  <si>
    <t>Table 10-23. Crash Likelihood Adjustment Factors for Pedetrian Fencing Categories</t>
  </si>
  <si>
    <t>Not applicable (no crossing present)</t>
  </si>
  <si>
    <t>AF(LM4-ped)</t>
  </si>
  <si>
    <t>Table 10-22. Crash Likelihood Adjustment Factors for Advance Visibility of a Pedestrian Crossing</t>
  </si>
  <si>
    <t>Unsignalized marked crossing with refuge and pedestrian hybrid beacon</t>
  </si>
  <si>
    <t>Refuge only</t>
  </si>
  <si>
    <t>Unsignalized marked crossing without refuge</t>
  </si>
  <si>
    <t>Unsignalized marked crossing with refuge</t>
  </si>
  <si>
    <t>Signalized without refuge</t>
  </si>
  <si>
    <t>Signalized with refuge</t>
  </si>
  <si>
    <t>Grade separated facility</t>
  </si>
  <si>
    <t>Grade separated facility - pedestrian fencing present</t>
  </si>
  <si>
    <t>School locations without a crossing guard</t>
  </si>
  <si>
    <t>School locations with a crossing guard</t>
  </si>
  <si>
    <t>Pedestrian crossing facility type at midblock locations</t>
  </si>
  <si>
    <t>AF(SM3-ped)</t>
  </si>
  <si>
    <t>AF(LM3-ped)</t>
  </si>
  <si>
    <t>Table 10-21. Crash Likelihood Adjustment Factors for Pedestrian Crossing Facility Types / Table 10-36. Crash Severity Adjustment Factors for Pedestrian Crossing Facility Type</t>
  </si>
  <si>
    <t>School zone with no school zone warning present</t>
  </si>
  <si>
    <t>School zone static signs or road markings present</t>
  </si>
  <si>
    <t>AF(LM2-ped)</t>
  </si>
  <si>
    <t>AF(LA2-ped)</t>
  </si>
  <si>
    <t>Table 10-20. Crash Likelihood Adjustment Factors for School Zone Warning</t>
  </si>
  <si>
    <t>Informal path width &lt;= 3 ft separation from road with no barrier</t>
  </si>
  <si>
    <t>Informal path width &gt; 3 ft separation from road with no barrier</t>
  </si>
  <si>
    <t>Paved shoulder present with width &lt; 3 ft</t>
  </si>
  <si>
    <t>Paved shoulder present with width &gt;= 7.9 ft</t>
  </si>
  <si>
    <t>Sidewalk adjacent to the traveled way (within 3 ft)</t>
  </si>
  <si>
    <t>Sidewalk with &gt; 3 ft separation from traveled way with no barrier present</t>
  </si>
  <si>
    <t>Sidewalk with &gt; 10 ft separation from traveled way with no barrier present</t>
  </si>
  <si>
    <t>Physical barrier between sidewalk and traveled way</t>
  </si>
  <si>
    <t>AF(SA1-ped)</t>
  </si>
  <si>
    <t>AF(LA1-ped)</t>
  </si>
  <si>
    <t>Table 10-19. Crash Likelihood Adjustment Factors for Sidewalk or Paved Shoulder Provision / Table 10-35. Crash Severity Adjustement Factors for Sidewalk and Paved Shoulder Provision</t>
  </si>
  <si>
    <t>BFF(along)</t>
  </si>
  <si>
    <t>Bicycle peak-hour flow along the road (b/h)</t>
  </si>
  <si>
    <t>Table 10-42. Bicycle Flow Factors</t>
  </si>
  <si>
    <t>MVTSF(along-bike)</t>
  </si>
  <si>
    <t>Table 10-40. Motor-Vehicle Traffic Speed Factor for Bicycle Movements Along the Road or Through an Intersection</t>
  </si>
  <si>
    <t>Proportion of bicycle Crashes by Most Severe Pedestrian Injury</t>
  </si>
  <si>
    <t>Table 10-53. Proportion of Bicycle Crashes on Two-Lane, Two-Way Roadway Segments by Crash Injury Severity</t>
  </si>
  <si>
    <t>AF(LA18-bike)</t>
  </si>
  <si>
    <t>Table 10-51. Crash Likelihood Adjustment Factors for Street Lighting</t>
  </si>
  <si>
    <t>Two sides (bicycle facility present)</t>
  </si>
  <si>
    <t>One side (bicycle facility present)</t>
  </si>
  <si>
    <t>AF(LA16-bike)</t>
  </si>
  <si>
    <t>Table 10-50. Crash Likelihood Adjustment Factors for Vehicle Parking for Bicycle Movements Along the Road</t>
  </si>
  <si>
    <t>AF(LA15-bike)</t>
  </si>
  <si>
    <t>Table 10-49. Crash Likelihood Adjustment Factors for Shoulder Rumble Strips</t>
  </si>
  <si>
    <t>AF(LA14-bike)</t>
  </si>
  <si>
    <t>Presence and Condition of Delineation</t>
  </si>
  <si>
    <t>Table 10-48. Crash Likelihood Adjustment Factors for Presence and Condition of Delineation</t>
  </si>
  <si>
    <t>AF(LA9-bike)</t>
  </si>
  <si>
    <t>Table 10-47. Crash Likelihood Adjustment Factors for Percent Grade</t>
  </si>
  <si>
    <t>AF(LA8-bike)</t>
  </si>
  <si>
    <t>Advance visibility of a Curve</t>
  </si>
  <si>
    <t>Table 10-46. Crash Likelihood Adjustment Factors for Advance Visibility of a Curve</t>
  </si>
  <si>
    <t>AF(LA7-bike)</t>
  </si>
  <si>
    <t>Table 10-45. Crash Likelihood Adjustment Factors for Horizontal Curves</t>
  </si>
  <si>
    <t>AF(LA6-bike)</t>
  </si>
  <si>
    <t>Table 10-44. Crash Likelihood Adjustment Factors for Lane Width</t>
  </si>
  <si>
    <t>Signed or marked shared roadway</t>
  </si>
  <si>
    <t>Extra wide outside lane &gt;= 14 ft</t>
  </si>
  <si>
    <t>Dedicated bicycle lane on roadway</t>
  </si>
  <si>
    <t>Separated bicycle path with barrier</t>
  </si>
  <si>
    <t>AF(SA1-bike)</t>
  </si>
  <si>
    <t>AF(LA1-bike)</t>
  </si>
  <si>
    <t>Table 10-43. Crash Likelihood Adjustment Factors for Bicycle Facilities and Paved Shoulder Provision for Bicycle Movements Along the Road / Table 10-52. Crash Severity Adjustment Factors for Bicycle Facilities and Paved Shoulder Provision for Bicycle Movements Along the Road</t>
  </si>
  <si>
    <t>Pedestrian peak-hour flow for a specific leg (p/h)</t>
  </si>
  <si>
    <t>4-leg</t>
  </si>
  <si>
    <t>3-leg</t>
  </si>
  <si>
    <t>Table 10-39. Proportion of Pedestrian Crashes at Intersections on Two-Lane, Two-Way Roadway Segments by Injury Severity Type</t>
  </si>
  <si>
    <t>FT(pedi)</t>
  </si>
  <si>
    <t>AF(LI16-ped)</t>
  </si>
  <si>
    <t>Table 10-38. Pedestrian Crash Likelihood Adjustment Factors for Intersection Type</t>
  </si>
  <si>
    <t>AF(LI15-ped)</t>
  </si>
  <si>
    <t>AF(LI14-ped)</t>
  </si>
  <si>
    <t>AF(LI13-ped)</t>
  </si>
  <si>
    <t>AF(LI12-ped)</t>
  </si>
  <si>
    <t>AF(LI5-ped)</t>
  </si>
  <si>
    <t>AF(LI4-ped)</t>
  </si>
  <si>
    <t>AF(SI3-ped)</t>
  </si>
  <si>
    <t>AF(LI3-ped)</t>
  </si>
  <si>
    <t>AF(LI2-ped)</t>
  </si>
  <si>
    <t>BFF(intersection)</t>
  </si>
  <si>
    <t>MVTSF(intersection-bike)</t>
  </si>
  <si>
    <t>4-Legs</t>
  </si>
  <si>
    <t>3-Legs</t>
  </si>
  <si>
    <t>Table 10-61. Proportion of Bicycle Crashes at Intersections on Two-Lane, Two-Way Roadway Segments by Injury Severity Level</t>
  </si>
  <si>
    <t>AF(LI18-bike)</t>
  </si>
  <si>
    <t>AF(LI5-bike)</t>
  </si>
  <si>
    <t>Table 10-59. Crash Likelihood Adjustment Factors for Intersection Channelization</t>
  </si>
  <si>
    <t>Not applicable</t>
  </si>
  <si>
    <t>AF(LI4-bike)</t>
  </si>
  <si>
    <t>Advance visibility of intersection</t>
  </si>
  <si>
    <t>Table 10-58. Crash Likelihood Adjustment Factors for Advance Visibility of Interesection</t>
  </si>
  <si>
    <t>FT(bikei)</t>
  </si>
  <si>
    <t>AF(SI3-bike)</t>
  </si>
  <si>
    <t>AF(LI3-bike)</t>
  </si>
  <si>
    <t>Table 10-57. Bicycle Crash Likelihood Adjustment Factors for Intersection Type  / Table 10-60. Bicycle Crash Severity Adjustment Factors for Intersection Type</t>
  </si>
  <si>
    <t>Bicycle path and refuge only</t>
  </si>
  <si>
    <t>Bicycle path and unsignalized marked crossing without refuge</t>
  </si>
  <si>
    <t>Bicycle path and unsignalized marked crossing with refuge</t>
  </si>
  <si>
    <t>Bicycle path and signalized without refuge</t>
  </si>
  <si>
    <t>Bicycle path and signalized with refuge</t>
  </si>
  <si>
    <t>Bicycle path and grade separated facility</t>
  </si>
  <si>
    <t>AF(LI2-bike)</t>
  </si>
  <si>
    <t>Bicycle path and pedestrian crossing facility type</t>
  </si>
  <si>
    <t>Table 10-56. Crash Likelihood Adjustment Factors for Bicycle Path and Pedestrian Crossing Facility Types for Bicycle Movements Through Intersections</t>
  </si>
  <si>
    <t>AF(LI1-bike)</t>
  </si>
  <si>
    <t>Table 10-55. Crash Likelihood Adjustment Factors for Bicycle Facilities and Paved Shoulder Provision for Movement Movements Through Intersections</t>
  </si>
  <si>
    <t>N/A</t>
  </si>
  <si>
    <r>
      <t>(8)</t>
    </r>
    <r>
      <rPr>
        <sz val="6"/>
        <rFont val="Arial"/>
        <family val="2"/>
      </rPr>
      <t>TOTAL</t>
    </r>
    <r>
      <rPr>
        <sz val="10"/>
        <rFont val="Arial"/>
        <family val="2"/>
      </rPr>
      <t xml:space="preserve"> from Worksheet 1C + </t>
    </r>
    <r>
      <rPr>
        <b/>
        <sz val="10"/>
        <rFont val="Arial"/>
        <family val="2"/>
      </rPr>
      <t>(Ped &amp; Bike Collisions from Segment Models)</t>
    </r>
  </si>
  <si>
    <r>
      <t>(8)</t>
    </r>
    <r>
      <rPr>
        <sz val="6"/>
        <rFont val="Arial"/>
        <family val="2"/>
      </rPr>
      <t>FI</t>
    </r>
    <r>
      <rPr>
        <sz val="10"/>
        <rFont val="Arial"/>
        <family val="2"/>
      </rPr>
      <t xml:space="preserve"> from Worksheet 1C</t>
    </r>
    <r>
      <rPr>
        <sz val="10"/>
        <rFont val="Arial"/>
        <family val="2"/>
      </rPr>
      <t xml:space="preserve"> + </t>
    </r>
    <r>
      <rPr>
        <b/>
        <sz val="10"/>
        <rFont val="Arial"/>
        <family val="2"/>
      </rPr>
      <t>(Ped &amp; Bike Collisions from Segment Models)</t>
    </r>
  </si>
  <si>
    <t>(5)x(6)x(7)                     (Excluding Ped &amp; Bike Collisions)</t>
  </si>
  <si>
    <t>(5)*(6)*(7)                                     (Excluding Ped &amp; Bike Collisions)</t>
  </si>
  <si>
    <r>
      <t>(8)</t>
    </r>
    <r>
      <rPr>
        <sz val="6"/>
        <rFont val="Arial"/>
        <family val="2"/>
      </rPr>
      <t>TOTAL</t>
    </r>
    <r>
      <rPr>
        <sz val="10"/>
        <rFont val="Arial"/>
        <family val="2"/>
      </rPr>
      <t xml:space="preserve"> from Worksheet 2C + (Ped &amp; Bike Collisions from Intersection Models)</t>
    </r>
  </si>
  <si>
    <r>
      <t>(8)</t>
    </r>
    <r>
      <rPr>
        <sz val="6"/>
        <rFont val="Arial"/>
        <family val="2"/>
      </rPr>
      <t>FI</t>
    </r>
    <r>
      <rPr>
        <sz val="10"/>
        <rFont val="Arial"/>
        <family val="2"/>
      </rPr>
      <t xml:space="preserve"> from Worksheet 2C +            (Ped &amp; Bike Collisions from Intersection Models)</t>
    </r>
  </si>
  <si>
    <t>(8) from Worksheet 1C +            (Ped &amp; Bike Collisions from Intersection Models)</t>
  </si>
  <si>
    <t>(8) from Worksheet 2C + (Ped &amp; Bike Collisions from Intersection Models)</t>
  </si>
  <si>
    <t>(Ped &amp; Bike Calculations work properly for Segment_1)</t>
  </si>
  <si>
    <t>(Ped &amp; Bike Calculations work properly for Intersection_1)</t>
  </si>
  <si>
    <r>
      <t>Observed    crashes,</t>
    </r>
    <r>
      <rPr>
        <sz val="10"/>
        <rFont val="Arial"/>
        <family val="2"/>
      </rPr>
      <t xml:space="preserve">   N</t>
    </r>
    <r>
      <rPr>
        <vertAlign val="subscript"/>
        <sz val="10"/>
        <rFont val="Arial"/>
        <family val="2"/>
      </rPr>
      <t>observed</t>
    </r>
    <r>
      <rPr>
        <sz val="10"/>
        <rFont val="Arial"/>
        <family val="2"/>
      </rPr>
      <t xml:space="preserve"> (crashes/year)</t>
    </r>
    <r>
      <rPr>
        <b/>
        <sz val="10"/>
        <rFont val="Arial"/>
        <family val="2"/>
      </rPr>
      <t xml:space="preserve"> </t>
    </r>
    <r>
      <rPr>
        <sz val="10"/>
        <rFont val="Arial"/>
        <family val="2"/>
      </rPr>
      <t>(Excluding Ped &amp; Bike Collisions)</t>
    </r>
  </si>
  <si>
    <t>Predicted average crash frequency (crashes/year) (Excluding Ped &amp; Bike Collisions)</t>
  </si>
  <si>
    <r>
      <t>Expected average crash frequency, N</t>
    </r>
    <r>
      <rPr>
        <b/>
        <vertAlign val="subscript"/>
        <sz val="10"/>
        <rFont val="Arial"/>
        <family val="2"/>
      </rPr>
      <t>expected</t>
    </r>
    <r>
      <rPr>
        <b/>
        <sz val="10"/>
        <rFont val="Arial"/>
        <family val="2"/>
      </rPr>
      <t xml:space="preserve"> (Excluding Ped &amp; Bike Collisions)</t>
    </r>
  </si>
  <si>
    <r>
      <t xml:space="preserve">N </t>
    </r>
    <r>
      <rPr>
        <b/>
        <vertAlign val="subscript"/>
        <sz val="10"/>
        <rFont val="Arial"/>
        <family val="2"/>
      </rPr>
      <t>expected</t>
    </r>
    <r>
      <rPr>
        <sz val="10"/>
        <rFont val="Arial"/>
        <family val="2"/>
      </rPr>
      <t xml:space="preserve"> (Excluding Ped &amp; Bike Collisions)</t>
    </r>
  </si>
  <si>
    <t>Ped&amp;Bike (Segments)</t>
  </si>
  <si>
    <t>Ped&amp;Bike (Intersections)</t>
  </si>
  <si>
    <r>
      <t xml:space="preserve">Collision with bicycle </t>
    </r>
    <r>
      <rPr>
        <b/>
        <sz val="10"/>
        <color rgb="FFFF0000"/>
        <rFont val="Arial"/>
        <family val="2"/>
      </rPr>
      <t>- Update Using "Ped&amp;Bike (Segments)" Worksheet</t>
    </r>
  </si>
  <si>
    <r>
      <t xml:space="preserve">Collision with pedestrian </t>
    </r>
    <r>
      <rPr>
        <b/>
        <sz val="10"/>
        <color rgb="FFFF0000"/>
        <rFont val="Arial"/>
        <family val="2"/>
      </rPr>
      <t>- Update Using "Ped&amp;Bike (Segments)" Worksheet</t>
    </r>
  </si>
  <si>
    <r>
      <t xml:space="preserve">Collision with bicycle </t>
    </r>
    <r>
      <rPr>
        <b/>
        <sz val="10"/>
        <color rgb="FFFF0000"/>
        <rFont val="Arial"/>
        <family val="2"/>
      </rPr>
      <t>- Update Using "Ped&amp;Bike (Intersections)" Worksheet</t>
    </r>
  </si>
  <si>
    <r>
      <t xml:space="preserve">Collision with pedestrian </t>
    </r>
    <r>
      <rPr>
        <b/>
        <sz val="10"/>
        <color rgb="FFFF0000"/>
        <rFont val="Arial"/>
        <family val="2"/>
      </rPr>
      <t>- Update Using "Ped&amp;Bike (Intersections)" Worksheet</t>
    </r>
  </si>
  <si>
    <t>Ped&amp;Bike (Segment Results)</t>
  </si>
  <si>
    <t>Ped&amp;Bike (Intersection Results)</t>
  </si>
  <si>
    <t>Summary of calculations for pedestrian and bicycle crashes at intersections based on user input from "Ped&amp;Bike (Intersections)" worksheet. Lookup tables for the calculations are provided in "Reference Tables (Ped Intersct)" and "Reference Tables (Bike Intersct)" worksheets. This analysis procedure was developed in NCHRP 17-84.</t>
  </si>
  <si>
    <t>Summary of calculations for pedestrian and bicycle crashes on segments based on user input from "Ped&amp;Bike (Segment)" worksheet. Lookup tables for the calculations are provided in "Reference Tables (Ped Segment)" and "Reference Tables (Bike Segment)" worksheets. This analysis procedure was developed in NCHRP 17-84.</t>
  </si>
  <si>
    <t>Analysis of pedestrian and bicycle collisions for intersectons on rural 2-lane roads that uses lookup tables from exhibits included in the worksheet "Ped&amp;Bike (Intersection Results)". Lookup tables for the calculations are provided in "Reference Tables (Ped Intersct)" and "Reference Tables (Bike Intersct)" worksheets. This analysis procedure was developed in NCHRP 17-84.</t>
  </si>
  <si>
    <t>Analysis of pedestrian and bicycle collisions on segments of rural 2-lane roads that uses lookup tables from exhibits included in the worksheet "Ped&amp;Bike (Segment Results)". Lookup tables for the calculations are provided in "Reference Tables (Ped Segment)" and "Reference Tables (Bike Segment)" worksheets. This analysis procedure was developed in NCHRP 17-84.</t>
  </si>
  <si>
    <t>Reference Tables (Ped Segment)</t>
  </si>
  <si>
    <t>Includes reference tables used for analysis of pedestrian crashes on roadway segments. The tables reference tables from the NCHRP 17-84 Final Report.</t>
  </si>
  <si>
    <t>Reference Tables (Bike Segment)</t>
  </si>
  <si>
    <t>Includes reference tables used for analysis of bicycle crashes on roadway segments. The tables reference tables from the NCHRP 17-84 Final Report.</t>
  </si>
  <si>
    <t>Reference Tables (Ped Intersct)</t>
  </si>
  <si>
    <t>Includes reference tables used for analysis of pedestrian crashes at intersections. The tables reference tables from the NCHRP 17-84 Final Report.</t>
  </si>
  <si>
    <t>Reference Tables (Bike Intersct)</t>
  </si>
  <si>
    <t>Includes reference tables used for analysis of bicycle crashes at intersections. The tables reference tables from the NCHRP 17-84 Final Report.</t>
  </si>
  <si>
    <t>Updated calculations to include analysis of pedestrian and bicycle crashes based on research from NCHRP 17-84.</t>
  </si>
  <si>
    <t>Email: d-torbic@tti.tamu.edu</t>
  </si>
  <si>
    <t>This spreadsheet has been updated to incorporate analysis of pedestrian and bicycle crashes based on the results of NCHRP Project 17-84.</t>
  </si>
  <si>
    <r>
      <t xml:space="preserve">Percentage of total roadway segment crashes </t>
    </r>
    <r>
      <rPr>
        <b/>
        <sz val="10"/>
        <color rgb="FFFF0000"/>
        <rFont val="Arial"/>
        <family val="2"/>
      </rPr>
      <t>(Excluding Ped &amp; Bike Collisions)</t>
    </r>
  </si>
  <si>
    <r>
      <t xml:space="preserve">Percentage of total roadway segment crashes by crash severity level </t>
    </r>
    <r>
      <rPr>
        <b/>
        <sz val="10"/>
        <color rgb="FFFF0000"/>
        <rFont val="Arial"/>
        <family val="2"/>
      </rPr>
      <t>(Excluding Ped &amp; Bike Collisions)</t>
    </r>
  </si>
  <si>
    <r>
      <t xml:space="preserve">HSM Default Values </t>
    </r>
    <r>
      <rPr>
        <b/>
        <sz val="10"/>
        <color rgb="FFFF0000"/>
        <rFont val="Arial"/>
        <family val="2"/>
      </rPr>
      <t>(Excluding Ped &amp; Bike Collisions)</t>
    </r>
  </si>
  <si>
    <r>
      <t xml:space="preserve">Locally Derived Values </t>
    </r>
    <r>
      <rPr>
        <b/>
        <sz val="10"/>
        <color rgb="FFFF0000"/>
        <rFont val="Arial"/>
        <family val="2"/>
      </rPr>
      <t>(Excluding Ped &amp; Bike Collisions)</t>
    </r>
  </si>
  <si>
    <r>
      <t xml:space="preserve">Percentage of total crashes </t>
    </r>
    <r>
      <rPr>
        <b/>
        <sz val="10"/>
        <color rgb="FFFF0000"/>
        <rFont val="Arial"/>
        <family val="2"/>
      </rPr>
      <t>(Excluding Ped &amp; Bike Collisions)</t>
    </r>
  </si>
  <si>
    <r>
      <t xml:space="preserve">Percentage of total crashes by collision type ( HSM Default Values) </t>
    </r>
    <r>
      <rPr>
        <b/>
        <sz val="10"/>
        <color rgb="FFFF0000"/>
        <rFont val="Arial"/>
        <family val="2"/>
      </rPr>
      <t>(Excluding Ped &amp; Bike Collisions)</t>
    </r>
  </si>
  <si>
    <r>
      <t xml:space="preserve">Percentage of total crashes by collision type (Locally Derived Values) </t>
    </r>
    <r>
      <rPr>
        <b/>
        <sz val="10"/>
        <color rgb="FFFF0000"/>
        <rFont val="Arial"/>
        <family val="2"/>
      </rPr>
      <t>(Excluding Ped &amp; Bike Collisions)</t>
    </r>
  </si>
  <si>
    <r>
      <t>Proportion of crashes that occur at night, p</t>
    </r>
    <r>
      <rPr>
        <b/>
        <vertAlign val="subscript"/>
        <sz val="10"/>
        <rFont val="Arial"/>
        <family val="2"/>
      </rPr>
      <t>ni</t>
    </r>
    <r>
      <rPr>
        <b/>
        <sz val="10"/>
        <rFont val="Arial"/>
        <family val="2"/>
      </rPr>
      <t xml:space="preserve">                    </t>
    </r>
    <r>
      <rPr>
        <b/>
        <sz val="10"/>
        <color rgb="FFFF0000"/>
        <rFont val="Arial"/>
        <family val="2"/>
      </rPr>
      <t>(Excluding Ped &amp; Bike Collisions)</t>
    </r>
  </si>
  <si>
    <r>
      <t>Expected average crash frequency,               N</t>
    </r>
    <r>
      <rPr>
        <b/>
        <vertAlign val="subscript"/>
        <sz val="10"/>
        <rFont val="Arial"/>
        <family val="2"/>
      </rPr>
      <t>expected</t>
    </r>
    <r>
      <rPr>
        <b/>
        <sz val="10"/>
        <rFont val="Arial"/>
        <family val="2"/>
      </rPr>
      <t xml:space="preserve">             (Including Ped &amp; Bike Collisions)</t>
    </r>
  </si>
  <si>
    <r>
      <t>N</t>
    </r>
    <r>
      <rPr>
        <vertAlign val="subscript"/>
        <sz val="10"/>
        <rFont val="Arial"/>
        <family val="2"/>
      </rPr>
      <t xml:space="preserve"> expected</t>
    </r>
    <r>
      <rPr>
        <sz val="10"/>
        <rFont val="Arial"/>
        <family val="2"/>
      </rPr>
      <t xml:space="preserve"> (Including Ped &amp; Bike Collisions)</t>
    </r>
  </si>
  <si>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</si>
  <si>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                  </t>
    </r>
    <r>
      <rPr>
        <sz val="10"/>
        <rFont val="Arial"/>
        <family val="2"/>
      </rPr>
      <t>(FI)</t>
    </r>
  </si>
  <si>
    <r>
      <t xml:space="preserve"> N</t>
    </r>
    <r>
      <rPr>
        <vertAlign val="subscript"/>
        <sz val="10"/>
        <rFont val="Arial"/>
        <family val="2"/>
      </rPr>
      <t xml:space="preserve"> predicted</t>
    </r>
    <r>
      <rPr>
        <sz val="10"/>
        <rFont val="Arial"/>
        <family val="2"/>
      </rPr>
      <t xml:space="preserve">        (PDO)</t>
    </r>
  </si>
  <si>
    <r>
      <t xml:space="preserve">Worksheet 4B -- Project-Level EB Method Summary Results </t>
    </r>
    <r>
      <rPr>
        <b/>
        <sz val="10"/>
        <color rgb="FFFF0000"/>
        <rFont val="Arial"/>
        <family val="2"/>
      </rPr>
      <t>(Excluding Ped &amp; Bike Crashes)</t>
    </r>
  </si>
  <si>
    <r>
      <t xml:space="preserve">Analysis for rural 2-lane segments that uses lookup tables from exhibits included in the worksheet "Reference Tables (Segment)." The associated HSM worksheets are 1A, 1B, 1C, 1D, and 1E. </t>
    </r>
    <r>
      <rPr>
        <sz val="10"/>
        <color rgb="FFFF0000"/>
        <rFont val="Arial"/>
        <family val="2"/>
      </rPr>
      <t>Updated to include estimates of pedestrian and bicycle crashes.</t>
    </r>
  </si>
  <si>
    <r>
      <t xml:space="preserve">Analysis for rural 2-lane intersections that uses lookup tables from exhibits included in the worksheet "Reference Tables (Intersection)." The associated HSM worksheets are 2A, 2B, 2C, 2D, and 2E. </t>
    </r>
    <r>
      <rPr>
        <sz val="10"/>
        <color rgb="FFFF0000"/>
        <rFont val="Arial"/>
        <family val="2"/>
      </rPr>
      <t>Updated to include estimates of pedestrian and bicycle crashes.</t>
    </r>
  </si>
  <si>
    <t>Calculations for Segments 2-8 have not be updated to address NCHRP Project 17-84.</t>
  </si>
  <si>
    <t>Calculations for Intersections 2-8 have not be updated to address NCHRP Project 17-84.</t>
  </si>
  <si>
    <t>Use the "Ped&amp;Bike (Segments)" Worksheet to input data to address pedestrian and bicycle collisions.</t>
  </si>
  <si>
    <t>Use the "Ped&amp;Bike (Intersections)" Worksheet to input data to address pedestrian and bicycle collisions.</t>
  </si>
  <si>
    <t>Darren Torbic (d-torbic@tti.tamu.edu)</t>
  </si>
  <si>
    <t>Bicycle peak-hour flow along the road (bike/hr)</t>
  </si>
  <si>
    <t>Moderate curvature (advisory speed in the range from 45 mph to &lt; 60 mph or curve radius in the range from 1300 ft to &lt;= 2600 ft)</t>
  </si>
  <si>
    <t>Sharp curve (advisory speed in the range from 25 mph to &lt; 45 mph or curve radius in the range from 650 ft to &lt;= 1300 ft)</t>
  </si>
  <si>
    <t>THIS WORKSHEET HAS NOT BEEN UPDATED TO ADDRESS PROJECT LEVEL ANALYSES INCORPORATING MODELS FROM NCHRP 17-84</t>
  </si>
  <si>
    <r>
      <t xml:space="preserve">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 </t>
    </r>
    <r>
      <rPr>
        <sz val="10"/>
        <color rgb="FFFF0000"/>
        <rFont val="Arial"/>
        <family val="2"/>
      </rPr>
      <t>This worksheet has not been updated to include estimates of pedestrian and bicycle crashes based on models from NCHRP Project 17-84.</t>
    </r>
  </si>
  <si>
    <r>
      <t>Summary of results and for site-specific EB analysis using results from the segment and intersection worksheets. The EB analysis can be performed if the analyst knows the exact location of historic crashes within the study limits. The associated HSM worksheets are 3A and 3B. This worksheet has been u</t>
    </r>
    <r>
      <rPr>
        <sz val="10"/>
        <color rgb="FFFF0000"/>
        <rFont val="Arial"/>
        <family val="2"/>
      </rPr>
      <t>pdated so that Segment_Divided_1, Segment_Undivided_1, and Intersection_1 include estimates for pedestrian and bicycle crashes based on models from NCHRP Project 17-84.</t>
    </r>
  </si>
  <si>
    <t>(8)COMB * (3)FI / (2) TOTAL</t>
  </si>
  <si>
    <t>(8)COMB * (4)PDO / (2) TOTAL</t>
  </si>
  <si>
    <r>
      <t>Expected average    Bike crash frequency,                   N</t>
    </r>
    <r>
      <rPr>
        <b/>
        <vertAlign val="subscript"/>
        <sz val="10"/>
        <rFont val="Arial"/>
        <family val="2"/>
      </rPr>
      <t>bike</t>
    </r>
  </si>
  <si>
    <r>
      <t>Expected average    Ped crash    frequency,                   N</t>
    </r>
    <r>
      <rPr>
        <b/>
        <vertAlign val="subscript"/>
        <sz val="10"/>
        <rFont val="Arial"/>
        <family val="2"/>
      </rPr>
      <t>ped</t>
    </r>
  </si>
  <si>
    <t>(3)+(4)+(5)</t>
  </si>
  <si>
    <t>N ped(expected)</t>
  </si>
  <si>
    <r>
      <t>(9)</t>
    </r>
    <r>
      <rPr>
        <vertAlign val="subscript"/>
        <sz val="10"/>
        <rFont val="Arial"/>
        <family val="2"/>
      </rPr>
      <t>COMB</t>
    </r>
    <r>
      <rPr>
        <sz val="10"/>
        <rFont val="Arial"/>
        <family val="2"/>
      </rPr>
      <t xml:space="preserve"> from Worksheet 3A</t>
    </r>
  </si>
  <si>
    <t>(10)COMB from Worksheet 3A</t>
  </si>
  <si>
    <t>N bike(expected)</t>
  </si>
  <si>
    <t>September, 2022 by Darren Torbic</t>
  </si>
  <si>
    <t>September, 2022</t>
  </si>
  <si>
    <t>This spreadsheet is a deliverable of National Cooperative Highway Research Program (NCHRP) Project 17-84.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Any opinions and conclusions expressed or implied in resulting research products are those of the individuals and organizations who performed the research and are not necessarily those of TRB; the National Academies of Sciences, Engineering, and Medicine; the FHWA; or NCHRP sponsors.</t>
  </si>
  <si>
    <t>NCHRP Project 17-84</t>
  </si>
  <si>
    <t>© 2022 National Academy of Sciences</t>
  </si>
  <si>
    <t>ACKNOWLEDGMENT OF SPONSORSHIP</t>
  </si>
  <si>
    <t xml:space="preserve">The National Cooperative Highway Research Program (NCHRP) produces ready-to-implement solutions to the challenges facing transportation professionals.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t>
  </si>
  <si>
    <t>COPYRIGHT</t>
  </si>
  <si>
    <t xml:space="preserve">This material and the copyrights herein are owned by the National Academies of Sciences, Engineering, and Medicine.  </t>
  </si>
  <si>
    <t>Permission to reproduce any copyrighted material included herein was obtained by the contractor.</t>
  </si>
  <si>
    <t>DISCLAIMER</t>
  </si>
  <si>
    <t>This is unedited material as submitted by the contractor for NCHRP Project 17-84, "Pedestrian and Bicycle Safety Performance Functions for the Highway Safety Manual." The opinions and conclusions expressed or implied in the material are those of the research agency. They are not necessarily those of TRB; the National Academies of Sciences, Engineering, and Medicine; FHWA; or the program sponsors.</t>
  </si>
  <si>
    <t>No warranty is made by the developers or their employer as to the accuracy, completeness, or reliability of this software and its associated equations and documentation. No responsibility is assumed by the developers for incorrect results or damages resulting from the use of this software. This software is offered as is, without warranty or promise of support of any kind either expressed or implied. Under no circumstance will the National Academy of Sciences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t>
  </si>
  <si>
    <t>INSTRUCTIONS</t>
  </si>
  <si>
    <t>Please read "Instructions" tab for additional information.</t>
  </si>
  <si>
    <t xml:space="preserve">User-provided data are entered into the green cells on each worksheet. Key outputs of the methodology are in yellow cells. All interim computation steps are shown as non-highlighted cells. Several equations, lookup tables, and diagrams are provided for reference to explain the meaning of certain variables. </t>
  </si>
  <si>
    <t xml:space="preserve">The worksheets are password protected, with only the required user inputs being editable. The password for unlocking the engine may be requested from NCHRP or the project principal investigators. All green cells need to have data entered in order for the computations to work properly. </t>
  </si>
  <si>
    <r>
      <t xml:space="preserve">This spreadsheet tool is supplemental to </t>
    </r>
    <r>
      <rPr>
        <b/>
        <i/>
        <sz val="10"/>
        <rFont val="Arial"/>
        <family val="2"/>
      </rPr>
      <t>NCHRP Research Report 1064: Pedestrian and Bicycle Safety Performance Functions: An Update</t>
    </r>
    <r>
      <rPr>
        <b/>
        <sz val="10"/>
        <rFont val="Arial"/>
        <family val="2"/>
      </rPr>
      <t xml:space="preserve"> (NCHRP Project 17-84, "Pedestrian and Bicycle Safety Performance Functions for the Highway Safety Manual). The full report can be found on the National Academies Press website (nap.nationalacademies.org) by searching for</t>
    </r>
    <r>
      <rPr>
        <b/>
        <i/>
        <sz val="10"/>
        <rFont val="Arial"/>
        <family val="2"/>
      </rPr>
      <t xml:space="preserve"> NCHRP Research Report 1064</t>
    </r>
    <r>
      <rPr>
        <b/>
        <sz val="10"/>
        <rFont val="Arial"/>
        <family val="2"/>
      </rPr>
      <t>.</t>
    </r>
  </si>
  <si>
    <r>
      <t xml:space="preserve">Pedestrian and Bicycle Safety Performance Functions for the </t>
    </r>
    <r>
      <rPr>
        <i/>
        <sz val="22"/>
        <rFont val="Arial"/>
        <family val="2"/>
      </rPr>
      <t>Highway Safety Manual</t>
    </r>
    <r>
      <rPr>
        <sz val="22"/>
        <rFont val="Arial"/>
        <family val="2"/>
      </rPr>
      <t xml:space="preserve"> - Rural Two-Lane Roads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</si>
</sst>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mm/dd/yy;@"/>
    <numFmt numFmtId="166" formatCode="0.0"/>
    <numFmt numFmtId="167" formatCode="#,##0.000"/>
    <numFmt numFmtId="168" formatCode="_(* #,##0_);_(* \(#,##0\);_(* &quot;-&quot;??_);_(@_)"/>
    <numFmt numFmtId="169" formatCode="0.0000000E+00"/>
  </numFmts>
  <fonts count="48"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u/>
      <sz val="10"/>
      <name val="Arial"/>
      <family val="2"/>
    </font>
    <font>
      <u/>
      <sz val="10"/>
      <name val="Arial"/>
      <family val="2"/>
    </font>
    <font>
      <b/>
      <sz val="10"/>
      <color rgb="FF002060"/>
      <name val="Arial"/>
      <family val="2"/>
    </font>
    <font>
      <b/>
      <u/>
      <sz val="10"/>
      <color rgb="FF002060"/>
      <name val="Arial"/>
      <family val="2"/>
    </font>
    <font>
      <u/>
      <sz val="10"/>
      <color theme="10"/>
      <name val="Arial"/>
      <family val="2"/>
    </font>
    <font>
      <sz val="11"/>
      <color rgb="FF3F3F76"/>
      <name val="Calibri"/>
      <family val="2"/>
      <scheme val="minor"/>
    </font>
    <font>
      <b/>
      <sz val="20"/>
      <color rgb="FF000000"/>
      <name val="Calibri"/>
      <family val="2"/>
      <charset val="1"/>
    </font>
    <font>
      <sz val="11"/>
      <color rgb="FF000000"/>
      <name val="Calibri"/>
      <family val="2"/>
      <charset val="1"/>
    </font>
    <font>
      <b/>
      <sz val="11"/>
      <color rgb="FF000000"/>
      <name val="Calibri"/>
      <family val="2"/>
      <charset val="1"/>
    </font>
    <font>
      <b/>
      <sz val="14"/>
      <color rgb="FF000000"/>
      <name val="Calibri"/>
      <family val="2"/>
    </font>
    <font>
      <b/>
      <vertAlign val="subscript"/>
      <sz val="11"/>
      <color rgb="FF000000"/>
      <name val="Calibri"/>
      <family val="2"/>
      <charset val="1"/>
    </font>
    <font>
      <vertAlign val="subscript"/>
      <sz val="11"/>
      <color rgb="FF000000"/>
      <name val="Calibri"/>
      <family val="2"/>
      <charset val="1"/>
    </font>
    <font>
      <vertAlign val="subscript"/>
      <sz val="11"/>
      <color rgb="FF000000"/>
      <name val="Calibri"/>
      <family val="2"/>
    </font>
    <font>
      <sz val="11"/>
      <color rgb="FF000000"/>
      <name val="Calibri"/>
      <family val="2"/>
    </font>
    <font>
      <vertAlign val="subscript"/>
      <sz val="11"/>
      <color theme="1"/>
      <name val="Calibri"/>
      <family val="2"/>
      <scheme val="minor"/>
    </font>
    <font>
      <sz val="11"/>
      <color theme="1"/>
      <name val="Calibri"/>
      <family val="2"/>
    </font>
    <font>
      <vertAlign val="subscript"/>
      <sz val="11"/>
      <color theme="1"/>
      <name val="Calibri"/>
      <family val="2"/>
    </font>
    <font>
      <b/>
      <sz val="11"/>
      <color rgb="FF000000"/>
      <name val="Calibri"/>
      <family val="2"/>
    </font>
    <font>
      <b/>
      <sz val="16"/>
      <color rgb="FF000000"/>
      <name val="Calibri"/>
      <family val="2"/>
      <charset val="1"/>
    </font>
    <font>
      <sz val="16"/>
      <color rgb="FF000000"/>
      <name val="Calibri"/>
      <family val="2"/>
      <charset val="1"/>
    </font>
    <font>
      <b/>
      <sz val="14"/>
      <color rgb="FF000000"/>
      <name val="Calibri"/>
      <family val="2"/>
      <charset val="1"/>
    </font>
    <font>
      <sz val="10"/>
      <color rgb="FFFF0000"/>
      <name val="Arial"/>
      <family val="2"/>
    </font>
    <font>
      <b/>
      <sz val="10"/>
      <color rgb="FFFF0000"/>
      <name val="Arial"/>
      <family val="2"/>
    </font>
    <font>
      <u/>
      <sz val="10"/>
      <color rgb="FFFF0000"/>
      <name val="Arial"/>
      <family val="2"/>
    </font>
    <font>
      <b/>
      <sz val="12"/>
      <color rgb="FFFF0000"/>
      <name val="Arial"/>
      <family val="2"/>
    </font>
    <font>
      <b/>
      <sz val="20"/>
      <color rgb="FFFF0000"/>
      <name val="Arial"/>
      <family val="2"/>
    </font>
    <font>
      <b/>
      <sz val="14"/>
      <color rgb="FFFF0000"/>
      <name val="Arial"/>
      <family val="2"/>
    </font>
    <font>
      <sz val="16"/>
      <color rgb="FFFF0000"/>
      <name val="Arial"/>
      <family val="2"/>
    </font>
    <font>
      <sz val="16"/>
      <color rgb="FFFF0000"/>
      <name val="Calibri"/>
      <family val="2"/>
      <charset val="1"/>
    </font>
    <font>
      <b/>
      <u/>
      <sz val="14"/>
      <name val="Arial"/>
      <family val="2"/>
    </font>
    <font>
      <sz val="22"/>
      <name val="Arial"/>
      <family val="2"/>
    </font>
    <font>
      <b/>
      <i/>
      <sz val="10"/>
      <name val="Arial"/>
      <family val="2"/>
    </font>
    <font>
      <i/>
      <sz val="22"/>
      <name val="Arial"/>
      <family val="2"/>
    </font>
  </fonts>
  <fills count="17">
    <fill>
      <patternFill patternType="none"/>
    </fill>
    <fill>
      <patternFill patternType="gray125"/>
    </fill>
    <fill>
      <patternFill patternType="solid">
        <fgColor rgb="FF56B4E9"/>
        <bgColor indexed="64"/>
      </patternFill>
    </fill>
    <fill>
      <patternFill patternType="solid">
        <fgColor rgb="FFF0E442"/>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CC99"/>
      </patternFill>
    </fill>
    <fill>
      <patternFill patternType="solid">
        <fgColor rgb="FFFFFF00"/>
        <bgColor rgb="FFFFFF00"/>
      </patternFill>
    </fill>
    <fill>
      <patternFill patternType="solid">
        <fgColor rgb="FFFFFFFF"/>
        <bgColor rgb="FFFFFFCC"/>
      </patternFill>
    </fill>
    <fill>
      <patternFill patternType="solid">
        <fgColor rgb="FFF0E442"/>
        <bgColor rgb="FFFF9900"/>
      </patternFill>
    </fill>
    <fill>
      <patternFill patternType="solid">
        <fgColor rgb="FF56B4E9"/>
        <bgColor rgb="FFFF9900"/>
      </patternFill>
    </fill>
    <fill>
      <patternFill patternType="solid">
        <fgColor rgb="FF00B050"/>
        <bgColor rgb="FF33CCCC"/>
      </patternFill>
    </fill>
    <fill>
      <patternFill patternType="solid">
        <fgColor rgb="FF00B050"/>
        <bgColor rgb="FFFFFF00"/>
      </patternFill>
    </fill>
    <fill>
      <patternFill patternType="solid">
        <fgColor rgb="FF00B050"/>
        <bgColor rgb="FFFF9900"/>
      </patternFill>
    </fill>
  </fills>
  <borders count="7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ck">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5">
    <xf numFmtId="0" fontId="0" fillId="0" borderId="0"/>
    <xf numFmtId="0" fontId="19" fillId="0" borderId="0" applyNumberFormat="0" applyFill="0" applyBorder="0" applyAlignment="0" applyProtection="0"/>
    <xf numFmtId="0" fontId="20" fillId="9" borderId="64" applyNumberFormat="0" applyAlignment="0" applyProtection="0"/>
    <xf numFmtId="0" fontId="22" fillId="0" borderId="0"/>
    <xf numFmtId="43" fontId="22" fillId="0" borderId="0" applyFont="0" applyFill="0" applyBorder="0" applyAlignment="0" applyProtection="0"/>
  </cellStyleXfs>
  <cellXfs count="898">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3" fillId="0" borderId="3" xfId="0" applyFont="1" applyBorder="1" applyAlignment="1">
      <alignment horizontal="center" vertical="top" wrapText="1"/>
    </xf>
    <xf numFmtId="0" fontId="0" fillId="0" borderId="3" xfId="0" quotePrefix="1" applyBorder="1" applyAlignment="1">
      <alignment horizontal="center" vertical="center" wrapText="1"/>
    </xf>
    <xf numFmtId="0" fontId="0" fillId="0" borderId="3" xfId="0" applyBorder="1" applyAlignment="1">
      <alignment horizontal="center" wrapText="1"/>
    </xf>
    <xf numFmtId="164" fontId="0" fillId="0" borderId="3" xfId="0" applyNumberFormat="1" applyBorder="1" applyAlignment="1">
      <alignment horizontal="center"/>
    </xf>
    <xf numFmtId="166" fontId="0" fillId="0" borderId="0" xfId="0" applyNumberFormat="1" applyAlignment="1">
      <alignment horizontal="center"/>
    </xf>
    <xf numFmtId="0" fontId="3" fillId="0" borderId="0" xfId="0" applyFont="1" applyAlignment="1">
      <alignment horizontal="center"/>
    </xf>
    <xf numFmtId="0" fontId="0" fillId="0" borderId="4" xfId="0" quotePrefix="1" applyBorder="1" applyAlignment="1">
      <alignment horizontal="center"/>
    </xf>
    <xf numFmtId="0" fontId="0" fillId="0" borderId="2" xfId="0" applyBorder="1" applyAlignment="1">
      <alignment horizontal="center"/>
    </xf>
    <xf numFmtId="0" fontId="6" fillId="0" borderId="0" xfId="0" applyFont="1"/>
    <xf numFmtId="49" fontId="6" fillId="0" borderId="0" xfId="0" applyNumberFormat="1" applyFont="1"/>
    <xf numFmtId="49" fontId="0" fillId="0" borderId="0" xfId="0" applyNumberFormat="1"/>
    <xf numFmtId="0" fontId="3" fillId="0" borderId="0" xfId="0" applyFont="1"/>
    <xf numFmtId="49" fontId="3" fillId="0" borderId="0" xfId="0" applyNumberFormat="1" applyFont="1"/>
    <xf numFmtId="0" fontId="3" fillId="0" borderId="3" xfId="0" applyFont="1" applyBorder="1" applyAlignment="1">
      <alignment horizontal="center"/>
    </xf>
    <xf numFmtId="49" fontId="0" fillId="0" borderId="5" xfId="0" applyNumberFormat="1" applyBorder="1"/>
    <xf numFmtId="0" fontId="0" fillId="0" borderId="5" xfId="0" applyBorder="1"/>
    <xf numFmtId="0" fontId="3" fillId="0" borderId="6" xfId="0" applyFont="1" applyBorder="1"/>
    <xf numFmtId="0" fontId="0" fillId="0" borderId="6" xfId="0" applyBorder="1"/>
    <xf numFmtId="0" fontId="0" fillId="0" borderId="7" xfId="0" applyBorder="1"/>
    <xf numFmtId="0" fontId="0" fillId="0" borderId="8" xfId="0" applyBorder="1" applyAlignment="1">
      <alignment horizontal="center"/>
    </xf>
    <xf numFmtId="166" fontId="0" fillId="0" borderId="9" xfId="0" applyNumberFormat="1" applyBorder="1" applyAlignment="1">
      <alignment horizontal="center"/>
    </xf>
    <xf numFmtId="166" fontId="0" fillId="0" borderId="5" xfId="0" applyNumberFormat="1" applyBorder="1" applyAlignment="1">
      <alignment horizontal="center"/>
    </xf>
    <xf numFmtId="0" fontId="6" fillId="0" borderId="0" xfId="0" applyFont="1" applyAlignment="1">
      <alignment horizontal="center"/>
    </xf>
    <xf numFmtId="166" fontId="0" fillId="0" borderId="6" xfId="0" applyNumberFormat="1" applyBorder="1" applyAlignment="1">
      <alignment horizontal="center"/>
    </xf>
    <xf numFmtId="166" fontId="0" fillId="0" borderId="10" xfId="0" applyNumberFormat="1" applyBorder="1" applyAlignment="1">
      <alignment horizontal="center"/>
    </xf>
    <xf numFmtId="166" fontId="6" fillId="0" borderId="10" xfId="0" applyNumberFormat="1" applyFont="1" applyBorder="1" applyAlignment="1">
      <alignment horizontal="center"/>
    </xf>
    <xf numFmtId="166" fontId="0" fillId="0" borderId="11" xfId="0" applyNumberFormat="1" applyBorder="1" applyAlignment="1">
      <alignment horizontal="center"/>
    </xf>
    <xf numFmtId="166" fontId="0" fillId="0" borderId="12" xfId="0" applyNumberFormat="1" applyBorder="1" applyAlignment="1">
      <alignment horizontal="center"/>
    </xf>
    <xf numFmtId="166" fontId="0" fillId="0" borderId="13" xfId="0" applyNumberFormat="1" applyBorder="1" applyAlignment="1">
      <alignment horizontal="center"/>
    </xf>
    <xf numFmtId="0" fontId="3" fillId="0" borderId="14" xfId="0" applyFon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 xfId="0" applyNumberFormat="1" applyBorder="1" applyAlignment="1">
      <alignment horizontal="center"/>
    </xf>
    <xf numFmtId="2" fontId="0" fillId="0" borderId="9" xfId="0" applyNumberFormat="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0" xfId="0" applyAlignment="1">
      <alignment vertical="center" wrapText="1"/>
    </xf>
    <xf numFmtId="0" fontId="0" fillId="0" borderId="0" xfId="0" applyAlignment="1">
      <alignment vertical="center"/>
    </xf>
    <xf numFmtId="166" fontId="0" fillId="0" borderId="8" xfId="0" applyNumberFormat="1" applyBorder="1" applyAlignment="1">
      <alignment horizontal="center"/>
    </xf>
    <xf numFmtId="166" fontId="0" fillId="0" borderId="16" xfId="0" applyNumberFormat="1" applyBorder="1" applyAlignment="1">
      <alignment horizontal="center"/>
    </xf>
    <xf numFmtId="0" fontId="0" fillId="0" borderId="17" xfId="0" applyBorder="1"/>
    <xf numFmtId="0" fontId="6" fillId="0" borderId="18" xfId="0" applyFont="1" applyBorder="1" applyAlignment="1">
      <alignment horizontal="center"/>
    </xf>
    <xf numFmtId="0" fontId="1" fillId="0" borderId="0" xfId="0" applyFont="1"/>
    <xf numFmtId="0" fontId="1" fillId="0" borderId="19" xfId="0" applyFont="1" applyBorder="1"/>
    <xf numFmtId="0" fontId="0" fillId="0" borderId="14" xfId="0" applyBorder="1"/>
    <xf numFmtId="0" fontId="1" fillId="0" borderId="18" xfId="0" applyFont="1" applyBorder="1"/>
    <xf numFmtId="0" fontId="1" fillId="0" borderId="0" xfId="0" applyFont="1" applyAlignment="1">
      <alignment horizontal="center"/>
    </xf>
    <xf numFmtId="0" fontId="1" fillId="0" borderId="3" xfId="0" applyFont="1" applyBorder="1" applyAlignment="1">
      <alignment horizontal="center" vertical="center" wrapText="1"/>
    </xf>
    <xf numFmtId="0" fontId="0" fillId="0" borderId="15" xfId="0" applyBorder="1"/>
    <xf numFmtId="2" fontId="0" fillId="0" borderId="0" xfId="0" applyNumberFormat="1" applyAlignment="1">
      <alignment horizontal="center"/>
    </xf>
    <xf numFmtId="0" fontId="0" fillId="0" borderId="20" xfId="0" quotePrefix="1" applyBorder="1" applyAlignment="1">
      <alignment horizontal="center"/>
    </xf>
    <xf numFmtId="0" fontId="0" fillId="0" borderId="20" xfId="0" applyBorder="1"/>
    <xf numFmtId="2" fontId="0" fillId="0" borderId="0" xfId="0" applyNumberFormat="1"/>
    <xf numFmtId="0" fontId="0" fillId="0" borderId="0" xfId="0" quotePrefix="1" applyAlignment="1">
      <alignment horizontal="center"/>
    </xf>
    <xf numFmtId="0" fontId="4"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vertical="top"/>
    </xf>
    <xf numFmtId="0" fontId="0" fillId="0" borderId="0" xfId="0" quotePrefix="1" applyAlignment="1">
      <alignment horizontal="center" vertical="top"/>
    </xf>
    <xf numFmtId="0" fontId="0" fillId="0" borderId="3" xfId="0" applyBorder="1" applyAlignment="1">
      <alignment horizontal="center" vertical="top"/>
    </xf>
    <xf numFmtId="0" fontId="1" fillId="0" borderId="3" xfId="0" quotePrefix="1" applyFont="1" applyBorder="1" applyAlignment="1">
      <alignment horizontal="center" vertical="top"/>
    </xf>
    <xf numFmtId="0" fontId="1" fillId="0" borderId="1" xfId="0" quotePrefix="1" applyFont="1" applyBorder="1" applyAlignment="1">
      <alignment horizontal="center" vertical="top"/>
    </xf>
    <xf numFmtId="0" fontId="1" fillId="0" borderId="21" xfId="0" quotePrefix="1" applyFont="1" applyBorder="1" applyAlignment="1">
      <alignment horizontal="center"/>
    </xf>
    <xf numFmtId="0" fontId="0" fillId="0" borderId="21" xfId="0" quotePrefix="1" applyBorder="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0" fillId="0" borderId="0" xfId="0" applyAlignment="1">
      <alignment horizontal="left"/>
    </xf>
    <xf numFmtId="0" fontId="1" fillId="0" borderId="17" xfId="0" applyFont="1" applyBorder="1"/>
    <xf numFmtId="0" fontId="2" fillId="0" borderId="0" xfId="0" applyFont="1" applyAlignment="1">
      <alignment vertical="center"/>
    </xf>
    <xf numFmtId="0" fontId="5" fillId="0" borderId="0" xfId="0" applyFont="1" applyAlignment="1">
      <alignment vertical="center"/>
    </xf>
    <xf numFmtId="2" fontId="0" fillId="0" borderId="15" xfId="0" applyNumberFormat="1" applyBorder="1" applyAlignment="1">
      <alignment horizontal="center"/>
    </xf>
    <xf numFmtId="0" fontId="3" fillId="0" borderId="0" xfId="0" applyFont="1" applyAlignment="1">
      <alignment horizontal="left"/>
    </xf>
    <xf numFmtId="0" fontId="3" fillId="0" borderId="3" xfId="0" applyFont="1" applyBorder="1"/>
    <xf numFmtId="0" fontId="3" fillId="0" borderId="3" xfId="0" applyFont="1" applyBorder="1" applyAlignment="1">
      <alignment horizontal="left"/>
    </xf>
    <xf numFmtId="164" fontId="0" fillId="0" borderId="3" xfId="0" applyNumberFormat="1" applyBorder="1" applyAlignment="1">
      <alignment horizontal="center" vertical="top"/>
    </xf>
    <xf numFmtId="164" fontId="0" fillId="0" borderId="1" xfId="0" applyNumberFormat="1" applyBorder="1" applyAlignment="1">
      <alignment horizontal="center" vertical="top"/>
    </xf>
    <xf numFmtId="2" fontId="0" fillId="0" borderId="3" xfId="0" applyNumberFormat="1" applyBorder="1" applyAlignment="1">
      <alignment horizontal="center" vertical="top"/>
    </xf>
    <xf numFmtId="2" fontId="0" fillId="0" borderId="1" xfId="0" applyNumberFormat="1" applyBorder="1" applyAlignment="1">
      <alignment horizontal="center" vertical="top"/>
    </xf>
    <xf numFmtId="164" fontId="0" fillId="0" borderId="1" xfId="0" applyNumberFormat="1" applyBorder="1" applyAlignment="1">
      <alignment horizontal="center"/>
    </xf>
    <xf numFmtId="164" fontId="0" fillId="0" borderId="15" xfId="0" applyNumberFormat="1" applyBorder="1" applyAlignment="1">
      <alignment horizont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xf numFmtId="0" fontId="15" fillId="0" borderId="0" xfId="0" applyFont="1"/>
    <xf numFmtId="0" fontId="3" fillId="0" borderId="22" xfId="0" applyFont="1" applyBorder="1"/>
    <xf numFmtId="164" fontId="0" fillId="0" borderId="13" xfId="0" applyNumberFormat="1" applyBorder="1" applyAlignment="1">
      <alignment horizontal="center"/>
    </xf>
    <xf numFmtId="49" fontId="1" fillId="0" borderId="0" xfId="0" applyNumberFormat="1" applyFont="1" applyAlignment="1">
      <alignment horizontal="center"/>
    </xf>
    <xf numFmtId="164" fontId="1" fillId="0" borderId="0" xfId="0" applyNumberFormat="1" applyFont="1" applyAlignment="1">
      <alignment horizontal="center"/>
    </xf>
    <xf numFmtId="2" fontId="2" fillId="0" borderId="0" xfId="0" applyNumberFormat="1" applyFont="1" applyAlignment="1">
      <alignment horizontal="left"/>
    </xf>
    <xf numFmtId="49" fontId="3" fillId="0" borderId="0" xfId="0" applyNumberFormat="1" applyFont="1" applyAlignment="1">
      <alignment horizontal="center"/>
    </xf>
    <xf numFmtId="166" fontId="1" fillId="0" borderId="0" xfId="0" applyNumberFormat="1" applyFont="1" applyAlignment="1">
      <alignment horizontal="center"/>
    </xf>
    <xf numFmtId="0" fontId="3" fillId="0" borderId="0" xfId="0" applyFont="1" applyAlignment="1">
      <alignment horizontal="center" vertical="center"/>
    </xf>
    <xf numFmtId="0" fontId="1" fillId="0" borderId="3" xfId="0" quotePrefix="1" applyFont="1" applyBorder="1" applyAlignment="1">
      <alignment horizontal="center"/>
    </xf>
    <xf numFmtId="49" fontId="1" fillId="0" borderId="0" xfId="0" applyNumberFormat="1" applyFont="1"/>
    <xf numFmtId="0" fontId="0" fillId="0" borderId="0" xfId="0" applyAlignment="1">
      <alignment vertical="top"/>
    </xf>
    <xf numFmtId="0" fontId="1" fillId="0" borderId="23" xfId="0" quotePrefix="1" applyFont="1" applyBorder="1" applyAlignment="1">
      <alignment horizontal="center"/>
    </xf>
    <xf numFmtId="0" fontId="1" fillId="0" borderId="0" xfId="0" applyFont="1" applyAlignment="1">
      <alignment horizontal="center" vertical="top"/>
    </xf>
    <xf numFmtId="1" fontId="1" fillId="0" borderId="0" xfId="0" applyNumberFormat="1" applyFont="1" applyAlignment="1">
      <alignment horizontal="center" vertical="center"/>
    </xf>
    <xf numFmtId="0" fontId="1" fillId="0" borderId="0" xfId="0" applyFont="1" applyAlignment="1">
      <alignment horizontal="left"/>
    </xf>
    <xf numFmtId="1" fontId="0" fillId="0" borderId="0" xfId="0" applyNumberFormat="1" applyAlignment="1">
      <alignment horizontal="center" vertical="center"/>
    </xf>
    <xf numFmtId="2" fontId="1" fillId="0" borderId="0" xfId="0" applyNumberFormat="1" applyFont="1" applyAlignment="1">
      <alignment horizontal="center"/>
    </xf>
    <xf numFmtId="2" fontId="0" fillId="0" borderId="0" xfId="0" applyNumberFormat="1" applyAlignment="1">
      <alignment horizontal="center" vertical="top"/>
    </xf>
    <xf numFmtId="2" fontId="1" fillId="0" borderId="0" xfId="0" quotePrefix="1" applyNumberFormat="1" applyFont="1" applyAlignment="1">
      <alignment horizontal="center" vertical="top"/>
    </xf>
    <xf numFmtId="167" fontId="0" fillId="0" borderId="3" xfId="0" applyNumberForma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164" fontId="1" fillId="0" borderId="3" xfId="0" quotePrefix="1" applyNumberFormat="1" applyFont="1" applyBorder="1" applyAlignment="1">
      <alignment horizontal="center"/>
    </xf>
    <xf numFmtId="0" fontId="1" fillId="0" borderId="0" xfId="0" applyFont="1" applyAlignment="1">
      <alignment vertical="top"/>
    </xf>
    <xf numFmtId="166" fontId="3" fillId="0" borderId="0" xfId="0" applyNumberFormat="1" applyFont="1" applyAlignment="1">
      <alignment horizontal="center" vertical="top"/>
    </xf>
    <xf numFmtId="2" fontId="1" fillId="0" borderId="0" xfId="0" applyNumberFormat="1" applyFont="1" applyAlignment="1">
      <alignment horizontal="left"/>
    </xf>
    <xf numFmtId="0" fontId="3" fillId="0" borderId="0" xfId="0" applyFont="1" applyAlignment="1">
      <alignment vertical="top"/>
    </xf>
    <xf numFmtId="167" fontId="0" fillId="0" borderId="16" xfId="0" applyNumberFormat="1" applyBorder="1" applyAlignment="1">
      <alignment horizontal="center" vertical="center"/>
    </xf>
    <xf numFmtId="167" fontId="1" fillId="0" borderId="16" xfId="0" quotePrefix="1" applyNumberFormat="1" applyFont="1" applyBorder="1" applyAlignment="1">
      <alignment horizontal="center" vertical="center"/>
    </xf>
    <xf numFmtId="2" fontId="3" fillId="0" borderId="0" xfId="0" applyNumberFormat="1" applyFont="1" applyAlignment="1">
      <alignment horizontal="center" vertical="top"/>
    </xf>
    <xf numFmtId="0" fontId="1" fillId="0" borderId="0" xfId="0" quotePrefix="1" applyFont="1" applyAlignment="1">
      <alignment horizontal="center" vertical="center"/>
    </xf>
    <xf numFmtId="0" fontId="0" fillId="0" borderId="0" xfId="0" quotePrefix="1" applyAlignment="1">
      <alignment horizontal="center" vertical="center"/>
    </xf>
    <xf numFmtId="2" fontId="1" fillId="0" borderId="0" xfId="0" quotePrefix="1" applyNumberFormat="1" applyFont="1" applyAlignment="1">
      <alignment horizontal="center" vertical="center"/>
    </xf>
    <xf numFmtId="0" fontId="1" fillId="0" borderId="14" xfId="0" quotePrefix="1" applyFont="1" applyBorder="1" applyAlignment="1">
      <alignment horizontal="center"/>
    </xf>
    <xf numFmtId="0" fontId="0" fillId="2" borderId="19" xfId="0" applyFill="1" applyBorder="1" applyAlignment="1">
      <alignment horizontal="center"/>
    </xf>
    <xf numFmtId="3" fontId="0" fillId="3" borderId="17" xfId="0" applyNumberFormat="1" applyFill="1" applyBorder="1" applyAlignment="1">
      <alignment horizontal="center"/>
    </xf>
    <xf numFmtId="0" fontId="0" fillId="3" borderId="2" xfId="0" applyFill="1" applyBorder="1"/>
    <xf numFmtId="0" fontId="0" fillId="3" borderId="4" xfId="0" applyFill="1" applyBorder="1"/>
    <xf numFmtId="0" fontId="0" fillId="2" borderId="2" xfId="0" applyFill="1" applyBorder="1"/>
    <xf numFmtId="0" fontId="0" fillId="2" borderId="4" xfId="0" applyFill="1" applyBorder="1"/>
    <xf numFmtId="0" fontId="0" fillId="4" borderId="2" xfId="0" applyFill="1" applyBorder="1"/>
    <xf numFmtId="0" fontId="0" fillId="4" borderId="4" xfId="0" applyFill="1" applyBorder="1"/>
    <xf numFmtId="0" fontId="0" fillId="2" borderId="0" xfId="0" applyFill="1" applyAlignment="1">
      <alignment horizontal="center"/>
    </xf>
    <xf numFmtId="166" fontId="0" fillId="4" borderId="0" xfId="0" applyNumberFormat="1" applyFill="1" applyAlignment="1">
      <alignment horizontal="center"/>
    </xf>
    <xf numFmtId="0" fontId="0" fillId="0" borderId="0" xfId="0" applyAlignment="1">
      <alignment wrapText="1"/>
    </xf>
    <xf numFmtId="166" fontId="0" fillId="4" borderId="10" xfId="0" applyNumberFormat="1" applyFill="1" applyBorder="1" applyAlignment="1">
      <alignment horizontal="center"/>
    </xf>
    <xf numFmtId="166" fontId="0" fillId="4" borderId="7" xfId="0" applyNumberFormat="1" applyFill="1" applyBorder="1" applyAlignment="1">
      <alignment horizontal="center"/>
    </xf>
    <xf numFmtId="166" fontId="0" fillId="4" borderId="8" xfId="0" applyNumberFormat="1" applyFill="1" applyBorder="1" applyAlignment="1">
      <alignment horizontal="center"/>
    </xf>
    <xf numFmtId="166" fontId="0" fillId="4" borderId="25" xfId="0" applyNumberFormat="1" applyFill="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166" fontId="0" fillId="0" borderId="14" xfId="0" applyNumberFormat="1" applyBorder="1" applyAlignment="1">
      <alignment horizontal="center"/>
    </xf>
    <xf numFmtId="166" fontId="0" fillId="0" borderId="17" xfId="0" applyNumberFormat="1" applyBorder="1" applyAlignment="1">
      <alignment horizontal="center"/>
    </xf>
    <xf numFmtId="0" fontId="0" fillId="2" borderId="3" xfId="0" applyFill="1" applyBorder="1" applyAlignment="1">
      <alignment horizontal="center"/>
    </xf>
    <xf numFmtId="164" fontId="0" fillId="0" borderId="4" xfId="0" applyNumberFormat="1" applyBorder="1" applyAlignment="1">
      <alignment horizontal="center"/>
    </xf>
    <xf numFmtId="3" fontId="1" fillId="0" borderId="14" xfId="0" applyNumberFormat="1" applyFont="1" applyBorder="1" applyAlignment="1">
      <alignment horizontal="right"/>
    </xf>
    <xf numFmtId="164" fontId="0" fillId="0" borderId="15" xfId="0" applyNumberFormat="1" applyBorder="1" applyAlignment="1">
      <alignment horizontal="center" vertical="top"/>
    </xf>
    <xf numFmtId="49" fontId="2" fillId="0" borderId="0" xfId="0" applyNumberFormat="1" applyFont="1"/>
    <xf numFmtId="49" fontId="0" fillId="0" borderId="17" xfId="0" applyNumberFormat="1" applyBorder="1"/>
    <xf numFmtId="164" fontId="0" fillId="4" borderId="1" xfId="0" applyNumberFormat="1" applyFill="1" applyBorder="1" applyAlignment="1">
      <alignment horizontal="center"/>
    </xf>
    <xf numFmtId="0" fontId="1" fillId="5" borderId="26" xfId="0" applyFont="1" applyFill="1" applyBorder="1" applyAlignment="1">
      <alignment horizontal="right"/>
    </xf>
    <xf numFmtId="3" fontId="0" fillId="5" borderId="27" xfId="0" applyNumberFormat="1" applyFill="1" applyBorder="1" applyAlignment="1">
      <alignment horizontal="center"/>
    </xf>
    <xf numFmtId="0" fontId="1" fillId="5" borderId="28" xfId="0" applyFont="1" applyFill="1" applyBorder="1" applyAlignment="1">
      <alignment horizontal="left"/>
    </xf>
    <xf numFmtId="3" fontId="0" fillId="0" borderId="0" xfId="0" applyNumberFormat="1"/>
    <xf numFmtId="0" fontId="1" fillId="0" borderId="0" xfId="0" applyFont="1" applyAlignment="1">
      <alignment horizontal="right"/>
    </xf>
    <xf numFmtId="0" fontId="0" fillId="2" borderId="17" xfId="0" applyFill="1" applyBorder="1" applyAlignment="1">
      <alignment horizontal="center"/>
    </xf>
    <xf numFmtId="0" fontId="0" fillId="2" borderId="14" xfId="0" applyFill="1" applyBorder="1" applyAlignment="1">
      <alignment horizontal="center"/>
    </xf>
    <xf numFmtId="0" fontId="16" fillId="0" borderId="0" xfId="0" applyFont="1"/>
    <xf numFmtId="0" fontId="17" fillId="0" borderId="0" xfId="0" applyFont="1"/>
    <xf numFmtId="0" fontId="18" fillId="0" borderId="0" xfId="0" applyFont="1"/>
    <xf numFmtId="0" fontId="1" fillId="0" borderId="2" xfId="0" quotePrefix="1" applyFont="1" applyBorder="1" applyAlignment="1">
      <alignment horizontal="center"/>
    </xf>
    <xf numFmtId="0" fontId="1" fillId="0" borderId="7" xfId="0" quotePrefix="1" applyFont="1" applyBorder="1" applyAlignment="1">
      <alignment horizontal="center"/>
    </xf>
    <xf numFmtId="164" fontId="0" fillId="0" borderId="12" xfId="0" applyNumberFormat="1" applyBorder="1" applyAlignment="1">
      <alignment horizontal="center" vertical="center"/>
    </xf>
    <xf numFmtId="1" fontId="0" fillId="3" borderId="12" xfId="0" applyNumberFormat="1" applyFill="1" applyBorder="1" applyAlignment="1">
      <alignment horizontal="center" vertical="center"/>
    </xf>
    <xf numFmtId="0" fontId="1" fillId="0" borderId="12" xfId="0" quotePrefix="1" applyFont="1" applyBorder="1" applyAlignment="1">
      <alignment horizontal="center" vertical="center"/>
    </xf>
    <xf numFmtId="164" fontId="0" fillId="0" borderId="12" xfId="0" applyNumberFormat="1" applyBorder="1" applyAlignment="1">
      <alignment horizontal="center"/>
    </xf>
    <xf numFmtId="164" fontId="0" fillId="0" borderId="30" xfId="0" applyNumberFormat="1" applyBorder="1" applyAlignment="1">
      <alignment horizontal="center"/>
    </xf>
    <xf numFmtId="0" fontId="1" fillId="0" borderId="30" xfId="0" quotePrefix="1" applyFont="1" applyBorder="1" applyAlignment="1">
      <alignment horizontal="center"/>
    </xf>
    <xf numFmtId="0" fontId="0" fillId="0" borderId="30" xfId="0" applyBorder="1"/>
    <xf numFmtId="0" fontId="1" fillId="0" borderId="31" xfId="0" quotePrefix="1" applyFont="1" applyBorder="1" applyAlignment="1">
      <alignment horizontal="center"/>
    </xf>
    <xf numFmtId="167" fontId="0" fillId="0" borderId="30" xfId="0" applyNumberFormat="1" applyBorder="1" applyAlignment="1">
      <alignment horizontal="center"/>
    </xf>
    <xf numFmtId="164" fontId="0" fillId="0" borderId="32" xfId="0" applyNumberFormat="1" applyBorder="1" applyAlignment="1">
      <alignment horizontal="center"/>
    </xf>
    <xf numFmtId="167" fontId="0" fillId="0" borderId="32" xfId="0" applyNumberFormat="1" applyBorder="1" applyAlignment="1">
      <alignment horizontal="center"/>
    </xf>
    <xf numFmtId="0" fontId="0" fillId="0" borderId="30" xfId="0" applyBorder="1" applyAlignment="1">
      <alignment horizontal="center"/>
    </xf>
    <xf numFmtId="164" fontId="0" fillId="0" borderId="34" xfId="0" applyNumberFormat="1" applyBorder="1" applyAlignment="1">
      <alignment horizontal="center"/>
    </xf>
    <xf numFmtId="0" fontId="0" fillId="7" borderId="35" xfId="0" quotePrefix="1" applyFill="1" applyBorder="1" applyAlignment="1">
      <alignment horizontal="center"/>
    </xf>
    <xf numFmtId="0" fontId="0" fillId="7" borderId="23" xfId="0" quotePrefix="1" applyFill="1" applyBorder="1" applyAlignment="1">
      <alignment horizontal="center"/>
    </xf>
    <xf numFmtId="0" fontId="0" fillId="7" borderId="21" xfId="0" quotePrefix="1" applyFill="1" applyBorder="1" applyAlignment="1">
      <alignment horizontal="center"/>
    </xf>
    <xf numFmtId="0" fontId="4" fillId="7" borderId="19" xfId="0" applyFont="1" applyFill="1" applyBorder="1" applyAlignment="1">
      <alignment horizontal="center"/>
    </xf>
    <xf numFmtId="0" fontId="4" fillId="7" borderId="14" xfId="0" applyFont="1" applyFill="1" applyBorder="1" applyAlignment="1">
      <alignment horizontal="center"/>
    </xf>
    <xf numFmtId="0" fontId="4" fillId="7" borderId="3" xfId="0" applyFont="1" applyFill="1" applyBorder="1" applyAlignment="1">
      <alignment horizontal="center"/>
    </xf>
    <xf numFmtId="2" fontId="0" fillId="7" borderId="36" xfId="0" applyNumberFormat="1" applyFill="1" applyBorder="1" applyAlignment="1">
      <alignment horizontal="center"/>
    </xf>
    <xf numFmtId="2" fontId="0" fillId="7" borderId="12" xfId="0" applyNumberFormat="1" applyFill="1" applyBorder="1" applyAlignment="1">
      <alignment horizontal="center"/>
    </xf>
    <xf numFmtId="164" fontId="0" fillId="7" borderId="13" xfId="0" applyNumberFormat="1" applyFill="1" applyBorder="1" applyAlignment="1">
      <alignment horizontal="center"/>
    </xf>
    <xf numFmtId="0" fontId="0" fillId="7" borderId="4" xfId="0" quotePrefix="1" applyFill="1" applyBorder="1" applyAlignment="1">
      <alignment horizontal="center"/>
    </xf>
    <xf numFmtId="0" fontId="3" fillId="7" borderId="3" xfId="0" applyFont="1" applyFill="1" applyBorder="1" applyAlignment="1">
      <alignment horizontal="center" vertical="top" wrapText="1"/>
    </xf>
    <xf numFmtId="0" fontId="1" fillId="7" borderId="3" xfId="0" applyFont="1" applyFill="1" applyBorder="1" applyAlignment="1">
      <alignment horizontal="center" vertical="center" wrapText="1"/>
    </xf>
    <xf numFmtId="164" fontId="0" fillId="7" borderId="3" xfId="0" applyNumberFormat="1" applyFill="1" applyBorder="1" applyAlignment="1">
      <alignment horizontal="center"/>
    </xf>
    <xf numFmtId="0" fontId="0" fillId="7" borderId="3" xfId="0" quotePrefix="1" applyFill="1" applyBorder="1" applyAlignment="1">
      <alignment horizontal="center"/>
    </xf>
    <xf numFmtId="0" fontId="0" fillId="7" borderId="1" xfId="0" quotePrefix="1" applyFill="1" applyBorder="1" applyAlignment="1">
      <alignment horizontal="center"/>
    </xf>
    <xf numFmtId="164" fontId="0" fillId="0" borderId="14" xfId="0" applyNumberFormat="1" applyBorder="1" applyAlignment="1">
      <alignment horizontal="center"/>
    </xf>
    <xf numFmtId="164" fontId="0" fillId="0" borderId="31" xfId="0" applyNumberFormat="1" applyBorder="1" applyAlignment="1">
      <alignment horizontal="center"/>
    </xf>
    <xf numFmtId="164" fontId="0" fillId="0" borderId="33" xfId="0" applyNumberFormat="1" applyBorder="1" applyAlignment="1">
      <alignment horizontal="center"/>
    </xf>
    <xf numFmtId="164" fontId="0" fillId="0" borderId="16" xfId="0" applyNumberFormat="1" applyBorder="1" applyAlignment="1">
      <alignment horizontal="center" vertical="center"/>
    </xf>
    <xf numFmtId="164" fontId="0" fillId="3" borderId="3" xfId="0" applyNumberFormat="1" applyFill="1" applyBorder="1" applyAlignment="1">
      <alignment horizontal="center"/>
    </xf>
    <xf numFmtId="164" fontId="0" fillId="3" borderId="2" xfId="0" applyNumberFormat="1" applyFill="1" applyBorder="1" applyAlignment="1">
      <alignment horizontal="center"/>
    </xf>
    <xf numFmtId="164" fontId="0" fillId="6" borderId="32" xfId="0" applyNumberFormat="1" applyFill="1" applyBorder="1" applyAlignment="1">
      <alignment horizontal="center"/>
    </xf>
    <xf numFmtId="164" fontId="0" fillId="3" borderId="3" xfId="0" quotePrefix="1" applyNumberFormat="1" applyFill="1" applyBorder="1" applyAlignment="1">
      <alignment horizontal="center"/>
    </xf>
    <xf numFmtId="164" fontId="0" fillId="6" borderId="30" xfId="0" quotePrefix="1" applyNumberFormat="1" applyFill="1" applyBorder="1" applyAlignment="1">
      <alignment horizontal="center"/>
    </xf>
    <xf numFmtId="0" fontId="1" fillId="0" borderId="32" xfId="0" quotePrefix="1" applyFont="1" applyBorder="1" applyAlignment="1">
      <alignment horizontal="center"/>
    </xf>
    <xf numFmtId="164" fontId="0" fillId="0" borderId="32" xfId="0" applyNumberFormat="1" applyBorder="1"/>
    <xf numFmtId="2" fontId="0" fillId="0" borderId="32" xfId="0" applyNumberFormat="1" applyBorder="1" applyAlignment="1">
      <alignment horizontal="center"/>
    </xf>
    <xf numFmtId="0" fontId="0" fillId="0" borderId="32" xfId="0" applyBorder="1"/>
    <xf numFmtId="0" fontId="1" fillId="0" borderId="33" xfId="0" quotePrefix="1" applyFont="1" applyBorder="1" applyAlignment="1">
      <alignment horizontal="center"/>
    </xf>
    <xf numFmtId="0" fontId="19" fillId="0" borderId="0" xfId="1"/>
    <xf numFmtId="0" fontId="22" fillId="0" borderId="0" xfId="0" applyFont="1"/>
    <xf numFmtId="0" fontId="22" fillId="0" borderId="0" xfId="3"/>
    <xf numFmtId="0" fontId="22" fillId="0" borderId="3" xfId="3" applyBorder="1"/>
    <xf numFmtId="0" fontId="23" fillId="0" borderId="3" xfId="3" applyFont="1" applyBorder="1"/>
    <xf numFmtId="0" fontId="23" fillId="0" borderId="4" xfId="3" applyFont="1" applyBorder="1"/>
    <xf numFmtId="0" fontId="24" fillId="0" borderId="3" xfId="3" applyFont="1" applyBorder="1"/>
    <xf numFmtId="0" fontId="21" fillId="0" borderId="0" xfId="3" applyFont="1"/>
    <xf numFmtId="0" fontId="23" fillId="10" borderId="3" xfId="3" applyFont="1" applyFill="1" applyBorder="1"/>
    <xf numFmtId="0" fontId="23" fillId="11" borderId="3" xfId="3" applyFont="1" applyFill="1" applyBorder="1"/>
    <xf numFmtId="0" fontId="23" fillId="0" borderId="0" xfId="3" applyFont="1"/>
    <xf numFmtId="164" fontId="23" fillId="10" borderId="3" xfId="3" applyNumberFormat="1" applyFont="1" applyFill="1" applyBorder="1"/>
    <xf numFmtId="169" fontId="23" fillId="0" borderId="0" xfId="3" applyNumberFormat="1" applyFont="1"/>
    <xf numFmtId="0" fontId="28" fillId="0" borderId="0" xfId="3" applyFont="1"/>
    <xf numFmtId="0" fontId="32" fillId="0" borderId="0" xfId="3" applyFont="1"/>
    <xf numFmtId="0" fontId="22" fillId="0" borderId="14" xfId="3" applyBorder="1"/>
    <xf numFmtId="0" fontId="23" fillId="0" borderId="0" xfId="3" applyFont="1" applyAlignment="1">
      <alignment horizontal="center"/>
    </xf>
    <xf numFmtId="0" fontId="33" fillId="0" borderId="0" xfId="3" applyFont="1"/>
    <xf numFmtId="0" fontId="34" fillId="0" borderId="3" xfId="3" applyFont="1" applyBorder="1"/>
    <xf numFmtId="0" fontId="23" fillId="0" borderId="22" xfId="3" applyFont="1" applyBorder="1"/>
    <xf numFmtId="0" fontId="23" fillId="10" borderId="4" xfId="3" applyFont="1" applyFill="1" applyBorder="1"/>
    <xf numFmtId="164" fontId="23" fillId="10" borderId="4" xfId="3" applyNumberFormat="1" applyFont="1" applyFill="1" applyBorder="1"/>
    <xf numFmtId="164" fontId="32" fillId="8" borderId="0" xfId="3" applyNumberFormat="1" applyFont="1" applyFill="1"/>
    <xf numFmtId="0" fontId="22" fillId="0" borderId="2" xfId="3" applyBorder="1"/>
    <xf numFmtId="0" fontId="32" fillId="0" borderId="3" xfId="3" applyFont="1" applyBorder="1" applyAlignment="1">
      <alignment horizontal="center"/>
    </xf>
    <xf numFmtId="0" fontId="22" fillId="0" borderId="0" xfId="3" applyAlignment="1">
      <alignment horizontal="right"/>
    </xf>
    <xf numFmtId="0" fontId="32" fillId="0" borderId="0" xfId="3" applyFont="1" applyAlignment="1">
      <alignment horizontal="center"/>
    </xf>
    <xf numFmtId="0" fontId="35" fillId="0" borderId="0" xfId="3" applyFont="1"/>
    <xf numFmtId="0" fontId="24" fillId="0" borderId="0" xfId="3" applyFont="1"/>
    <xf numFmtId="0" fontId="24" fillId="0" borderId="0" xfId="3" applyFont="1" applyAlignment="1">
      <alignment horizontal="left"/>
    </xf>
    <xf numFmtId="0" fontId="22" fillId="0" borderId="0" xfId="3" applyAlignment="1">
      <alignment wrapText="1"/>
    </xf>
    <xf numFmtId="0" fontId="22" fillId="0" borderId="0" xfId="3" applyAlignment="1">
      <alignment horizontal="center" wrapText="1"/>
    </xf>
    <xf numFmtId="0" fontId="23" fillId="0" borderId="0" xfId="3" applyFont="1" applyAlignment="1">
      <alignment horizontal="center" wrapText="1"/>
    </xf>
    <xf numFmtId="0" fontId="35" fillId="0" borderId="0" xfId="3" applyFont="1" applyAlignment="1">
      <alignment wrapText="1"/>
    </xf>
    <xf numFmtId="0" fontId="22" fillId="10" borderId="0" xfId="3" applyFill="1"/>
    <xf numFmtId="164" fontId="3" fillId="0" borderId="4" xfId="0" quotePrefix="1" applyNumberFormat="1" applyFont="1" applyBorder="1" applyAlignment="1">
      <alignment horizontal="center"/>
    </xf>
    <xf numFmtId="164" fontId="0" fillId="0" borderId="0" xfId="0" applyNumberFormat="1"/>
    <xf numFmtId="0" fontId="0" fillId="8" borderId="8" xfId="0" applyFill="1" applyBorder="1" applyAlignment="1">
      <alignment horizontal="center"/>
    </xf>
    <xf numFmtId="0" fontId="22" fillId="12" borderId="3" xfId="3" applyFill="1" applyBorder="1"/>
    <xf numFmtId="168" fontId="0" fillId="12" borderId="3" xfId="4" applyNumberFormat="1" applyFont="1" applyFill="1" applyBorder="1"/>
    <xf numFmtId="16" fontId="22" fillId="13" borderId="3" xfId="3" applyNumberFormat="1" applyFill="1" applyBorder="1" applyAlignment="1">
      <alignment horizontal="right"/>
    </xf>
    <xf numFmtId="0" fontId="22" fillId="13" borderId="3" xfId="3" applyFill="1" applyBorder="1"/>
    <xf numFmtId="0" fontId="22" fillId="2" borderId="3" xfId="3" applyFill="1" applyBorder="1"/>
    <xf numFmtId="16" fontId="22" fillId="13" borderId="3" xfId="3" applyNumberFormat="1" applyFill="1" applyBorder="1"/>
    <xf numFmtId="0" fontId="22" fillId="3" borderId="3" xfId="3" applyFill="1" applyBorder="1"/>
    <xf numFmtId="0" fontId="32" fillId="0" borderId="3" xfId="3" applyFont="1" applyBorder="1"/>
    <xf numFmtId="0" fontId="22" fillId="13" borderId="19" xfId="3" applyFill="1" applyBorder="1"/>
    <xf numFmtId="0" fontId="22" fillId="12" borderId="19" xfId="3" applyFill="1" applyBorder="1"/>
    <xf numFmtId="0" fontId="22" fillId="14" borderId="3" xfId="3" applyFill="1" applyBorder="1"/>
    <xf numFmtId="2" fontId="28" fillId="15" borderId="3" xfId="3" applyNumberFormat="1" applyFont="1" applyFill="1" applyBorder="1"/>
    <xf numFmtId="0" fontId="22" fillId="7" borderId="3" xfId="3" applyFill="1" applyBorder="1"/>
    <xf numFmtId="0" fontId="23" fillId="7" borderId="3" xfId="3" applyFont="1" applyFill="1" applyBorder="1"/>
    <xf numFmtId="164" fontId="3" fillId="0" borderId="3" xfId="0" applyNumberFormat="1" applyFont="1" applyBorder="1" applyAlignment="1">
      <alignment horizontal="center"/>
    </xf>
    <xf numFmtId="164" fontId="36" fillId="0" borderId="3" xfId="0" applyNumberFormat="1" applyFont="1" applyBorder="1" applyAlignment="1">
      <alignment horizontal="center"/>
    </xf>
    <xf numFmtId="167" fontId="36" fillId="0" borderId="3" xfId="0" applyNumberFormat="1" applyFont="1" applyBorder="1" applyAlignment="1">
      <alignment horizontal="center"/>
    </xf>
    <xf numFmtId="164" fontId="36" fillId="0" borderId="14" xfId="0" applyNumberFormat="1" applyFont="1" applyBorder="1" applyAlignment="1">
      <alignment horizontal="center"/>
    </xf>
    <xf numFmtId="164" fontId="36" fillId="0" borderId="3" xfId="0" quotePrefix="1" applyNumberFormat="1" applyFont="1" applyBorder="1" applyAlignment="1">
      <alignment horizontal="center"/>
    </xf>
    <xf numFmtId="0" fontId="0" fillId="0" borderId="0" xfId="0" applyAlignment="1">
      <alignment horizontal="left" vertical="top" wrapText="1"/>
    </xf>
    <xf numFmtId="0" fontId="1" fillId="0" borderId="0" xfId="0" applyFont="1" applyAlignment="1">
      <alignment horizontal="left" vertical="top" wrapText="1"/>
    </xf>
    <xf numFmtId="0" fontId="36" fillId="0" borderId="0" xfId="0" applyFont="1"/>
    <xf numFmtId="166" fontId="0" fillId="0" borderId="0" xfId="0" applyNumberFormat="1"/>
    <xf numFmtId="0" fontId="36" fillId="0" borderId="0" xfId="0" applyFont="1" applyAlignment="1">
      <alignment horizontal="left" vertical="top" wrapText="1"/>
    </xf>
    <xf numFmtId="0" fontId="39" fillId="8" borderId="0" xfId="0" applyFont="1" applyFill="1" applyAlignment="1">
      <alignment horizontal="left"/>
    </xf>
    <xf numFmtId="0" fontId="0" fillId="8" borderId="0" xfId="0" applyFill="1"/>
    <xf numFmtId="0" fontId="3" fillId="8" borderId="0" xfId="0" applyFont="1" applyFill="1" applyAlignment="1">
      <alignment horizontal="center"/>
    </xf>
    <xf numFmtId="0" fontId="23" fillId="15" borderId="3" xfId="3" applyFont="1" applyFill="1" applyBorder="1"/>
    <xf numFmtId="0" fontId="22" fillId="14" borderId="2" xfId="3" applyFill="1" applyBorder="1"/>
    <xf numFmtId="0" fontId="22" fillId="16" borderId="3" xfId="3" applyFill="1" applyBorder="1"/>
    <xf numFmtId="0" fontId="20" fillId="3" borderId="3" xfId="2" applyFill="1" applyBorder="1"/>
    <xf numFmtId="0" fontId="40" fillId="0" borderId="0" xfId="0" applyFont="1"/>
    <xf numFmtId="164" fontId="1" fillId="0" borderId="3" xfId="0" applyNumberFormat="1" applyFont="1" applyBorder="1" applyAlignment="1">
      <alignment horizontal="center"/>
    </xf>
    <xf numFmtId="49" fontId="41" fillId="0" borderId="0" xfId="0" applyNumberFormat="1" applyFont="1"/>
    <xf numFmtId="164" fontId="0" fillId="0" borderId="25" xfId="0" applyNumberFormat="1" applyBorder="1" applyAlignment="1">
      <alignment horizontal="center"/>
    </xf>
    <xf numFmtId="0" fontId="1" fillId="0" borderId="4" xfId="0" quotePrefix="1" applyFont="1" applyBorder="1" applyAlignment="1">
      <alignment horizontal="center"/>
    </xf>
    <xf numFmtId="0" fontId="1" fillId="0" borderId="44" xfId="0" quotePrefix="1" applyFont="1" applyBorder="1" applyAlignment="1">
      <alignment horizontal="center"/>
    </xf>
    <xf numFmtId="0" fontId="43" fillId="0" borderId="0" xfId="3" applyFont="1"/>
    <xf numFmtId="0" fontId="22" fillId="0" borderId="6" xfId="3" applyBorder="1"/>
    <xf numFmtId="164" fontId="0" fillId="0" borderId="3" xfId="0" applyNumberFormat="1" applyBorder="1"/>
    <xf numFmtId="164" fontId="0" fillId="0" borderId="1" xfId="0" applyNumberFormat="1" applyBorder="1"/>
    <xf numFmtId="164" fontId="1" fillId="0" borderId="2" xfId="0" applyNumberFormat="1" applyFont="1" applyBorder="1" applyAlignment="1">
      <alignment horizontal="center"/>
    </xf>
    <xf numFmtId="164" fontId="0" fillId="0" borderId="2" xfId="0" applyNumberFormat="1" applyBorder="1"/>
    <xf numFmtId="164" fontId="0" fillId="0" borderId="16" xfId="0" applyNumberFormat="1" applyBorder="1"/>
    <xf numFmtId="0" fontId="3" fillId="0" borderId="0" xfId="0" quotePrefix="1" applyFont="1" applyAlignment="1">
      <alignment horizontal="center"/>
    </xf>
    <xf numFmtId="0" fontId="3" fillId="0" borderId="0" xfId="0" quotePrefix="1" applyFont="1" applyAlignment="1">
      <alignment horizontal="center" vertical="top"/>
    </xf>
    <xf numFmtId="164" fontId="36" fillId="0" borderId="3" xfId="0" applyNumberFormat="1" applyFont="1" applyBorder="1"/>
    <xf numFmtId="0" fontId="22" fillId="0" borderId="66" xfId="3" applyBorder="1"/>
    <xf numFmtId="0" fontId="22" fillId="0" borderId="20" xfId="3" applyBorder="1"/>
    <xf numFmtId="0" fontId="22" fillId="0" borderId="67" xfId="3" applyBorder="1"/>
    <xf numFmtId="0" fontId="22" fillId="0" borderId="68" xfId="3" applyBorder="1"/>
    <xf numFmtId="0" fontId="22" fillId="0" borderId="69" xfId="3" applyBorder="1"/>
    <xf numFmtId="0" fontId="22" fillId="0" borderId="70" xfId="3" applyBorder="1"/>
    <xf numFmtId="0" fontId="22" fillId="0" borderId="65" xfId="3" applyBorder="1"/>
    <xf numFmtId="0" fontId="22" fillId="0" borderId="71" xfId="3" applyBorder="1"/>
    <xf numFmtId="0" fontId="22" fillId="0" borderId="0" xfId="3" applyAlignment="1">
      <alignment vertical="center"/>
    </xf>
    <xf numFmtId="0" fontId="22" fillId="0" borderId="0" xfId="3" applyAlignment="1">
      <alignment vertical="center" wrapText="1"/>
    </xf>
    <xf numFmtId="0" fontId="3" fillId="0" borderId="0" xfId="3" applyFont="1"/>
    <xf numFmtId="0" fontId="22" fillId="0" borderId="0" xfId="3" applyAlignment="1">
      <alignment vertical="top" wrapText="1"/>
    </xf>
    <xf numFmtId="0" fontId="3" fillId="0" borderId="0" xfId="3" applyFont="1" applyAlignment="1">
      <alignment vertical="center"/>
    </xf>
    <xf numFmtId="0" fontId="22" fillId="0" borderId="0" xfId="3" quotePrefix="1"/>
    <xf numFmtId="14" fontId="22" fillId="0" borderId="0" xfId="3" quotePrefix="1" applyNumberFormat="1" applyAlignment="1">
      <alignment vertical="center"/>
    </xf>
    <xf numFmtId="0" fontId="22" fillId="0" borderId="0" xfId="3" applyAlignment="1">
      <alignment vertical="center" wrapText="1"/>
    </xf>
    <xf numFmtId="0" fontId="22" fillId="0" borderId="0" xfId="3"/>
    <xf numFmtId="0" fontId="44" fillId="0" borderId="0" xfId="3" applyFont="1" applyAlignment="1">
      <alignment horizontal="center"/>
    </xf>
    <xf numFmtId="0" fontId="45" fillId="0" borderId="68" xfId="3" applyFont="1" applyBorder="1" applyAlignment="1">
      <alignment horizontal="center" vertical="center" wrapText="1"/>
    </xf>
    <xf numFmtId="0" fontId="45" fillId="0" borderId="0" xfId="3" applyFont="1" applyAlignment="1">
      <alignment vertical="center" wrapText="1"/>
    </xf>
    <xf numFmtId="0" fontId="45" fillId="0" borderId="69" xfId="3" applyFont="1" applyBorder="1" applyAlignment="1">
      <alignment vertical="center" wrapText="1"/>
    </xf>
    <xf numFmtId="0" fontId="22" fillId="0" borderId="0" xfId="3" applyAlignment="1">
      <alignment horizontal="center" wrapText="1"/>
    </xf>
    <xf numFmtId="0" fontId="3" fillId="0" borderId="0" xfId="3" applyFont="1" applyAlignment="1">
      <alignment vertical="center" wrapText="1"/>
    </xf>
    <xf numFmtId="0" fontId="3" fillId="0" borderId="0" xfId="0" applyFont="1" applyAlignment="1">
      <alignment horizontal="left" vertical="center" wrapText="1"/>
    </xf>
    <xf numFmtId="0" fontId="36"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44" xfId="0" applyBorder="1" applyAlignment="1">
      <alignment horizontal="left" wrapText="1"/>
    </xf>
    <xf numFmtId="0" fontId="0" fillId="0" borderId="22" xfId="0" applyBorder="1" applyAlignment="1">
      <alignment horizontal="left" wrapText="1"/>
    </xf>
    <xf numFmtId="0" fontId="0" fillId="0" borderId="43" xfId="0" applyBorder="1" applyAlignment="1">
      <alignment horizontal="left" wrapText="1"/>
    </xf>
    <xf numFmtId="0" fontId="1" fillId="0" borderId="0" xfId="0" applyFont="1" applyAlignment="1">
      <alignment horizontal="left" wrapText="1"/>
    </xf>
    <xf numFmtId="0" fontId="1" fillId="0" borderId="22" xfId="0" applyFont="1"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0" fillId="0" borderId="38" xfId="0" applyBorder="1" applyAlignment="1">
      <alignment horizontal="left" wrapText="1"/>
    </xf>
    <xf numFmtId="0" fontId="38" fillId="0" borderId="0" xfId="1" applyFont="1" applyBorder="1" applyAlignment="1">
      <alignment horizontal="left" wrapText="1"/>
    </xf>
    <xf numFmtId="0" fontId="36" fillId="0" borderId="0" xfId="0" applyFont="1" applyAlignment="1">
      <alignment horizontal="left" wrapText="1"/>
    </xf>
    <xf numFmtId="17" fontId="36" fillId="0" borderId="8" xfId="0" applyNumberFormat="1" applyFont="1" applyBorder="1" applyAlignment="1">
      <alignment horizontal="left" wrapText="1"/>
    </xf>
    <xf numFmtId="0" fontId="36" fillId="0" borderId="38" xfId="0" applyFont="1"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wrapText="1"/>
    </xf>
    <xf numFmtId="0" fontId="3" fillId="0" borderId="0" xfId="0" applyFont="1" applyAlignment="1">
      <alignment horizontal="center"/>
    </xf>
    <xf numFmtId="0" fontId="1" fillId="0" borderId="0" xfId="0" applyFont="1" applyAlignment="1">
      <alignment horizontal="center"/>
    </xf>
    <xf numFmtId="0" fontId="0" fillId="0" borderId="6" xfId="0" applyBorder="1" applyAlignment="1">
      <alignment horizontal="left" wrapText="1"/>
    </xf>
    <xf numFmtId="0" fontId="0" fillId="0" borderId="29" xfId="0" applyBorder="1" applyAlignment="1">
      <alignment horizontal="left" wrapText="1"/>
    </xf>
    <xf numFmtId="0" fontId="1" fillId="0" borderId="7" xfId="0" applyFont="1" applyBorder="1" applyAlignment="1">
      <alignment horizontal="left" wrapText="1"/>
    </xf>
    <xf numFmtId="0" fontId="42" fillId="0" borderId="0" xfId="0" applyFont="1" applyAlignment="1">
      <alignment horizontal="center" vertical="center"/>
    </xf>
    <xf numFmtId="0" fontId="0" fillId="0" borderId="5" xfId="0" applyBorder="1" applyAlignment="1">
      <alignment horizontal="left"/>
    </xf>
    <xf numFmtId="0" fontId="0" fillId="0" borderId="18" xfId="0" applyBorder="1" applyAlignment="1">
      <alignment horizontal="left"/>
    </xf>
    <xf numFmtId="164" fontId="0" fillId="0" borderId="9" xfId="0" applyNumberFormat="1"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166" fontId="0" fillId="7" borderId="9" xfId="0" applyNumberFormat="1" applyFill="1" applyBorder="1" applyAlignment="1">
      <alignment horizontal="center"/>
    </xf>
    <xf numFmtId="166" fontId="0" fillId="7" borderId="5" xfId="0" applyNumberFormat="1" applyFill="1" applyBorder="1" applyAlignment="1">
      <alignment horizontal="center"/>
    </xf>
    <xf numFmtId="166" fontId="0" fillId="7" borderId="18" xfId="0" applyNumberFormat="1" applyFill="1" applyBorder="1" applyAlignment="1">
      <alignment horizontal="center"/>
    </xf>
    <xf numFmtId="0" fontId="0" fillId="0" borderId="9" xfId="0" applyBorder="1" applyAlignment="1">
      <alignment horizontal="center"/>
    </xf>
    <xf numFmtId="166" fontId="0" fillId="0" borderId="9" xfId="0" applyNumberFormat="1" applyBorder="1" applyAlignment="1">
      <alignment horizontal="center"/>
    </xf>
    <xf numFmtId="166" fontId="0" fillId="0" borderId="5" xfId="0" applyNumberFormat="1" applyBorder="1" applyAlignment="1">
      <alignment horizontal="center"/>
    </xf>
    <xf numFmtId="0" fontId="0" fillId="0" borderId="17" xfId="0" applyBorder="1" applyAlignment="1">
      <alignment horizontal="left"/>
    </xf>
    <xf numFmtId="0" fontId="0" fillId="0" borderId="19" xfId="0" applyBorder="1" applyAlignment="1">
      <alignment horizontal="left"/>
    </xf>
    <xf numFmtId="164" fontId="0" fillId="0" borderId="14" xfId="0" applyNumberFormat="1"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166" fontId="0" fillId="7" borderId="14" xfId="0" applyNumberFormat="1" applyFill="1" applyBorder="1" applyAlignment="1">
      <alignment horizontal="center"/>
    </xf>
    <xf numFmtId="166" fontId="0" fillId="7" borderId="17" xfId="0" applyNumberFormat="1" applyFill="1" applyBorder="1" applyAlignment="1">
      <alignment horizontal="center"/>
    </xf>
    <xf numFmtId="166" fontId="0" fillId="7" borderId="19" xfId="0" applyNumberFormat="1" applyFill="1" applyBorder="1" applyAlignment="1">
      <alignment horizontal="center"/>
    </xf>
    <xf numFmtId="0" fontId="0" fillId="0" borderId="14" xfId="0" applyBorder="1" applyAlignment="1">
      <alignment horizontal="center"/>
    </xf>
    <xf numFmtId="166" fontId="0" fillId="0" borderId="14" xfId="0" applyNumberFormat="1" applyBorder="1" applyAlignment="1">
      <alignment horizontal="center"/>
    </xf>
    <xf numFmtId="166" fontId="0" fillId="0" borderId="17" xfId="0" applyNumberFormat="1" applyBorder="1" applyAlignment="1">
      <alignment horizontal="center"/>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4" xfId="0" applyFont="1" applyBorder="1" applyAlignment="1">
      <alignment horizontal="center" vertical="top" wrapText="1"/>
    </xf>
    <xf numFmtId="0" fontId="3" fillId="0" borderId="17" xfId="0" applyFont="1" applyBorder="1" applyAlignment="1">
      <alignment horizontal="center" vertical="top" wrapText="1"/>
    </xf>
    <xf numFmtId="0" fontId="3" fillId="0" borderId="19" xfId="0" applyFont="1" applyBorder="1" applyAlignment="1">
      <alignment horizontal="center" vertical="top" wrapText="1"/>
    </xf>
    <xf numFmtId="0" fontId="3" fillId="7" borderId="14"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9" xfId="0" applyFont="1" applyFill="1" applyBorder="1" applyAlignment="1">
      <alignment horizontal="center" vertical="top" wrapText="1"/>
    </xf>
    <xf numFmtId="0" fontId="0" fillId="0" borderId="14" xfId="0" quotePrefix="1" applyBorder="1" applyAlignment="1">
      <alignment horizontal="center"/>
    </xf>
    <xf numFmtId="0" fontId="0" fillId="0" borderId="17" xfId="0" applyBorder="1"/>
    <xf numFmtId="0" fontId="0" fillId="0" borderId="19" xfId="0" applyBorder="1"/>
    <xf numFmtId="0" fontId="1" fillId="7" borderId="14" xfId="0" quotePrefix="1" applyFont="1" applyFill="1" applyBorder="1" applyAlignment="1">
      <alignment horizontal="center" vertical="center" wrapText="1"/>
    </xf>
    <xf numFmtId="0" fontId="0" fillId="7" borderId="17" xfId="0" quotePrefix="1" applyFill="1" applyBorder="1" applyAlignment="1">
      <alignment horizontal="center" vertical="center" wrapText="1"/>
    </xf>
    <xf numFmtId="0" fontId="0" fillId="7" borderId="19" xfId="0" quotePrefix="1" applyFill="1" applyBorder="1" applyAlignment="1">
      <alignment horizontal="center" vertical="center" wrapText="1"/>
    </xf>
    <xf numFmtId="0" fontId="0" fillId="0" borderId="17" xfId="0" quotePrefix="1" applyBorder="1" applyAlignment="1">
      <alignment horizontal="center"/>
    </xf>
    <xf numFmtId="0" fontId="3" fillId="0" borderId="37" xfId="0" applyFont="1" applyBorder="1" applyAlignment="1">
      <alignment horizontal="center" vertical="center"/>
    </xf>
    <xf numFmtId="0" fontId="0" fillId="0" borderId="0" xfId="0" quotePrefix="1" applyAlignment="1">
      <alignment horizontal="center"/>
    </xf>
    <xf numFmtId="0" fontId="0" fillId="0" borderId="38" xfId="0" quotePrefix="1" applyBorder="1" applyAlignment="1">
      <alignment horizontal="center"/>
    </xf>
    <xf numFmtId="0" fontId="0" fillId="0" borderId="8" xfId="0" quotePrefix="1" applyBorder="1" applyAlignment="1">
      <alignment horizontal="center"/>
    </xf>
    <xf numFmtId="0" fontId="0" fillId="7" borderId="8" xfId="0" quotePrefix="1" applyFill="1" applyBorder="1" applyAlignment="1">
      <alignment horizontal="center"/>
    </xf>
    <xf numFmtId="0" fontId="0" fillId="7" borderId="0" xfId="0" quotePrefix="1" applyFill="1" applyAlignment="1">
      <alignment horizontal="center"/>
    </xf>
    <xf numFmtId="0" fontId="0" fillId="7" borderId="38" xfId="0" quotePrefix="1" applyFill="1" applyBorder="1" applyAlignment="1">
      <alignment horizontal="center"/>
    </xf>
    <xf numFmtId="0" fontId="1" fillId="0" borderId="5" xfId="0" applyFont="1" applyBorder="1"/>
    <xf numFmtId="0" fontId="0" fillId="0" borderId="18" xfId="0" applyBorder="1"/>
    <xf numFmtId="164" fontId="0" fillId="0" borderId="18" xfId="0" applyNumberFormat="1" applyBorder="1" applyAlignment="1">
      <alignment horizontal="center"/>
    </xf>
    <xf numFmtId="164" fontId="0" fillId="0" borderId="5" xfId="0" applyNumberFormat="1" applyBorder="1" applyAlignment="1">
      <alignment horizontal="center"/>
    </xf>
    <xf numFmtId="164" fontId="0" fillId="0" borderId="19" xfId="0" applyNumberFormat="1" applyBorder="1" applyAlignment="1">
      <alignment horizontal="center"/>
    </xf>
    <xf numFmtId="164" fontId="0" fillId="0" borderId="17" xfId="0" applyNumberForma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0" fillId="0" borderId="27" xfId="0" applyBorder="1"/>
    <xf numFmtId="0" fontId="0" fillId="0" borderId="15" xfId="0" applyBorder="1"/>
    <xf numFmtId="0" fontId="0" fillId="0" borderId="39" xfId="0" applyBorder="1"/>
    <xf numFmtId="164" fontId="0" fillId="0" borderId="23" xfId="0" applyNumberFormat="1" applyBorder="1" applyAlignment="1">
      <alignment horizontal="center"/>
    </xf>
    <xf numFmtId="164" fontId="0" fillId="0" borderId="35" xfId="0" applyNumberFormat="1" applyBorder="1" applyAlignment="1">
      <alignment horizontal="center"/>
    </xf>
    <xf numFmtId="164" fontId="0" fillId="0" borderId="40" xfId="0" applyNumberFormat="1" applyBorder="1" applyAlignment="1">
      <alignment horizontal="center"/>
    </xf>
    <xf numFmtId="0" fontId="0" fillId="0" borderId="5" xfId="0" applyBorder="1"/>
    <xf numFmtId="0" fontId="1" fillId="0" borderId="17" xfId="0" applyFont="1" applyBorder="1"/>
    <xf numFmtId="0" fontId="3" fillId="0" borderId="14" xfId="0" applyFont="1" applyBorder="1" applyAlignment="1">
      <alignment horizontal="center"/>
    </xf>
    <xf numFmtId="0" fontId="3" fillId="0" borderId="19" xfId="0" applyFont="1" applyBorder="1" applyAlignment="1">
      <alignment horizontal="center"/>
    </xf>
    <xf numFmtId="0" fontId="0" fillId="0" borderId="13" xfId="0" quotePrefix="1" applyBorder="1" applyAlignment="1">
      <alignment horizontal="center"/>
    </xf>
    <xf numFmtId="0" fontId="0" fillId="0" borderId="36" xfId="0" applyBorder="1"/>
    <xf numFmtId="0" fontId="0" fillId="0" borderId="41" xfId="0" quotePrefix="1" applyBorder="1" applyAlignment="1">
      <alignment horizontal="center"/>
    </xf>
    <xf numFmtId="0" fontId="0" fillId="0" borderId="40" xfId="0" applyBorder="1" applyAlignment="1">
      <alignment horizontal="left"/>
    </xf>
    <xf numFmtId="0" fontId="0" fillId="0" borderId="35" xfId="0" applyBorder="1" applyAlignment="1">
      <alignment horizontal="left"/>
    </xf>
    <xf numFmtId="0" fontId="0" fillId="0" borderId="23" xfId="0" applyBorder="1" applyAlignment="1">
      <alignment horizontal="center"/>
    </xf>
    <xf numFmtId="0" fontId="0" fillId="0" borderId="35" xfId="0" applyBorder="1" applyAlignment="1">
      <alignment horizontal="center"/>
    </xf>
    <xf numFmtId="0" fontId="0" fillId="0" borderId="0" xfId="0"/>
    <xf numFmtId="0" fontId="0" fillId="0" borderId="38" xfId="0" applyBorder="1"/>
    <xf numFmtId="0" fontId="0" fillId="0" borderId="9" xfId="0" quotePrefix="1" applyBorder="1" applyAlignment="1">
      <alignment horizontal="center"/>
    </xf>
    <xf numFmtId="0" fontId="0" fillId="0" borderId="18" xfId="0" quotePrefix="1" applyBorder="1" applyAlignment="1">
      <alignment horizontal="center"/>
    </xf>
    <xf numFmtId="0" fontId="0" fillId="0" borderId="13" xfId="0" applyBorder="1"/>
    <xf numFmtId="0" fontId="1" fillId="0" borderId="14" xfId="0" quotePrefix="1" applyFont="1" applyBorder="1" applyAlignment="1">
      <alignment horizontal="center" vertical="center" wrapText="1"/>
    </xf>
    <xf numFmtId="0" fontId="0" fillId="0" borderId="19" xfId="0" quotePrefix="1" applyBorder="1" applyAlignment="1">
      <alignment horizontal="center" vertical="center" wrapText="1"/>
    </xf>
    <xf numFmtId="0" fontId="1" fillId="0" borderId="14" xfId="0" applyFont="1" applyBorder="1" applyAlignment="1">
      <alignment horizontal="center" vertical="center" wrapText="1"/>
    </xf>
    <xf numFmtId="0" fontId="0" fillId="0" borderId="19" xfId="0" applyBorder="1" applyAlignment="1">
      <alignment horizontal="center" vertical="center" wrapText="1"/>
    </xf>
    <xf numFmtId="0" fontId="0" fillId="0" borderId="14"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37" xfId="0" applyBorder="1" applyAlignment="1">
      <alignment horizontal="center" vertical="center"/>
    </xf>
    <xf numFmtId="0" fontId="0" fillId="0" borderId="37" xfId="0" applyBorder="1" applyAlignment="1">
      <alignment horizontal="center"/>
    </xf>
    <xf numFmtId="0" fontId="0" fillId="0" borderId="40" xfId="0" quotePrefix="1" applyBorder="1" applyAlignment="1">
      <alignment horizontal="center"/>
    </xf>
    <xf numFmtId="0" fontId="0" fillId="0" borderId="35" xfId="0" applyBorder="1"/>
    <xf numFmtId="0" fontId="0" fillId="0" borderId="23" xfId="0" quotePrefix="1" applyBorder="1" applyAlignment="1">
      <alignment horizontal="center"/>
    </xf>
    <xf numFmtId="0" fontId="0" fillId="0" borderId="35" xfId="0" quotePrefix="1" applyBorder="1" applyAlignment="1">
      <alignment horizontal="center"/>
    </xf>
    <xf numFmtId="0" fontId="0" fillId="0" borderId="42" xfId="0" quotePrefix="1" applyBorder="1" applyAlignment="1">
      <alignment horizontal="center"/>
    </xf>
    <xf numFmtId="0" fontId="0" fillId="0" borderId="39" xfId="0" quotePrefix="1" applyBorder="1" applyAlignment="1">
      <alignment horizontal="center"/>
    </xf>
    <xf numFmtId="0" fontId="0" fillId="0" borderId="15" xfId="0" quotePrefix="1" applyBorder="1" applyAlignment="1">
      <alignment horizontal="center"/>
    </xf>
    <xf numFmtId="164" fontId="0" fillId="0" borderId="19" xfId="0" applyNumberFormat="1" applyBorder="1"/>
    <xf numFmtId="164" fontId="0" fillId="7" borderId="14" xfId="0" applyNumberFormat="1" applyFill="1" applyBorder="1" applyAlignment="1">
      <alignment horizontal="center"/>
    </xf>
    <xf numFmtId="164" fontId="0" fillId="7" borderId="17" xfId="0" applyNumberFormat="1" applyFill="1" applyBorder="1" applyAlignment="1">
      <alignment horizontal="center"/>
    </xf>
    <xf numFmtId="0" fontId="0" fillId="0" borderId="5" xfId="0" applyBorder="1" applyAlignment="1">
      <alignment wrapText="1"/>
    </xf>
    <xf numFmtId="0" fontId="0" fillId="0" borderId="18" xfId="0" applyBorder="1" applyAlignment="1">
      <alignment wrapText="1"/>
    </xf>
    <xf numFmtId="164" fontId="0" fillId="0" borderId="18" xfId="0" applyNumberFormat="1" applyBorder="1"/>
    <xf numFmtId="164" fontId="0" fillId="7" borderId="9" xfId="0" applyNumberFormat="1" applyFill="1" applyBorder="1" applyAlignment="1">
      <alignment horizontal="center"/>
    </xf>
    <xf numFmtId="164" fontId="0" fillId="7" borderId="5" xfId="0" applyNumberFormat="1" applyFill="1" applyBorder="1" applyAlignment="1">
      <alignment horizontal="center"/>
    </xf>
    <xf numFmtId="0" fontId="0" fillId="7" borderId="17" xfId="0" applyFill="1" applyBorder="1"/>
    <xf numFmtId="0" fontId="3" fillId="0" borderId="7" xfId="0" applyFont="1" applyBorder="1" applyAlignment="1">
      <alignment horizontal="center" vertical="top" wrapText="1"/>
    </xf>
    <xf numFmtId="0" fontId="0" fillId="0" borderId="29" xfId="0" applyBorder="1"/>
    <xf numFmtId="2" fontId="0" fillId="0" borderId="14" xfId="0" applyNumberFormat="1" applyBorder="1" applyAlignment="1">
      <alignment horizontal="center"/>
    </xf>
    <xf numFmtId="2" fontId="0" fillId="0" borderId="19" xfId="0" applyNumberFormat="1" applyBorder="1" applyAlignment="1">
      <alignment horizontal="center"/>
    </xf>
    <xf numFmtId="0" fontId="3" fillId="0" borderId="6" xfId="0" applyFont="1" applyBorder="1" applyAlignment="1">
      <alignment horizontal="center" vertical="top" wrapText="1"/>
    </xf>
    <xf numFmtId="0" fontId="0" fillId="0" borderId="22" xfId="0" applyBorder="1"/>
    <xf numFmtId="0" fontId="0" fillId="0" borderId="43" xfId="0" applyBorder="1"/>
    <xf numFmtId="0" fontId="3" fillId="0" borderId="8" xfId="0" applyFont="1" applyBorder="1" applyAlignment="1">
      <alignment horizontal="center" vertical="top" wrapText="1"/>
    </xf>
    <xf numFmtId="0" fontId="3" fillId="7" borderId="7" xfId="0" applyFont="1" applyFill="1" applyBorder="1" applyAlignment="1">
      <alignment horizontal="center" vertical="top" wrapText="1"/>
    </xf>
    <xf numFmtId="0" fontId="0" fillId="7" borderId="6" xfId="0" applyFill="1" applyBorder="1"/>
    <xf numFmtId="0" fontId="0" fillId="0" borderId="14" xfId="0" applyBorder="1" applyAlignment="1">
      <alignment horizontal="center" vertical="center" wrapText="1"/>
    </xf>
    <xf numFmtId="0" fontId="0" fillId="7" borderId="6" xfId="0" quotePrefix="1" applyFill="1" applyBorder="1" applyAlignment="1">
      <alignment horizontal="center" vertical="top" wrapText="1"/>
    </xf>
    <xf numFmtId="0" fontId="0" fillId="7" borderId="0" xfId="0" applyFill="1" applyAlignment="1">
      <alignment horizontal="center" vertical="top" wrapText="1"/>
    </xf>
    <xf numFmtId="0" fontId="0" fillId="7" borderId="41" xfId="0" applyFill="1" applyBorder="1" applyAlignment="1">
      <alignment horizontal="center" vertical="top" wrapText="1"/>
    </xf>
    <xf numFmtId="0" fontId="0" fillId="0" borderId="37" xfId="0" applyBorder="1"/>
    <xf numFmtId="0" fontId="0" fillId="0" borderId="22" xfId="0" quotePrefix="1" applyBorder="1" applyAlignment="1">
      <alignment horizontal="center"/>
    </xf>
    <xf numFmtId="0" fontId="0" fillId="0" borderId="44" xfId="0" quotePrefix="1" applyBorder="1" applyAlignment="1">
      <alignment horizontal="center"/>
    </xf>
    <xf numFmtId="0" fontId="0" fillId="7" borderId="44" xfId="0" quotePrefix="1" applyFill="1" applyBorder="1" applyAlignment="1">
      <alignment horizontal="center"/>
    </xf>
    <xf numFmtId="0" fontId="0" fillId="7" borderId="22" xfId="0" applyFill="1" applyBorder="1"/>
    <xf numFmtId="0" fontId="1" fillId="7" borderId="7" xfId="0" applyFont="1" applyFill="1" applyBorder="1" applyAlignment="1">
      <alignment horizontal="center" vertical="top" wrapText="1"/>
    </xf>
    <xf numFmtId="0" fontId="0" fillId="7" borderId="8" xfId="0" applyFill="1" applyBorder="1" applyAlignment="1">
      <alignment horizontal="center" vertical="top" wrapText="1"/>
    </xf>
    <xf numFmtId="0" fontId="0" fillId="7" borderId="44" xfId="0" applyFill="1" applyBorder="1" applyAlignment="1">
      <alignment horizontal="center" vertical="top" wrapText="1"/>
    </xf>
    <xf numFmtId="0" fontId="0" fillId="7" borderId="6" xfId="0" applyFill="1" applyBorder="1" applyAlignment="1">
      <alignment horizontal="center" vertical="top" wrapText="1"/>
    </xf>
    <xf numFmtId="0" fontId="0" fillId="7" borderId="2" xfId="0" applyFill="1" applyBorder="1" applyAlignment="1">
      <alignment horizontal="center" vertical="top" wrapText="1"/>
    </xf>
    <xf numFmtId="0" fontId="0" fillId="7" borderId="10" xfId="0" applyFill="1" applyBorder="1" applyAlignment="1">
      <alignment horizontal="center" vertical="top" wrapText="1"/>
    </xf>
    <xf numFmtId="0" fontId="0" fillId="7" borderId="12" xfId="0" applyFill="1" applyBorder="1" applyAlignment="1">
      <alignment horizontal="center" vertical="top" wrapText="1"/>
    </xf>
    <xf numFmtId="0" fontId="1" fillId="7" borderId="2" xfId="0" applyFont="1" applyFill="1" applyBorder="1" applyAlignment="1">
      <alignment horizontal="center" vertical="top" wrapText="1"/>
    </xf>
    <xf numFmtId="0" fontId="3" fillId="7" borderId="37" xfId="0" applyFont="1" applyFill="1" applyBorder="1" applyAlignment="1">
      <alignment horizontal="center" vertical="center"/>
    </xf>
    <xf numFmtId="0" fontId="0" fillId="7" borderId="37" xfId="0" applyFill="1" applyBorder="1" applyAlignment="1">
      <alignment horizontal="center" vertical="center"/>
    </xf>
    <xf numFmtId="0" fontId="0" fillId="7" borderId="29" xfId="0" applyFill="1" applyBorder="1" applyAlignment="1">
      <alignment horizontal="center" vertical="top" wrapText="1"/>
    </xf>
    <xf numFmtId="0" fontId="0" fillId="7" borderId="38" xfId="0" applyFill="1" applyBorder="1" applyAlignment="1">
      <alignment horizontal="center" vertical="top" wrapText="1"/>
    </xf>
    <xf numFmtId="0" fontId="0" fillId="7" borderId="43" xfId="0" applyFill="1" applyBorder="1" applyAlignment="1">
      <alignment horizontal="center" vertical="top" wrapText="1"/>
    </xf>
    <xf numFmtId="0" fontId="0" fillId="7" borderId="4" xfId="0" applyFill="1" applyBorder="1" applyAlignment="1">
      <alignment horizontal="center" vertical="top" wrapText="1"/>
    </xf>
    <xf numFmtId="0" fontId="6" fillId="7" borderId="2" xfId="0" applyFont="1" applyFill="1" applyBorder="1" applyAlignment="1">
      <alignment horizontal="center" vertical="top" wrapText="1"/>
    </xf>
    <xf numFmtId="0" fontId="6" fillId="0" borderId="14" xfId="0" applyFont="1" applyBorder="1" applyAlignment="1">
      <alignment horizontal="center"/>
    </xf>
    <xf numFmtId="0" fontId="0" fillId="2" borderId="14" xfId="0" applyFill="1" applyBorder="1" applyAlignment="1">
      <alignment horizontal="center"/>
    </xf>
    <xf numFmtId="0" fontId="0" fillId="2" borderId="17" xfId="0" applyFill="1" applyBorder="1"/>
    <xf numFmtId="0" fontId="0" fillId="0" borderId="45" xfId="0" applyBorder="1"/>
    <xf numFmtId="0" fontId="0" fillId="0" borderId="46" xfId="0" applyBorder="1"/>
    <xf numFmtId="0" fontId="0" fillId="0" borderId="47" xfId="0" applyBorder="1" applyAlignment="1">
      <alignment horizontal="center"/>
    </xf>
    <xf numFmtId="2" fontId="0" fillId="3" borderId="47" xfId="0" applyNumberFormat="1" applyFill="1" applyBorder="1" applyAlignment="1">
      <alignment horizontal="center"/>
    </xf>
    <xf numFmtId="0" fontId="0" fillId="3" borderId="45" xfId="0" applyFill="1" applyBorder="1"/>
    <xf numFmtId="0" fontId="6" fillId="0" borderId="17" xfId="0" applyFont="1" applyBorder="1"/>
    <xf numFmtId="2" fontId="0" fillId="3" borderId="14" xfId="0" applyNumberFormat="1" applyFill="1" applyBorder="1" applyAlignment="1">
      <alignment horizontal="center"/>
    </xf>
    <xf numFmtId="2" fontId="0" fillId="3" borderId="17" xfId="0" applyNumberFormat="1" applyFill="1" applyBorder="1"/>
    <xf numFmtId="0" fontId="0" fillId="3" borderId="14" xfId="0" applyFill="1" applyBorder="1" applyAlignment="1">
      <alignment horizontal="center"/>
    </xf>
    <xf numFmtId="0" fontId="0" fillId="3" borderId="17" xfId="0" applyFill="1" applyBorder="1"/>
    <xf numFmtId="166" fontId="1" fillId="3" borderId="14" xfId="0" applyNumberFormat="1" applyFont="1" applyFill="1" applyBorder="1" applyAlignment="1">
      <alignment horizontal="center"/>
    </xf>
    <xf numFmtId="166" fontId="0" fillId="3" borderId="17" xfId="0" applyNumberFormat="1" applyFill="1" applyBorder="1"/>
    <xf numFmtId="0" fontId="1" fillId="0" borderId="14" xfId="0" applyFont="1" applyBorder="1" applyAlignment="1">
      <alignment horizontal="right"/>
    </xf>
    <xf numFmtId="0" fontId="0" fillId="0" borderId="19" xfId="0" applyBorder="1" applyAlignment="1">
      <alignment horizontal="right"/>
    </xf>
    <xf numFmtId="0" fontId="0" fillId="0" borderId="7" xfId="0" quotePrefix="1" applyBorder="1" applyAlignment="1">
      <alignment horizontal="center"/>
    </xf>
    <xf numFmtId="0" fontId="0" fillId="3" borderId="7" xfId="0" applyFill="1" applyBorder="1" applyAlignment="1">
      <alignment horizontal="center"/>
    </xf>
    <xf numFmtId="0" fontId="0" fillId="3" borderId="6" xfId="0" applyFill="1" applyBorder="1"/>
    <xf numFmtId="3" fontId="0" fillId="3" borderId="14" xfId="0" applyNumberFormat="1" applyFill="1" applyBorder="1" applyAlignment="1">
      <alignment horizontal="center"/>
    </xf>
    <xf numFmtId="3" fontId="0" fillId="3" borderId="17" xfId="0" applyNumberFormat="1" applyFill="1" applyBorder="1"/>
    <xf numFmtId="0" fontId="0" fillId="0" borderId="48" xfId="0" applyBorder="1"/>
    <xf numFmtId="0" fontId="0" fillId="0" borderId="8" xfId="0" applyBorder="1"/>
    <xf numFmtId="0" fontId="6" fillId="3" borderId="44" xfId="0" applyFont="1" applyFill="1" applyBorder="1" applyAlignment="1">
      <alignment horizontal="center"/>
    </xf>
    <xf numFmtId="0" fontId="0" fillId="3" borderId="22" xfId="0" applyFill="1" applyBorder="1"/>
    <xf numFmtId="0" fontId="3" fillId="0" borderId="17" xfId="0" applyFont="1" applyBorder="1" applyAlignment="1">
      <alignment horizontal="center"/>
    </xf>
    <xf numFmtId="0" fontId="1" fillId="3" borderId="8" xfId="0" applyFont="1" applyFill="1" applyBorder="1" applyAlignment="1">
      <alignment horizontal="center"/>
    </xf>
    <xf numFmtId="0" fontId="0" fillId="3" borderId="0" xfId="0" applyFill="1"/>
    <xf numFmtId="0" fontId="0" fillId="3" borderId="38" xfId="0" applyFill="1" applyBorder="1"/>
    <xf numFmtId="165" fontId="0" fillId="3" borderId="8" xfId="0" applyNumberFormat="1" applyFill="1" applyBorder="1" applyAlignment="1">
      <alignment horizontal="center"/>
    </xf>
    <xf numFmtId="0" fontId="3" fillId="0" borderId="44" xfId="0" applyFont="1" applyBorder="1" applyAlignment="1">
      <alignment horizontal="center"/>
    </xf>
    <xf numFmtId="0" fontId="0" fillId="0" borderId="22" xfId="0" applyBorder="1" applyAlignment="1">
      <alignment horizontal="center"/>
    </xf>
    <xf numFmtId="0" fontId="0" fillId="0" borderId="6" xfId="0" applyBorder="1"/>
    <xf numFmtId="0" fontId="1" fillId="3" borderId="7" xfId="0" applyFont="1" applyFill="1" applyBorder="1" applyAlignment="1">
      <alignment horizontal="center"/>
    </xf>
    <xf numFmtId="0" fontId="0" fillId="3" borderId="29" xfId="0" applyFill="1" applyBorder="1"/>
    <xf numFmtId="0" fontId="0" fillId="0" borderId="7" xfId="0" applyBorder="1"/>
    <xf numFmtId="0" fontId="3" fillId="0" borderId="15" xfId="0" applyFont="1" applyBorder="1" applyAlignment="1">
      <alignment horizontal="center" wrapText="1"/>
    </xf>
    <xf numFmtId="0" fontId="3" fillId="0" borderId="41" xfId="0" applyFont="1" applyBorder="1" applyAlignment="1">
      <alignment horizontal="center" wrapText="1"/>
    </xf>
    <xf numFmtId="0" fontId="3" fillId="0" borderId="35" xfId="0" applyFont="1" applyBorder="1"/>
    <xf numFmtId="0" fontId="3" fillId="0" borderId="21" xfId="0" applyFont="1" applyBorder="1"/>
    <xf numFmtId="0" fontId="3" fillId="0" borderId="19" xfId="0" applyFont="1" applyBorder="1"/>
    <xf numFmtId="0" fontId="3" fillId="0" borderId="3" xfId="0" applyFont="1" applyBorder="1"/>
    <xf numFmtId="0" fontId="3" fillId="0" borderId="21" xfId="0" applyFont="1" applyBorder="1" applyAlignment="1">
      <alignment horizontal="center"/>
    </xf>
    <xf numFmtId="0" fontId="3" fillId="0" borderId="23" xfId="0" applyFont="1" applyBorder="1" applyAlignment="1">
      <alignment horizontal="center"/>
    </xf>
    <xf numFmtId="0" fontId="6" fillId="0" borderId="17" xfId="0"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6" fillId="0" borderId="19" xfId="0" applyFont="1" applyBorder="1" applyAlignment="1">
      <alignment horizontal="center"/>
    </xf>
    <xf numFmtId="0" fontId="6" fillId="0" borderId="5" xfId="0" applyFont="1" applyBorder="1" applyAlignment="1">
      <alignment horizontal="center"/>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 fillId="0" borderId="8" xfId="0" applyFont="1" applyBorder="1"/>
    <xf numFmtId="0" fontId="0" fillId="2" borderId="7" xfId="0" applyFill="1" applyBorder="1" applyAlignment="1">
      <alignment horizontal="center"/>
    </xf>
    <xf numFmtId="0" fontId="0" fillId="2" borderId="6" xfId="0" applyFill="1" applyBorder="1"/>
    <xf numFmtId="3" fontId="1" fillId="0" borderId="14" xfId="0" applyNumberFormat="1" applyFont="1" applyBorder="1" applyAlignment="1">
      <alignment horizontal="right"/>
    </xf>
    <xf numFmtId="0" fontId="0" fillId="0" borderId="17" xfId="0" applyBorder="1" applyAlignment="1">
      <alignment horizontal="right"/>
    </xf>
    <xf numFmtId="0" fontId="1" fillId="2" borderId="14" xfId="0" applyFont="1" applyFill="1" applyBorder="1" applyAlignment="1">
      <alignment horizontal="center"/>
    </xf>
    <xf numFmtId="0" fontId="1" fillId="0" borderId="45" xfId="0" applyFont="1" applyBorder="1"/>
    <xf numFmtId="2" fontId="0" fillId="0" borderId="47" xfId="0" applyNumberFormat="1" applyBorder="1" applyAlignment="1">
      <alignment horizontal="center"/>
    </xf>
    <xf numFmtId="2" fontId="0" fillId="0" borderId="46" xfId="0" applyNumberFormat="1" applyBorder="1"/>
    <xf numFmtId="0" fontId="1" fillId="0" borderId="14" xfId="0" applyFont="1" applyBorder="1" applyAlignment="1">
      <alignment horizontal="center"/>
    </xf>
    <xf numFmtId="0" fontId="42" fillId="0" borderId="65" xfId="0" applyFont="1" applyBorder="1" applyAlignment="1">
      <alignment horizontal="center" vertical="center"/>
    </xf>
    <xf numFmtId="0" fontId="1" fillId="7" borderId="53" xfId="0" quotePrefix="1" applyFont="1" applyFill="1" applyBorder="1" applyAlignment="1">
      <alignment horizontal="center"/>
    </xf>
    <xf numFmtId="0" fontId="0" fillId="7" borderId="42" xfId="0" applyFill="1" applyBorder="1" applyAlignment="1">
      <alignment horizontal="center"/>
    </xf>
    <xf numFmtId="0" fontId="0" fillId="7" borderId="53" xfId="0" applyFill="1" applyBorder="1" applyAlignment="1">
      <alignment horizontal="center"/>
    </xf>
    <xf numFmtId="0" fontId="3" fillId="0" borderId="29" xfId="0" applyFont="1" applyBorder="1" applyAlignment="1">
      <alignment horizontal="center" vertical="top" wrapText="1"/>
    </xf>
    <xf numFmtId="0" fontId="3" fillId="0" borderId="2" xfId="0" applyFont="1" applyBorder="1" applyAlignment="1">
      <alignment horizontal="center" vertical="top" wrapText="1"/>
    </xf>
    <xf numFmtId="0" fontId="3" fillId="0" borderId="38" xfId="0" applyFont="1" applyBorder="1" applyAlignment="1">
      <alignment horizontal="center" vertical="top" wrapText="1"/>
    </xf>
    <xf numFmtId="0" fontId="3" fillId="0" borderId="10" xfId="0" applyFont="1" applyBorder="1" applyAlignment="1">
      <alignment horizontal="center" vertical="top" wrapText="1"/>
    </xf>
    <xf numFmtId="0" fontId="0" fillId="0" borderId="38" xfId="0" applyBorder="1" applyAlignment="1">
      <alignment wrapText="1"/>
    </xf>
    <xf numFmtId="0" fontId="0" fillId="0" borderId="10" xfId="0" applyBorder="1" applyAlignment="1">
      <alignment wrapText="1"/>
    </xf>
    <xf numFmtId="0" fontId="0" fillId="0" borderId="43" xfId="0" applyBorder="1" applyAlignment="1">
      <alignment wrapText="1"/>
    </xf>
    <xf numFmtId="0" fontId="0" fillId="0" borderId="4" xfId="0" applyBorder="1" applyAlignment="1">
      <alignment wrapText="1"/>
    </xf>
    <xf numFmtId="0" fontId="1" fillId="0" borderId="4" xfId="0" applyFont="1" applyBorder="1" applyAlignment="1">
      <alignment horizontal="center" wrapText="1"/>
    </xf>
    <xf numFmtId="0" fontId="0" fillId="0" borderId="3" xfId="0" applyBorder="1" applyAlignment="1">
      <alignment horizontal="center" wrapText="1"/>
    </xf>
    <xf numFmtId="0" fontId="1"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1" fillId="7" borderId="38" xfId="0" applyFont="1" applyFill="1" applyBorder="1" applyAlignment="1">
      <alignment horizontal="center"/>
    </xf>
    <xf numFmtId="0" fontId="0" fillId="7" borderId="10" xfId="0" applyFill="1" applyBorder="1" applyAlignment="1">
      <alignment horizontal="center"/>
    </xf>
    <xf numFmtId="2" fontId="0" fillId="0" borderId="15" xfId="0" applyNumberFormat="1" applyBorder="1" applyAlignment="1">
      <alignment horizontal="center"/>
    </xf>
    <xf numFmtId="2" fontId="0" fillId="0" borderId="15" xfId="0" applyNumberFormat="1" applyBorder="1"/>
    <xf numFmtId="0" fontId="1" fillId="7" borderId="21" xfId="0" quotePrefix="1" applyFont="1" applyFill="1" applyBorder="1" applyAlignment="1">
      <alignment horizontal="center"/>
    </xf>
    <xf numFmtId="0" fontId="0" fillId="7" borderId="23" xfId="0" applyFill="1" applyBorder="1" applyAlignment="1">
      <alignment horizontal="center"/>
    </xf>
    <xf numFmtId="0" fontId="1" fillId="7" borderId="10" xfId="0" applyFont="1" applyFill="1" applyBorder="1" applyAlignment="1">
      <alignment horizontal="center"/>
    </xf>
    <xf numFmtId="0" fontId="1" fillId="0" borderId="2" xfId="0" quotePrefix="1" applyFont="1" applyBorder="1" applyAlignment="1">
      <alignment horizontal="center" vertical="center" wrapText="1"/>
    </xf>
    <xf numFmtId="0" fontId="0" fillId="0" borderId="7" xfId="0" quotePrefix="1" applyBorder="1" applyAlignment="1">
      <alignment horizontal="center" vertical="center" wrapText="1"/>
    </xf>
    <xf numFmtId="0" fontId="0" fillId="0" borderId="44" xfId="0" applyBorder="1" applyAlignment="1">
      <alignment wrapText="1"/>
    </xf>
    <xf numFmtId="2" fontId="0" fillId="0" borderId="14" xfId="0" applyNumberFormat="1" applyBorder="1" applyAlignment="1">
      <alignment horizontal="center" vertical="top"/>
    </xf>
    <xf numFmtId="0" fontId="0" fillId="0" borderId="19" xfId="0" applyBorder="1" applyAlignment="1">
      <alignment horizontal="center" vertical="top"/>
    </xf>
    <xf numFmtId="0" fontId="1" fillId="0" borderId="2" xfId="0" applyFont="1" applyBorder="1" applyAlignment="1">
      <alignment horizontal="center" vertical="center" wrapText="1"/>
    </xf>
    <xf numFmtId="0" fontId="0" fillId="0" borderId="2" xfId="0" quotePrefix="1" applyBorder="1" applyAlignment="1">
      <alignment horizontal="center" vertical="center" wrapText="1"/>
    </xf>
    <xf numFmtId="0" fontId="0" fillId="0" borderId="2" xfId="0" applyBorder="1" applyAlignment="1">
      <alignment horizontal="center" vertical="center" wrapText="1"/>
    </xf>
    <xf numFmtId="164" fontId="3" fillId="0" borderId="14" xfId="0" applyNumberFormat="1" applyFont="1" applyBorder="1" applyAlignment="1">
      <alignment horizontal="center"/>
    </xf>
    <xf numFmtId="0" fontId="1" fillId="7" borderId="4" xfId="0" applyFont="1" applyFill="1" applyBorder="1" applyAlignment="1">
      <alignment horizontal="center" wrapText="1"/>
    </xf>
    <xf numFmtId="0" fontId="0" fillId="7" borderId="44" xfId="0" applyFill="1" applyBorder="1" applyAlignment="1">
      <alignment horizontal="center" wrapText="1"/>
    </xf>
    <xf numFmtId="0" fontId="0" fillId="7" borderId="3" xfId="0" applyFill="1" applyBorder="1" applyAlignment="1">
      <alignment horizontal="center" wrapText="1"/>
    </xf>
    <xf numFmtId="0" fontId="0" fillId="7" borderId="14" xfId="0" applyFill="1" applyBorder="1" applyAlignment="1">
      <alignment horizontal="center" wrapText="1"/>
    </xf>
    <xf numFmtId="0" fontId="1" fillId="7" borderId="3" xfId="0" quotePrefix="1" applyFont="1" applyFill="1" applyBorder="1" applyAlignment="1">
      <alignment horizontal="center" vertical="center" wrapText="1"/>
    </xf>
    <xf numFmtId="0" fontId="0" fillId="7" borderId="14" xfId="0" applyFill="1" applyBorder="1" applyAlignment="1">
      <alignment horizontal="center" vertical="center" wrapText="1"/>
    </xf>
    <xf numFmtId="2" fontId="0" fillId="0" borderId="9" xfId="0" applyNumberFormat="1" applyBorder="1" applyAlignment="1">
      <alignment horizontal="center" vertical="top"/>
    </xf>
    <xf numFmtId="0" fontId="0" fillId="0" borderId="18" xfId="0" applyBorder="1" applyAlignment="1">
      <alignment horizontal="center" vertical="top"/>
    </xf>
    <xf numFmtId="0" fontId="0" fillId="7" borderId="8" xfId="0" applyFill="1" applyBorder="1" applyAlignment="1">
      <alignment horizontal="center"/>
    </xf>
    <xf numFmtId="2" fontId="0" fillId="7" borderId="31" xfId="0" applyNumberFormat="1" applyFill="1" applyBorder="1" applyAlignment="1">
      <alignment horizontal="center"/>
    </xf>
    <xf numFmtId="2" fontId="0" fillId="7" borderId="27" xfId="0" applyNumberFormat="1" applyFill="1" applyBorder="1"/>
    <xf numFmtId="2" fontId="0" fillId="7" borderId="54" xfId="0" applyNumberFormat="1" applyFill="1" applyBorder="1"/>
    <xf numFmtId="2" fontId="0" fillId="7" borderId="27" xfId="0" applyNumberFormat="1" applyFill="1" applyBorder="1" applyAlignment="1">
      <alignment horizontal="center"/>
    </xf>
    <xf numFmtId="0" fontId="1" fillId="0" borderId="21" xfId="0" quotePrefix="1" applyFont="1" applyBorder="1" applyAlignment="1">
      <alignment horizontal="center"/>
    </xf>
    <xf numFmtId="0" fontId="0" fillId="0" borderId="21" xfId="0" applyBorder="1" applyAlignment="1">
      <alignment horizontal="center"/>
    </xf>
    <xf numFmtId="0" fontId="0" fillId="7" borderId="21" xfId="0" applyFill="1" applyBorder="1" applyAlignment="1">
      <alignment horizontal="center"/>
    </xf>
    <xf numFmtId="0" fontId="1" fillId="7" borderId="10" xfId="0" quotePrefix="1" applyFont="1" applyFill="1" applyBorder="1" applyAlignment="1">
      <alignment horizontal="center"/>
    </xf>
    <xf numFmtId="0" fontId="1" fillId="0" borderId="18" xfId="0" applyFont="1" applyBorder="1" applyAlignment="1">
      <alignment horizontal="left" vertical="top"/>
    </xf>
    <xf numFmtId="0" fontId="0" fillId="0" borderId="1" xfId="0" applyBorder="1" applyAlignment="1">
      <alignment horizontal="left" vertical="top"/>
    </xf>
    <xf numFmtId="0" fontId="0" fillId="0" borderId="21" xfId="0" quotePrefix="1" applyBorder="1" applyAlignment="1">
      <alignment horizontal="center"/>
    </xf>
    <xf numFmtId="0" fontId="0" fillId="0" borderId="21" xfId="0" applyBorder="1"/>
    <xf numFmtId="0" fontId="0" fillId="0" borderId="3" xfId="0" applyBorder="1" applyAlignment="1">
      <alignment horizontal="left"/>
    </xf>
    <xf numFmtId="0" fontId="0" fillId="0" borderId="3" xfId="0" applyBorder="1"/>
    <xf numFmtId="0" fontId="0" fillId="0" borderId="1" xfId="0" applyBorder="1" applyAlignment="1">
      <alignment horizontal="left"/>
    </xf>
    <xf numFmtId="0" fontId="0" fillId="0" borderId="1" xfId="0" applyBorder="1"/>
    <xf numFmtId="0" fontId="1" fillId="7" borderId="3" xfId="0" quotePrefix="1" applyFont="1" applyFill="1" applyBorder="1" applyAlignment="1">
      <alignment horizontal="center"/>
    </xf>
    <xf numFmtId="0" fontId="0" fillId="7" borderId="3" xfId="0" quotePrefix="1" applyFill="1" applyBorder="1" applyAlignment="1">
      <alignment horizontal="center"/>
    </xf>
    <xf numFmtId="0" fontId="0" fillId="7" borderId="3" xfId="0" applyFill="1" applyBorder="1"/>
    <xf numFmtId="0" fontId="0" fillId="7" borderId="14" xfId="0" applyFill="1" applyBorder="1"/>
    <xf numFmtId="0" fontId="3" fillId="0" borderId="3" xfId="0" applyFont="1" applyBorder="1" applyAlignment="1">
      <alignment horizontal="center" vertical="top" wrapText="1"/>
    </xf>
    <xf numFmtId="0" fontId="0" fillId="0" borderId="19" xfId="0" applyBorder="1" applyAlignment="1">
      <alignment vertical="top" wrapText="1"/>
    </xf>
    <xf numFmtId="0" fontId="0" fillId="0" borderId="3" xfId="0" applyBorder="1" applyAlignment="1">
      <alignment vertical="top" wrapText="1"/>
    </xf>
    <xf numFmtId="0" fontId="3" fillId="0" borderId="3" xfId="0" applyFont="1" applyBorder="1" applyAlignment="1">
      <alignment horizontal="center"/>
    </xf>
    <xf numFmtId="0" fontId="1" fillId="0" borderId="3" xfId="0" quotePrefix="1" applyFont="1" applyBorder="1" applyAlignment="1">
      <alignment horizontal="center"/>
    </xf>
    <xf numFmtId="0" fontId="3" fillId="7" borderId="3" xfId="0" applyFont="1" applyFill="1" applyBorder="1" applyAlignment="1">
      <alignment horizontal="center"/>
    </xf>
    <xf numFmtId="0" fontId="3" fillId="7" borderId="14" xfId="0" applyFont="1" applyFill="1" applyBorder="1" applyAlignment="1">
      <alignment horizontal="center"/>
    </xf>
    <xf numFmtId="0" fontId="0" fillId="7" borderId="1" xfId="0" quotePrefix="1" applyFill="1" applyBorder="1" applyAlignment="1">
      <alignment horizontal="center"/>
    </xf>
    <xf numFmtId="0" fontId="0" fillId="7" borderId="1" xfId="0" applyFill="1" applyBorder="1"/>
    <xf numFmtId="164" fontId="0" fillId="7" borderId="3" xfId="0" applyNumberFormat="1" applyFill="1" applyBorder="1" applyAlignment="1">
      <alignment horizontal="center" vertical="top"/>
    </xf>
    <xf numFmtId="0" fontId="1" fillId="0" borderId="19" xfId="0" applyFont="1" applyBorder="1" applyAlignment="1">
      <alignment horizontal="left" vertical="top"/>
    </xf>
    <xf numFmtId="0" fontId="0" fillId="0" borderId="3" xfId="0" applyBorder="1" applyAlignment="1">
      <alignment horizontal="left" vertical="top"/>
    </xf>
    <xf numFmtId="164" fontId="0" fillId="0" borderId="14" xfId="0" applyNumberFormat="1" applyBorder="1" applyAlignment="1">
      <alignment horizontal="center" vertical="top"/>
    </xf>
    <xf numFmtId="164" fontId="0" fillId="0" borderId="19" xfId="0" applyNumberFormat="1" applyBorder="1" applyAlignment="1">
      <alignment horizontal="center" vertical="top"/>
    </xf>
    <xf numFmtId="0" fontId="0" fillId="0" borderId="2" xfId="0" applyBorder="1" applyAlignment="1">
      <alignment wrapText="1"/>
    </xf>
    <xf numFmtId="0" fontId="0" fillId="0" borderId="8" xfId="0" applyBorder="1" applyAlignment="1">
      <alignment wrapText="1"/>
    </xf>
    <xf numFmtId="164" fontId="0" fillId="0" borderId="9" xfId="0" applyNumberFormat="1" applyBorder="1" applyAlignment="1">
      <alignment horizontal="center" vertical="top"/>
    </xf>
    <xf numFmtId="164" fontId="0" fillId="0" borderId="18" xfId="0" applyNumberFormat="1" applyBorder="1" applyAlignment="1">
      <alignment horizontal="center" vertical="top"/>
    </xf>
    <xf numFmtId="164" fontId="0" fillId="7" borderId="9" xfId="0" applyNumberFormat="1" applyFill="1" applyBorder="1" applyAlignment="1">
      <alignment horizontal="center" vertical="top"/>
    </xf>
    <xf numFmtId="164" fontId="0" fillId="7" borderId="5" xfId="0" applyNumberFormat="1" applyFill="1" applyBorder="1" applyAlignment="1">
      <alignment horizontal="center" vertical="top"/>
    </xf>
    <xf numFmtId="164" fontId="0" fillId="7" borderId="14" xfId="0" applyNumberFormat="1" applyFill="1" applyBorder="1" applyAlignment="1">
      <alignment horizontal="center" vertical="top"/>
    </xf>
    <xf numFmtId="164" fontId="0" fillId="7" borderId="17" xfId="0" applyNumberFormat="1" applyFill="1" applyBorder="1" applyAlignment="1">
      <alignment horizontal="center" vertical="top"/>
    </xf>
    <xf numFmtId="0" fontId="1" fillId="7" borderId="39" xfId="0" quotePrefix="1" applyFont="1" applyFill="1" applyBorder="1" applyAlignment="1">
      <alignment horizontal="center"/>
    </xf>
    <xf numFmtId="2" fontId="0" fillId="7" borderId="54" xfId="0" applyNumberFormat="1" applyFill="1" applyBorder="1" applyAlignment="1">
      <alignment horizontal="center"/>
    </xf>
    <xf numFmtId="0" fontId="1" fillId="0" borderId="0" xfId="0" applyFont="1" applyAlignment="1">
      <alignment horizontal="center" vertical="top" wrapText="1"/>
    </xf>
    <xf numFmtId="0" fontId="0" fillId="0" borderId="38" xfId="0" applyBorder="1" applyAlignment="1">
      <alignment horizontal="center" vertical="top" wrapText="1"/>
    </xf>
    <xf numFmtId="0" fontId="0" fillId="0" borderId="0" xfId="0" applyAlignment="1">
      <alignment horizontal="center" vertical="top" wrapText="1"/>
    </xf>
    <xf numFmtId="0" fontId="0" fillId="0" borderId="22" xfId="0" applyBorder="1" applyAlignment="1">
      <alignment horizontal="center" vertical="top" wrapText="1"/>
    </xf>
    <xf numFmtId="0" fontId="0" fillId="0" borderId="43" xfId="0" applyBorder="1" applyAlignment="1">
      <alignment horizontal="center" vertical="top" wrapText="1"/>
    </xf>
    <xf numFmtId="0" fontId="1"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44" xfId="0" applyBorder="1" applyAlignment="1">
      <alignment horizontal="center" vertical="top" wrapText="1"/>
    </xf>
    <xf numFmtId="0" fontId="1" fillId="0" borderId="3" xfId="0" applyFont="1" applyBorder="1" applyAlignment="1">
      <alignment horizontal="center" wrapText="1"/>
    </xf>
    <xf numFmtId="0" fontId="1" fillId="0" borderId="3" xfId="0" quotePrefix="1" applyFont="1" applyBorder="1" applyAlignment="1">
      <alignment horizontal="center" vertical="center" wrapText="1"/>
    </xf>
    <xf numFmtId="0" fontId="0" fillId="0" borderId="3" xfId="0" applyBorder="1" applyAlignment="1">
      <alignment horizontal="center" vertical="center" wrapText="1"/>
    </xf>
    <xf numFmtId="2" fontId="0" fillId="7" borderId="42" xfId="0" applyNumberFormat="1" applyFill="1" applyBorder="1" applyAlignment="1">
      <alignment horizontal="center"/>
    </xf>
    <xf numFmtId="2" fontId="0" fillId="7" borderId="15" xfId="0" applyNumberFormat="1" applyFill="1" applyBorder="1" applyAlignment="1">
      <alignment horizontal="center"/>
    </xf>
    <xf numFmtId="0" fontId="0" fillId="7" borderId="15" xfId="0" applyFill="1" applyBorder="1"/>
    <xf numFmtId="0" fontId="1" fillId="0" borderId="35" xfId="0" quotePrefix="1" applyFont="1" applyBorder="1" applyAlignment="1">
      <alignment horizontal="center"/>
    </xf>
    <xf numFmtId="0" fontId="0" fillId="0" borderId="4" xfId="0" applyBorder="1" applyAlignment="1">
      <alignment horizontal="center" wrapText="1"/>
    </xf>
    <xf numFmtId="0" fontId="1" fillId="7" borderId="3" xfId="0" applyFont="1" applyFill="1" applyBorder="1" applyAlignment="1">
      <alignment horizontal="center" wrapText="1"/>
    </xf>
    <xf numFmtId="0" fontId="21" fillId="0" borderId="3" xfId="3" applyFont="1" applyBorder="1" applyAlignment="1">
      <alignment horizontal="center"/>
    </xf>
    <xf numFmtId="49" fontId="41" fillId="8" borderId="0" xfId="0" applyNumberFormat="1" applyFont="1" applyFill="1" applyAlignment="1">
      <alignment horizontal="left" vertical="center" wrapText="1"/>
    </xf>
    <xf numFmtId="49" fontId="0" fillId="0" borderId="3" xfId="0" applyNumberFormat="1" applyBorder="1" applyAlignment="1">
      <alignment horizontal="center"/>
    </xf>
    <xf numFmtId="49" fontId="0" fillId="0" borderId="14" xfId="0" applyNumberFormat="1" applyBorder="1" applyAlignment="1">
      <alignment horizontal="center"/>
    </xf>
    <xf numFmtId="164" fontId="0" fillId="0" borderId="1" xfId="0" applyNumberFormat="1" applyBorder="1" applyAlignment="1">
      <alignment horizontal="center" vertical="center"/>
    </xf>
    <xf numFmtId="164" fontId="0" fillId="0" borderId="9" xfId="0" applyNumberFormat="1" applyBorder="1" applyAlignment="1">
      <alignment horizontal="center" vertical="center"/>
    </xf>
    <xf numFmtId="49" fontId="1" fillId="0" borderId="3" xfId="0" applyNumberFormat="1" applyFont="1" applyBorder="1" applyAlignment="1">
      <alignment horizontal="center"/>
    </xf>
    <xf numFmtId="164" fontId="0" fillId="0" borderId="3" xfId="0" applyNumberFormat="1" applyBorder="1" applyAlignment="1">
      <alignment horizontal="center" vertical="center"/>
    </xf>
    <xf numFmtId="164" fontId="0" fillId="0" borderId="14" xfId="0" applyNumberFormat="1" applyBorder="1" applyAlignment="1">
      <alignment horizontal="center" vertical="center"/>
    </xf>
    <xf numFmtId="167" fontId="0" fillId="0" borderId="14" xfId="0" applyNumberFormat="1" applyBorder="1" applyAlignment="1">
      <alignment horizontal="center"/>
    </xf>
    <xf numFmtId="167" fontId="0" fillId="0" borderId="9" xfId="0" applyNumberFormat="1" applyBorder="1" applyAlignment="1">
      <alignment horizontal="center"/>
    </xf>
    <xf numFmtId="0" fontId="1" fillId="0" borderId="21" xfId="0" quotePrefix="1"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 fillId="0" borderId="43" xfId="0" quotePrefix="1" applyFont="1" applyBorder="1" applyAlignment="1">
      <alignment horizontal="center"/>
    </xf>
    <xf numFmtId="0" fontId="0" fillId="0" borderId="4" xfId="0" applyBorder="1"/>
    <xf numFmtId="0" fontId="3" fillId="0" borderId="19" xfId="0" applyFont="1" applyBorder="1" applyAlignment="1">
      <alignment horizontal="left" vertical="top" wrapText="1"/>
    </xf>
    <xf numFmtId="0" fontId="3" fillId="0" borderId="3" xfId="0" applyFont="1" applyBorder="1" applyAlignment="1">
      <alignment vertical="top" wrapText="1"/>
    </xf>
    <xf numFmtId="0" fontId="0" fillId="0" borderId="18" xfId="0" applyBorder="1" applyAlignment="1">
      <alignment vertical="top" wrapText="1"/>
    </xf>
    <xf numFmtId="0" fontId="0" fillId="0" borderId="1" xfId="0" applyBorder="1" applyAlignment="1">
      <alignment vertical="top" wrapText="1"/>
    </xf>
    <xf numFmtId="0" fontId="3" fillId="0" borderId="3" xfId="0" applyFont="1" applyBorder="1" applyAlignment="1">
      <alignment horizontal="center" wrapText="1"/>
    </xf>
    <xf numFmtId="0" fontId="3" fillId="0" borderId="3" xfId="0" applyFont="1" applyBorder="1" applyAlignment="1">
      <alignment wrapText="1"/>
    </xf>
    <xf numFmtId="0" fontId="0" fillId="0" borderId="3" xfId="0" applyBorder="1" applyAlignment="1">
      <alignment wrapText="1"/>
    </xf>
    <xf numFmtId="0" fontId="0" fillId="0" borderId="3" xfId="0" applyBorder="1" applyAlignment="1">
      <alignment horizontal="center" vertical="top" wrapText="1"/>
    </xf>
    <xf numFmtId="0" fontId="1" fillId="0" borderId="19" xfId="0" applyFont="1" applyBorder="1" applyAlignment="1">
      <alignment horizontal="left"/>
    </xf>
    <xf numFmtId="0" fontId="1" fillId="0" borderId="3" xfId="0" applyFont="1" applyBorder="1" applyAlignment="1">
      <alignment horizontal="center" vertical="top" wrapText="1"/>
    </xf>
    <xf numFmtId="0" fontId="1" fillId="0" borderId="14" xfId="0" applyFont="1" applyBorder="1" applyAlignment="1">
      <alignment horizontal="center" vertical="top" wrapText="1"/>
    </xf>
    <xf numFmtId="0" fontId="0" fillId="0" borderId="9" xfId="0" applyBorder="1" applyAlignment="1">
      <alignment horizontal="center" vertical="top" wrapText="1"/>
    </xf>
    <xf numFmtId="0" fontId="3" fillId="0" borderId="1" xfId="0" applyFont="1" applyBorder="1" applyAlignment="1">
      <alignment horizontal="center"/>
    </xf>
    <xf numFmtId="0" fontId="0" fillId="0" borderId="1" xfId="0" applyBorder="1" applyAlignment="1">
      <alignment horizontal="center"/>
    </xf>
    <xf numFmtId="49" fontId="1" fillId="0" borderId="21" xfId="0" applyNumberFormat="1" applyFont="1" applyBorder="1" applyAlignment="1">
      <alignment horizontal="center"/>
    </xf>
    <xf numFmtId="49" fontId="1" fillId="0" borderId="23" xfId="0" applyNumberFormat="1" applyFont="1" applyBorder="1" applyAlignment="1">
      <alignment horizontal="center"/>
    </xf>
    <xf numFmtId="0" fontId="1" fillId="0" borderId="19" xfId="0" applyFont="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left" vertical="top" wrapText="1"/>
    </xf>
    <xf numFmtId="2" fontId="1" fillId="0" borderId="3" xfId="0" applyNumberFormat="1" applyFont="1" applyBorder="1" applyAlignment="1">
      <alignment horizontal="center" vertical="center"/>
    </xf>
    <xf numFmtId="0" fontId="0" fillId="0" borderId="3" xfId="0" applyBorder="1" applyAlignment="1">
      <alignment horizontal="center" vertical="center"/>
    </xf>
    <xf numFmtId="2" fontId="1" fillId="0" borderId="3" xfId="0" quotePrefix="1" applyNumberFormat="1" applyFont="1" applyBorder="1" applyAlignment="1">
      <alignment horizontal="center" vertical="center"/>
    </xf>
    <xf numFmtId="0" fontId="0" fillId="0" borderId="14" xfId="0" applyBorder="1" applyAlignment="1">
      <alignment horizontal="center" vertical="center"/>
    </xf>
    <xf numFmtId="167" fontId="0" fillId="0" borderId="9" xfId="0" applyNumberFormat="1"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164" fontId="0" fillId="0" borderId="5" xfId="0" applyNumberFormat="1" applyBorder="1"/>
    <xf numFmtId="0" fontId="0" fillId="0" borderId="3" xfId="0" applyBorder="1" applyAlignment="1">
      <alignment vertical="top"/>
    </xf>
    <xf numFmtId="0" fontId="0" fillId="0" borderId="19" xfId="0" applyBorder="1" applyAlignment="1">
      <alignment vertical="top"/>
    </xf>
    <xf numFmtId="167" fontId="0" fillId="0" borderId="14" xfId="0" applyNumberForma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164" fontId="0" fillId="0" borderId="17" xfId="0" applyNumberFormat="1" applyBorder="1"/>
    <xf numFmtId="167" fontId="1" fillId="0" borderId="14" xfId="0" applyNumberFormat="1"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164" fontId="1" fillId="0" borderId="3" xfId="0" applyNumberFormat="1" applyFont="1" applyBorder="1" applyAlignment="1">
      <alignment horizontal="center" vertical="center" wrapText="1"/>
    </xf>
    <xf numFmtId="164" fontId="0" fillId="0" borderId="3" xfId="0" applyNumberFormat="1" applyBorder="1" applyAlignment="1">
      <alignment horizontal="center" vertical="center" wrapText="1"/>
    </xf>
    <xf numFmtId="164" fontId="0" fillId="0" borderId="14" xfId="0" applyNumberFormat="1" applyBorder="1" applyAlignment="1">
      <alignment horizontal="center" vertical="center" wrapText="1"/>
    </xf>
    <xf numFmtId="0" fontId="1" fillId="0" borderId="51" xfId="0" applyFont="1" applyBorder="1" applyAlignment="1">
      <alignment horizontal="left" vertical="center"/>
    </xf>
    <xf numFmtId="0" fontId="0" fillId="0" borderId="16" xfId="0" applyBorder="1" applyAlignment="1">
      <alignment vertical="center"/>
    </xf>
    <xf numFmtId="0" fontId="3" fillId="0" borderId="40" xfId="0" applyFont="1" applyBorder="1" applyAlignment="1">
      <alignment horizontal="center"/>
    </xf>
    <xf numFmtId="0" fontId="1" fillId="0" borderId="54" xfId="0" applyFont="1" applyBorder="1" applyAlignment="1">
      <alignment horizontal="right"/>
    </xf>
    <xf numFmtId="0" fontId="1" fillId="0" borderId="30" xfId="0" applyFont="1" applyBorder="1" applyAlignment="1">
      <alignment horizontal="right"/>
    </xf>
    <xf numFmtId="0" fontId="1" fillId="0" borderId="62" xfId="0" applyFont="1" applyBorder="1" applyAlignment="1">
      <alignment horizontal="right" vertical="top"/>
    </xf>
    <xf numFmtId="0" fontId="1" fillId="0" borderId="32" xfId="0" applyFont="1" applyBorder="1" applyAlignment="1">
      <alignment horizontal="right" vertical="top"/>
    </xf>
    <xf numFmtId="0" fontId="1" fillId="0" borderId="35" xfId="0" quotePrefix="1" applyFont="1" applyBorder="1" applyAlignment="1">
      <alignment horizontal="center" vertical="center"/>
    </xf>
    <xf numFmtId="0" fontId="3" fillId="0" borderId="19" xfId="0" applyFont="1" applyBorder="1" applyAlignment="1">
      <alignment horizontal="left"/>
    </xf>
    <xf numFmtId="0" fontId="3" fillId="0" borderId="0" xfId="0" applyFont="1" applyAlignment="1">
      <alignment horizontal="center" vertical="top" wrapText="1"/>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49" fontId="1" fillId="0" borderId="19" xfId="0" applyNumberFormat="1" applyFont="1" applyBorder="1" applyAlignment="1">
      <alignment horizontal="center"/>
    </xf>
    <xf numFmtId="0" fontId="3" fillId="0" borderId="15" xfId="0" applyFont="1" applyBorder="1" applyAlignment="1">
      <alignment horizontal="center" vertical="top" wrapText="1"/>
    </xf>
    <xf numFmtId="0" fontId="3" fillId="0" borderId="41" xfId="0" applyFont="1" applyBorder="1" applyAlignment="1">
      <alignment horizontal="center" vertical="top" wrapText="1"/>
    </xf>
    <xf numFmtId="0" fontId="0" fillId="0" borderId="14" xfId="0" applyBorder="1" applyAlignment="1">
      <alignment vertical="top" wrapText="1"/>
    </xf>
    <xf numFmtId="0" fontId="41" fillId="8" borderId="0" xfId="0" applyFont="1" applyFill="1" applyAlignment="1">
      <alignment horizontal="center" vertical="top" wrapText="1"/>
    </xf>
    <xf numFmtId="167" fontId="0" fillId="0" borderId="17" xfId="0" applyNumberFormat="1" applyBorder="1"/>
    <xf numFmtId="0" fontId="1" fillId="0" borderId="27" xfId="0" applyFont="1" applyBorder="1" applyAlignment="1">
      <alignment horizontal="right"/>
    </xf>
    <xf numFmtId="0" fontId="1" fillId="0" borderId="28" xfId="0" applyFont="1" applyBorder="1" applyAlignment="1">
      <alignment horizontal="right"/>
    </xf>
    <xf numFmtId="167" fontId="0" fillId="0" borderId="5" xfId="0" applyNumberFormat="1" applyBorder="1" applyAlignment="1">
      <alignment horizontal="center" vertical="center"/>
    </xf>
    <xf numFmtId="167" fontId="0" fillId="0" borderId="18" xfId="0" applyNumberFormat="1" applyBorder="1" applyAlignment="1">
      <alignment horizontal="center" vertical="center"/>
    </xf>
    <xf numFmtId="167" fontId="0" fillId="0" borderId="5" xfId="0" applyNumberFormat="1" applyBorder="1"/>
    <xf numFmtId="167" fontId="1" fillId="0" borderId="17" xfId="0" applyNumberFormat="1" applyFont="1" applyBorder="1" applyAlignment="1">
      <alignment horizontal="center"/>
    </xf>
    <xf numFmtId="167" fontId="1" fillId="0" borderId="19" xfId="0" applyNumberFormat="1" applyFont="1" applyBorder="1" applyAlignment="1">
      <alignment horizontal="center"/>
    </xf>
    <xf numFmtId="164" fontId="1" fillId="0" borderId="3" xfId="0" applyNumberFormat="1" applyFont="1" applyBorder="1" applyAlignment="1">
      <alignment horizontal="center" wrapText="1"/>
    </xf>
    <xf numFmtId="164" fontId="0" fillId="0" borderId="3" xfId="0" applyNumberFormat="1" applyBorder="1" applyAlignment="1">
      <alignment horizontal="center" wrapText="1"/>
    </xf>
    <xf numFmtId="164" fontId="0" fillId="0" borderId="14" xfId="0" applyNumberFormat="1" applyBorder="1" applyAlignment="1">
      <alignment horizontal="center" wrapText="1"/>
    </xf>
    <xf numFmtId="167" fontId="0" fillId="0" borderId="17" xfId="0" applyNumberFormat="1" applyBorder="1" applyAlignment="1">
      <alignment horizontal="center" vertical="center"/>
    </xf>
    <xf numFmtId="167" fontId="0" fillId="0" borderId="19" xfId="0" applyNumberFormat="1" applyBorder="1" applyAlignment="1">
      <alignment horizontal="center" vertical="center"/>
    </xf>
    <xf numFmtId="0" fontId="1" fillId="0" borderId="36" xfId="0" applyFont="1" applyBorder="1" applyAlignment="1">
      <alignment horizontal="left" vertical="center"/>
    </xf>
    <xf numFmtId="0" fontId="0" fillId="0" borderId="12" xfId="0" applyBorder="1" applyAlignment="1">
      <alignment vertical="center"/>
    </xf>
    <xf numFmtId="0" fontId="3" fillId="0" borderId="20" xfId="0" applyFont="1" applyBorder="1" applyAlignment="1">
      <alignment horizontal="center" vertical="top" wrapText="1"/>
    </xf>
    <xf numFmtId="0" fontId="1" fillId="0" borderId="63" xfId="0" applyFont="1" applyBorder="1" applyAlignment="1">
      <alignment horizontal="right"/>
    </xf>
    <xf numFmtId="0" fontId="0" fillId="0" borderId="62" xfId="0" applyBorder="1" applyAlignment="1">
      <alignment horizontal="right"/>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vertical="top" wrapText="1"/>
    </xf>
    <xf numFmtId="0" fontId="3" fillId="0" borderId="3" xfId="0" applyFont="1" applyBorder="1" applyAlignment="1">
      <alignment vertical="top"/>
    </xf>
    <xf numFmtId="0" fontId="0" fillId="0" borderId="18" xfId="0" applyBorder="1" applyAlignment="1">
      <alignment vertical="top"/>
    </xf>
    <xf numFmtId="0" fontId="0" fillId="0" borderId="1" xfId="0" applyBorder="1" applyAlignment="1">
      <alignment vertical="top"/>
    </xf>
    <xf numFmtId="0" fontId="3" fillId="0" borderId="1" xfId="0" applyFont="1" applyBorder="1" applyAlignment="1">
      <alignment horizontal="center" wrapText="1"/>
    </xf>
    <xf numFmtId="166" fontId="0" fillId="4" borderId="3" xfId="0" applyNumberFormat="1" applyFill="1" applyBorder="1" applyAlignment="1">
      <alignment horizontal="center"/>
    </xf>
    <xf numFmtId="166" fontId="0" fillId="4" borderId="14" xfId="0" applyNumberFormat="1" applyFill="1" applyBorder="1" applyAlignment="1">
      <alignment horizontal="center"/>
    </xf>
    <xf numFmtId="49" fontId="6" fillId="0" borderId="29" xfId="0" applyNumberFormat="1" applyFont="1" applyBorder="1" applyAlignment="1">
      <alignment horizontal="left"/>
    </xf>
    <xf numFmtId="49" fontId="6" fillId="0" borderId="2" xfId="0" applyNumberFormat="1" applyFont="1" applyBorder="1" applyAlignment="1">
      <alignment horizontal="left"/>
    </xf>
    <xf numFmtId="0" fontId="1" fillId="0" borderId="22" xfId="0" applyFont="1" applyBorder="1" applyAlignment="1">
      <alignment horizontal="center"/>
    </xf>
    <xf numFmtId="0" fontId="3" fillId="0" borderId="20" xfId="0" applyFont="1" applyBorder="1" applyAlignment="1">
      <alignment horizontal="center" wrapText="1"/>
    </xf>
    <xf numFmtId="166" fontId="0" fillId="0" borderId="3" xfId="0" applyNumberFormat="1" applyBorder="1" applyAlignment="1">
      <alignment horizontal="center"/>
    </xf>
    <xf numFmtId="166" fontId="0" fillId="0" borderId="49" xfId="0" applyNumberFormat="1" applyBorder="1" applyAlignment="1">
      <alignment horizontal="center"/>
    </xf>
    <xf numFmtId="166" fontId="0" fillId="0" borderId="50" xfId="0" applyNumberFormat="1" applyBorder="1" applyAlignment="1">
      <alignment horizontal="center"/>
    </xf>
    <xf numFmtId="166" fontId="0" fillId="0" borderId="2" xfId="0" applyNumberFormat="1" applyBorder="1" applyAlignment="1">
      <alignment horizontal="center"/>
    </xf>
    <xf numFmtId="166" fontId="0" fillId="0" borderId="7" xfId="0" applyNumberFormat="1" applyBorder="1" applyAlignment="1">
      <alignment horizontal="center"/>
    </xf>
    <xf numFmtId="166" fontId="0" fillId="0" borderId="16" xfId="0" applyNumberFormat="1" applyBorder="1" applyAlignment="1">
      <alignment horizontal="center"/>
    </xf>
    <xf numFmtId="166" fontId="0" fillId="0" borderId="11" xfId="0" applyNumberFormat="1" applyBorder="1" applyAlignment="1">
      <alignment horizontal="center"/>
    </xf>
    <xf numFmtId="49" fontId="3" fillId="0" borderId="4" xfId="0" applyNumberFormat="1" applyFont="1" applyBorder="1" applyAlignment="1">
      <alignment horizontal="center"/>
    </xf>
    <xf numFmtId="49" fontId="3" fillId="0" borderId="44" xfId="0" applyNumberFormat="1" applyFont="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166" fontId="6" fillId="0" borderId="3" xfId="0" applyNumberFormat="1" applyFont="1" applyBorder="1" applyAlignment="1">
      <alignment horizontal="center"/>
    </xf>
    <xf numFmtId="166" fontId="6" fillId="0" borderId="17" xfId="0" applyNumberFormat="1" applyFont="1" applyBorder="1" applyAlignment="1">
      <alignment horizontal="center"/>
    </xf>
    <xf numFmtId="0" fontId="3" fillId="0" borderId="43" xfId="0" applyFont="1" applyBorder="1" applyAlignment="1">
      <alignment horizontal="left"/>
    </xf>
    <xf numFmtId="0" fontId="3" fillId="0" borderId="4" xfId="0" applyFont="1" applyBorder="1" applyAlignment="1">
      <alignment horizontal="left"/>
    </xf>
    <xf numFmtId="49" fontId="3" fillId="0" borderId="3"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wrapText="1"/>
    </xf>
    <xf numFmtId="0" fontId="0" fillId="0" borderId="38" xfId="0" applyBorder="1" applyAlignment="1">
      <alignment horizontal="center" wrapText="1"/>
    </xf>
    <xf numFmtId="0" fontId="0" fillId="0" borderId="0" xfId="0" applyAlignment="1">
      <alignment horizontal="center" wrapText="1"/>
    </xf>
    <xf numFmtId="49" fontId="3" fillId="0" borderId="14" xfId="0" applyNumberFormat="1" applyFont="1" applyBorder="1" applyAlignment="1">
      <alignment horizontal="center"/>
    </xf>
    <xf numFmtId="49" fontId="6" fillId="0" borderId="19" xfId="0" applyNumberFormat="1" applyFont="1" applyBorder="1" applyAlignment="1">
      <alignment horizontal="left"/>
    </xf>
    <xf numFmtId="49" fontId="6" fillId="0" borderId="3" xfId="0" applyNumberFormat="1" applyFont="1" applyBorder="1" applyAlignment="1">
      <alignment horizontal="left"/>
    </xf>
    <xf numFmtId="0" fontId="0" fillId="0" borderId="14" xfId="0" applyBorder="1" applyAlignment="1">
      <alignment wrapText="1"/>
    </xf>
    <xf numFmtId="0" fontId="3" fillId="0" borderId="39" xfId="0" applyFont="1" applyBorder="1" applyAlignment="1">
      <alignment horizontal="center" vertical="center" wrapText="1"/>
    </xf>
    <xf numFmtId="49" fontId="6" fillId="0" borderId="51" xfId="0" applyNumberFormat="1" applyFont="1" applyBorder="1" applyAlignment="1">
      <alignment horizontal="left"/>
    </xf>
    <xf numFmtId="49" fontId="6" fillId="0" borderId="16" xfId="0" applyNumberFormat="1" applyFont="1" applyBorder="1" applyAlignment="1">
      <alignment horizontal="left"/>
    </xf>
    <xf numFmtId="0" fontId="0" fillId="0" borderId="29" xfId="0" applyBorder="1" applyAlignment="1">
      <alignment horizontal="center"/>
    </xf>
    <xf numFmtId="49" fontId="3" fillId="0" borderId="20" xfId="0" applyNumberFormat="1" applyFont="1" applyBorder="1" applyAlignment="1">
      <alignment horizontal="center" wrapText="1"/>
    </xf>
    <xf numFmtId="0" fontId="0" fillId="0" borderId="41" xfId="0" applyBorder="1" applyAlignment="1">
      <alignment horizontal="center" wrapText="1"/>
    </xf>
    <xf numFmtId="0" fontId="3" fillId="0" borderId="8" xfId="0" applyFont="1" applyBorder="1" applyAlignment="1">
      <alignment horizontal="center" wrapText="1"/>
    </xf>
    <xf numFmtId="0" fontId="0" fillId="0" borderId="0" xfId="0" applyAlignment="1">
      <alignment horizontal="center"/>
    </xf>
    <xf numFmtId="0" fontId="0" fillId="0" borderId="38" xfId="0" applyBorder="1" applyAlignment="1">
      <alignment horizontal="center"/>
    </xf>
    <xf numFmtId="166" fontId="0" fillId="4" borderId="0" xfId="0" applyNumberFormat="1" applyFill="1" applyAlignment="1">
      <alignment horizontal="center"/>
    </xf>
    <xf numFmtId="49" fontId="6" fillId="0" borderId="52" xfId="0" applyNumberFormat="1" applyFont="1" applyBorder="1" applyAlignment="1">
      <alignment horizontal="left"/>
    </xf>
    <xf numFmtId="49" fontId="6" fillId="0" borderId="49" xfId="0" applyNumberFormat="1" applyFont="1" applyBorder="1" applyAlignment="1">
      <alignment horizontal="left"/>
    </xf>
    <xf numFmtId="166" fontId="0" fillId="0" borderId="18" xfId="0" applyNumberFormat="1" applyBorder="1" applyAlignment="1">
      <alignment horizontal="center"/>
    </xf>
    <xf numFmtId="164" fontId="6" fillId="4" borderId="1" xfId="0" applyNumberFormat="1" applyFont="1" applyFill="1" applyBorder="1" applyAlignment="1">
      <alignment horizontal="center"/>
    </xf>
    <xf numFmtId="164" fontId="6" fillId="4" borderId="1" xfId="0" applyNumberFormat="1" applyFont="1" applyFill="1" applyBorder="1"/>
    <xf numFmtId="164" fontId="0" fillId="4" borderId="9" xfId="0" applyNumberFormat="1" applyFill="1" applyBorder="1"/>
    <xf numFmtId="0" fontId="3" fillId="0" borderId="7" xfId="0" applyFont="1" applyBorder="1" applyAlignment="1">
      <alignment horizontal="center" wrapText="1"/>
    </xf>
    <xf numFmtId="0" fontId="0" fillId="0" borderId="44" xfId="0" applyBorder="1"/>
    <xf numFmtId="164" fontId="6" fillId="0" borderId="1" xfId="0" applyNumberFormat="1" applyFont="1" applyBorder="1" applyAlignment="1">
      <alignment horizontal="center"/>
    </xf>
    <xf numFmtId="164" fontId="6" fillId="0" borderId="1" xfId="0" applyNumberFormat="1" applyFont="1" applyBorder="1"/>
    <xf numFmtId="164" fontId="0" fillId="0" borderId="1" xfId="0" applyNumberFormat="1" applyBorder="1"/>
    <xf numFmtId="0" fontId="0" fillId="0" borderId="14" xfId="0" applyBorder="1"/>
    <xf numFmtId="0" fontId="0" fillId="0" borderId="0" xfId="0" applyAlignment="1">
      <alignment wrapText="1"/>
    </xf>
    <xf numFmtId="0" fontId="0" fillId="0" borderId="22" xfId="0" applyBorder="1" applyAlignment="1">
      <alignment wrapText="1"/>
    </xf>
    <xf numFmtId="164" fontId="0" fillId="4" borderId="1" xfId="0" applyNumberFormat="1" applyFill="1" applyBorder="1" applyAlignment="1">
      <alignment horizontal="center"/>
    </xf>
    <xf numFmtId="0" fontId="3" fillId="0" borderId="35" xfId="0" applyFont="1" applyBorder="1" applyAlignment="1">
      <alignment horizontal="center" wrapText="1"/>
    </xf>
    <xf numFmtId="0" fontId="3" fillId="0" borderId="19" xfId="0" applyFont="1" applyBorder="1" applyAlignment="1">
      <alignment horizontal="center" wrapText="1"/>
    </xf>
    <xf numFmtId="0" fontId="2" fillId="0" borderId="15" xfId="0" applyFont="1" applyBorder="1" applyAlignment="1">
      <alignment wrapText="1"/>
    </xf>
    <xf numFmtId="0" fontId="0" fillId="0" borderId="15" xfId="0" applyBorder="1" applyAlignment="1">
      <alignment wrapText="1"/>
    </xf>
    <xf numFmtId="166" fontId="0" fillId="0" borderId="6" xfId="0" applyNumberFormat="1" applyBorder="1" applyAlignment="1">
      <alignment horizontal="center"/>
    </xf>
    <xf numFmtId="0" fontId="2" fillId="0" borderId="15" xfId="0" applyFont="1" applyBorder="1" applyAlignment="1">
      <alignment vertical="center" wrapText="1"/>
    </xf>
    <xf numFmtId="0" fontId="0" fillId="0" borderId="15" xfId="0" applyBorder="1" applyAlignment="1">
      <alignment vertical="center" wrapText="1"/>
    </xf>
    <xf numFmtId="0" fontId="0" fillId="0" borderId="20" xfId="0" applyBorder="1" applyAlignment="1">
      <alignment horizontal="center" wrapText="1"/>
    </xf>
    <xf numFmtId="0" fontId="3" fillId="0" borderId="39" xfId="0" applyFont="1" applyBorder="1" applyAlignment="1">
      <alignment horizontal="center" wrapText="1"/>
    </xf>
    <xf numFmtId="0" fontId="3" fillId="0" borderId="38" xfId="0" applyFont="1" applyBorder="1" applyAlignment="1">
      <alignment horizontal="center" wrapText="1"/>
    </xf>
    <xf numFmtId="0" fontId="0" fillId="0" borderId="22" xfId="0" applyBorder="1" applyAlignment="1">
      <alignment horizontal="center" wrapText="1"/>
    </xf>
    <xf numFmtId="0" fontId="0" fillId="0" borderId="43" xfId="0" applyBorder="1" applyAlignment="1">
      <alignment horizontal="center" wrapText="1"/>
    </xf>
    <xf numFmtId="0" fontId="3" fillId="0" borderId="42" xfId="0" applyFont="1" applyBorder="1" applyAlignment="1">
      <alignment horizontal="center" wrapText="1"/>
    </xf>
    <xf numFmtId="0" fontId="0" fillId="0" borderId="39" xfId="0" applyBorder="1" applyAlignment="1">
      <alignment horizontal="center" wrapText="1"/>
    </xf>
    <xf numFmtId="0" fontId="0" fillId="0" borderId="8" xfId="0" applyBorder="1" applyAlignment="1">
      <alignment horizontal="center" wrapText="1"/>
    </xf>
    <xf numFmtId="0" fontId="0" fillId="0" borderId="44" xfId="0" applyBorder="1" applyAlignment="1">
      <alignment horizontal="center" wrapText="1"/>
    </xf>
    <xf numFmtId="0" fontId="0" fillId="0" borderId="15" xfId="0" applyBorder="1" applyAlignment="1">
      <alignment horizontal="center" wrapText="1"/>
    </xf>
    <xf numFmtId="1" fontId="1" fillId="0" borderId="7" xfId="0" applyNumberFormat="1" applyFont="1" applyBorder="1" applyAlignment="1">
      <alignment horizontal="center" vertical="center" wrapText="1"/>
    </xf>
    <xf numFmtId="1" fontId="0" fillId="0" borderId="44" xfId="0" applyNumberForma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1" fillId="0" borderId="14" xfId="0" applyNumberFormat="1" applyFont="1" applyBorder="1" applyAlignment="1">
      <alignment horizontal="center" vertical="center" wrapText="1"/>
    </xf>
    <xf numFmtId="1" fontId="0" fillId="0" borderId="14" xfId="0" applyNumberFormat="1" applyBorder="1" applyAlignment="1">
      <alignment horizontal="center" vertical="center" wrapText="1"/>
    </xf>
    <xf numFmtId="2" fontId="1" fillId="0" borderId="7" xfId="0" applyNumberFormat="1" applyFont="1" applyBorder="1" applyAlignment="1">
      <alignment horizontal="center" wrapText="1"/>
    </xf>
    <xf numFmtId="0" fontId="0" fillId="0" borderId="29" xfId="0" applyBorder="1" applyAlignment="1">
      <alignment horizontal="center" wrapText="1"/>
    </xf>
    <xf numFmtId="2" fontId="0" fillId="0" borderId="7" xfId="0" applyNumberFormat="1" applyBorder="1" applyAlignment="1">
      <alignment horizontal="center" vertical="top"/>
    </xf>
    <xf numFmtId="2" fontId="0" fillId="0" borderId="44" xfId="0" applyNumberFormat="1" applyBorder="1" applyAlignment="1">
      <alignment horizontal="center" vertical="top"/>
    </xf>
    <xf numFmtId="2" fontId="0" fillId="0" borderId="3" xfId="0" applyNumberFormat="1" applyBorder="1" applyAlignment="1">
      <alignment horizontal="center" vertical="top"/>
    </xf>
    <xf numFmtId="2" fontId="1" fillId="0" borderId="3" xfId="0" quotePrefix="1" applyNumberFormat="1" applyFont="1" applyBorder="1" applyAlignment="1">
      <alignment horizontal="center" vertical="top"/>
    </xf>
    <xf numFmtId="2" fontId="1" fillId="0" borderId="14" xfId="0" quotePrefix="1" applyNumberFormat="1" applyFont="1" applyBorder="1" applyAlignment="1">
      <alignment horizontal="center" vertical="top"/>
    </xf>
    <xf numFmtId="0" fontId="1" fillId="0" borderId="6"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horizontal="center" vertical="center" wrapText="1"/>
    </xf>
    <xf numFmtId="2" fontId="1" fillId="0" borderId="9" xfId="0" applyNumberFormat="1" applyFont="1" applyBorder="1" applyAlignment="1">
      <alignment horizontal="center"/>
    </xf>
    <xf numFmtId="2" fontId="0" fillId="0" borderId="18" xfId="0" applyNumberFormat="1" applyBorder="1" applyAlignment="1">
      <alignment horizontal="center"/>
    </xf>
    <xf numFmtId="164" fontId="1" fillId="0" borderId="3" xfId="0" applyNumberFormat="1" applyFont="1" applyBorder="1" applyAlignment="1">
      <alignment horizontal="center"/>
    </xf>
    <xf numFmtId="0" fontId="1" fillId="0" borderId="0" xfId="0" applyFont="1" applyAlignment="1">
      <alignment horizontal="left"/>
    </xf>
    <xf numFmtId="0" fontId="0" fillId="0" borderId="0" xfId="0" applyAlignment="1">
      <alignment horizontal="left"/>
    </xf>
    <xf numFmtId="0" fontId="1" fillId="0" borderId="6" xfId="0" applyFont="1" applyBorder="1" applyAlignment="1">
      <alignment horizontal="center" wrapText="1"/>
    </xf>
    <xf numFmtId="0" fontId="3" fillId="0" borderId="21" xfId="0" applyFont="1" applyBorder="1" applyAlignment="1">
      <alignment horizontal="center" wrapText="1"/>
    </xf>
    <xf numFmtId="0" fontId="0" fillId="0" borderId="21" xfId="0" applyBorder="1" applyAlignment="1">
      <alignment wrapText="1"/>
    </xf>
    <xf numFmtId="0" fontId="0" fillId="0" borderId="23" xfId="0" applyBorder="1" applyAlignment="1">
      <alignment wrapText="1"/>
    </xf>
    <xf numFmtId="0" fontId="3" fillId="0" borderId="15" xfId="0" applyFont="1" applyBorder="1" applyAlignment="1">
      <alignment horizontal="center" vertical="center"/>
    </xf>
    <xf numFmtId="0" fontId="0" fillId="0" borderId="41" xfId="0" applyBorder="1" applyAlignment="1">
      <alignment wrapText="1"/>
    </xf>
    <xf numFmtId="49" fontId="0" fillId="0" borderId="6" xfId="0" applyNumberFormat="1" applyBorder="1"/>
    <xf numFmtId="49" fontId="0" fillId="0" borderId="0" xfId="0" applyNumberFormat="1"/>
    <xf numFmtId="49" fontId="0" fillId="0" borderId="57" xfId="0" applyNumberFormat="1" applyBorder="1"/>
    <xf numFmtId="0" fontId="0" fillId="0" borderId="57" xfId="0" applyBorder="1"/>
    <xf numFmtId="0" fontId="0" fillId="0" borderId="51" xfId="0" applyBorder="1"/>
    <xf numFmtId="164" fontId="0" fillId="0" borderId="1" xfId="0" applyNumberFormat="1" applyBorder="1" applyAlignment="1">
      <alignment horizontal="center"/>
    </xf>
    <xf numFmtId="164" fontId="1" fillId="4" borderId="3" xfId="0" applyNumberFormat="1" applyFont="1" applyFill="1" applyBorder="1" applyAlignment="1">
      <alignment horizontal="center"/>
    </xf>
    <xf numFmtId="164" fontId="1" fillId="4" borderId="14"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4" borderId="9" xfId="0" applyNumberFormat="1" applyFont="1" applyFill="1" applyBorder="1" applyAlignment="1">
      <alignment horizontal="center"/>
    </xf>
    <xf numFmtId="0" fontId="1" fillId="0" borderId="5" xfId="0" applyFont="1" applyBorder="1" applyAlignment="1">
      <alignment horizontal="center"/>
    </xf>
    <xf numFmtId="49" fontId="0" fillId="0" borderId="27" xfId="0" applyNumberFormat="1" applyBorder="1"/>
    <xf numFmtId="0" fontId="0" fillId="0" borderId="54" xfId="0" applyBorder="1"/>
    <xf numFmtId="49" fontId="3" fillId="0" borderId="40" xfId="0" applyNumberFormat="1" applyFont="1" applyBorder="1" applyAlignment="1">
      <alignment horizontal="center"/>
    </xf>
    <xf numFmtId="0" fontId="0" fillId="0" borderId="40" xfId="0" applyBorder="1" applyAlignment="1">
      <alignment horizontal="center"/>
    </xf>
    <xf numFmtId="49" fontId="0" fillId="0" borderId="55" xfId="0" applyNumberFormat="1" applyBorder="1"/>
    <xf numFmtId="0" fontId="0" fillId="0" borderId="55" xfId="0" applyBorder="1"/>
    <xf numFmtId="0" fontId="0" fillId="0" borderId="56" xfId="0" applyBorder="1"/>
    <xf numFmtId="166" fontId="3" fillId="0" borderId="3" xfId="0" applyNumberFormat="1" applyFont="1" applyBorder="1" applyAlignment="1">
      <alignment horizontal="center" vertical="top" wrapText="1"/>
    </xf>
    <xf numFmtId="166" fontId="3" fillId="0" borderId="14" xfId="0" applyNumberFormat="1" applyFont="1" applyBorder="1" applyAlignment="1">
      <alignment horizontal="center" vertical="top" wrapText="1"/>
    </xf>
    <xf numFmtId="0" fontId="3" fillId="0" borderId="14" xfId="0" applyFont="1" applyBorder="1" applyAlignment="1">
      <alignment vertical="top" wrapText="1"/>
    </xf>
    <xf numFmtId="49" fontId="6" fillId="0" borderId="58" xfId="0" applyNumberFormat="1" applyFont="1" applyBorder="1"/>
    <xf numFmtId="0" fontId="0" fillId="0" borderId="58" xfId="0" applyBorder="1"/>
    <xf numFmtId="0" fontId="0" fillId="0" borderId="52" xfId="0" applyBorder="1"/>
    <xf numFmtId="0" fontId="1" fillId="0" borderId="17" xfId="0" applyFont="1" applyBorder="1" applyAlignment="1">
      <alignment horizontal="left"/>
    </xf>
    <xf numFmtId="0" fontId="3" fillId="0" borderId="0" xfId="0" applyFont="1"/>
    <xf numFmtId="0" fontId="0" fillId="0" borderId="20" xfId="0" applyBorder="1" applyAlignment="1">
      <alignment horizontal="center"/>
    </xf>
    <xf numFmtId="0" fontId="0" fillId="0" borderId="41" xfId="0" applyBorder="1" applyAlignment="1">
      <alignment horizontal="center"/>
    </xf>
    <xf numFmtId="166" fontId="0" fillId="0" borderId="58" xfId="0" applyNumberFormat="1" applyBorder="1" applyAlignment="1">
      <alignment horizontal="center"/>
    </xf>
    <xf numFmtId="166" fontId="0" fillId="0" borderId="25" xfId="0" applyNumberFormat="1" applyBorder="1" applyAlignment="1">
      <alignment horizontal="center"/>
    </xf>
    <xf numFmtId="166" fontId="0" fillId="0" borderId="55" xfId="0" applyNumberFormat="1" applyBorder="1" applyAlignment="1">
      <alignment horizontal="center"/>
    </xf>
    <xf numFmtId="166" fontId="0" fillId="0" borderId="52" xfId="0" applyNumberFormat="1" applyBorder="1" applyAlignment="1">
      <alignment horizontal="center"/>
    </xf>
    <xf numFmtId="49" fontId="3" fillId="0" borderId="22" xfId="0" applyNumberFormat="1" applyFont="1" applyBorder="1" applyAlignment="1">
      <alignment horizontal="center"/>
    </xf>
    <xf numFmtId="166" fontId="3" fillId="0" borderId="19" xfId="0" applyNumberFormat="1" applyFont="1" applyBorder="1" applyAlignment="1">
      <alignment horizontal="center" vertical="top" wrapText="1"/>
    </xf>
    <xf numFmtId="0" fontId="3" fillId="0" borderId="19" xfId="0" applyFont="1" applyBorder="1" applyAlignment="1">
      <alignment vertical="top" wrapText="1"/>
    </xf>
    <xf numFmtId="166" fontId="0" fillId="0" borderId="44" xfId="0" applyNumberFormat="1" applyBorder="1" applyAlignment="1">
      <alignment horizontal="center"/>
    </xf>
    <xf numFmtId="166" fontId="0" fillId="0" borderId="43" xfId="0" applyNumberFormat="1" applyBorder="1" applyAlignment="1">
      <alignment horizontal="center"/>
    </xf>
    <xf numFmtId="166" fontId="0" fillId="0" borderId="59" xfId="0" applyNumberFormat="1" applyBorder="1" applyAlignment="1">
      <alignment horizontal="center"/>
    </xf>
    <xf numFmtId="166" fontId="0" fillId="0" borderId="60" xfId="0" applyNumberFormat="1" applyBorder="1" applyAlignment="1">
      <alignment horizontal="center"/>
    </xf>
    <xf numFmtId="166" fontId="0" fillId="0" borderId="56" xfId="0" applyNumberFormat="1" applyBorder="1" applyAlignment="1">
      <alignment horizontal="center"/>
    </xf>
    <xf numFmtId="0" fontId="0" fillId="0" borderId="56" xfId="0" applyBorder="1" applyAlignment="1">
      <alignment horizontal="center"/>
    </xf>
    <xf numFmtId="166" fontId="0" fillId="0" borderId="61" xfId="0" applyNumberFormat="1" applyBorder="1" applyAlignment="1">
      <alignment horizontal="center"/>
    </xf>
    <xf numFmtId="49" fontId="6" fillId="0" borderId="55" xfId="0" applyNumberFormat="1" applyFont="1" applyBorder="1"/>
    <xf numFmtId="49" fontId="6" fillId="0" borderId="0" xfId="0" applyNumberFormat="1" applyFont="1"/>
    <xf numFmtId="166" fontId="0" fillId="0" borderId="8" xfId="0" applyNumberFormat="1" applyBorder="1" applyAlignment="1">
      <alignment horizontal="center"/>
    </xf>
    <xf numFmtId="166" fontId="0" fillId="0" borderId="38" xfId="0" applyNumberFormat="1" applyBorder="1" applyAlignment="1">
      <alignment horizontal="center"/>
    </xf>
    <xf numFmtId="49" fontId="6" fillId="0" borderId="60" xfId="0" applyNumberFormat="1" applyFont="1" applyBorder="1"/>
    <xf numFmtId="0" fontId="0" fillId="0" borderId="60" xfId="0" applyBorder="1"/>
    <xf numFmtId="0" fontId="0" fillId="0" borderId="61" xfId="0" applyBorder="1"/>
    <xf numFmtId="166" fontId="0" fillId="0" borderId="0" xfId="0" applyNumberFormat="1" applyAlignment="1">
      <alignment horizontal="center"/>
    </xf>
    <xf numFmtId="166" fontId="0" fillId="4" borderId="8" xfId="0" applyNumberFormat="1" applyFill="1" applyBorder="1" applyAlignment="1">
      <alignment horizontal="center"/>
    </xf>
    <xf numFmtId="166" fontId="0" fillId="4" borderId="38" xfId="0" applyNumberFormat="1" applyFill="1" applyBorder="1" applyAlignment="1">
      <alignment horizontal="center"/>
    </xf>
    <xf numFmtId="166" fontId="0" fillId="4" borderId="10"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166" fontId="0" fillId="4" borderId="56" xfId="0" applyNumberFormat="1" applyFill="1" applyBorder="1" applyAlignment="1">
      <alignment horizontal="center"/>
    </xf>
    <xf numFmtId="0" fontId="0" fillId="4" borderId="7" xfId="0" applyFill="1" applyBorder="1"/>
    <xf numFmtId="0" fontId="0" fillId="4" borderId="29" xfId="0" applyFill="1" applyBorder="1"/>
    <xf numFmtId="0" fontId="0" fillId="4" borderId="6" xfId="0" applyFill="1" applyBorder="1"/>
    <xf numFmtId="0" fontId="3" fillId="0" borderId="6" xfId="0" applyFont="1" applyBorder="1"/>
    <xf numFmtId="0" fontId="3" fillId="0" borderId="15" xfId="0" applyFont="1" applyBorder="1"/>
    <xf numFmtId="0" fontId="3" fillId="0" borderId="44" xfId="0" applyFont="1" applyBorder="1" applyAlignment="1">
      <alignment horizontal="center" wrapText="1"/>
    </xf>
    <xf numFmtId="49" fontId="3" fillId="0" borderId="17" xfId="0" applyNumberFormat="1" applyFont="1" applyBorder="1" applyAlignment="1">
      <alignment horizontal="center"/>
    </xf>
    <xf numFmtId="0" fontId="3" fillId="0" borderId="6" xfId="0" applyFont="1" applyBorder="1" applyAlignment="1">
      <alignment horizontal="center" wrapText="1"/>
    </xf>
    <xf numFmtId="0" fontId="0" fillId="0" borderId="6" xfId="0" applyBorder="1" applyAlignment="1">
      <alignment horizontal="center" wrapText="1"/>
    </xf>
    <xf numFmtId="0" fontId="32" fillId="0" borderId="0" xfId="3" applyFont="1" applyAlignment="1">
      <alignment horizontal="center"/>
    </xf>
  </cellXfs>
  <cellStyles count="5">
    <cellStyle name="Comma 2" xfId="4" xr:uid="{00000000-0005-0000-0000-000000000000}"/>
    <cellStyle name="Hyperlink" xfId="1" builtinId="8"/>
    <cellStyle name="Input" xfId="2" builtinId="20"/>
    <cellStyle name="Normal" xfId="0" builtinId="0"/>
    <cellStyle name="Normal 2" xfId="3" xr:uid="{00000000-0005-0000-0000-00000400000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0E442"/>
      <color rgb="FF56B4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15240</xdr:colOff>
      <xdr:row>12</xdr:row>
      <xdr:rowOff>99060</xdr:rowOff>
    </xdr:from>
    <xdr:to>
      <xdr:col>19</xdr:col>
      <xdr:colOff>419101</xdr:colOff>
      <xdr:row>26</xdr:row>
      <xdr:rowOff>105699</xdr:rowOff>
    </xdr:to>
    <xdr:pic>
      <xdr:nvPicPr>
        <xdr:cNvPr id="2082" name="Picture 1">
          <a:extLst>
            <a:ext uri="{FF2B5EF4-FFF2-40B4-BE49-F238E27FC236}">
              <a16:creationId xmlns:a16="http://schemas.microsoft.com/office/drawing/2014/main" id="{A895CA5B-4D64-4C61-9D6A-F74D1C676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3120" y="2202180"/>
          <a:ext cx="3947160" cy="305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torbic@tti.tamu.edu" TargetMode="External"/><Relationship Id="rId1" Type="http://schemas.openxmlformats.org/officeDocument/2006/relationships/hyperlink" Target="mailto:info@highwaysafetymanual.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C44F5-1239-4FB6-A5A2-C221F6F7BEB6}">
  <dimension ref="B1:M36"/>
  <sheetViews>
    <sheetView tabSelected="1" workbookViewId="0">
      <selection activeCell="B4" sqref="B4:M4"/>
    </sheetView>
  </sheetViews>
  <sheetFormatPr defaultColWidth="8.81640625" defaultRowHeight="14.5" x14ac:dyDescent="0.35"/>
  <cols>
    <col min="1" max="1" width="3.453125" style="204" customWidth="1"/>
    <col min="2" max="2" width="12" style="204" customWidth="1"/>
    <col min="3" max="12" width="8.81640625" style="204"/>
    <col min="13" max="13" width="30" style="204" customWidth="1"/>
    <col min="14" max="256" width="8.81640625" style="204"/>
    <col min="257" max="257" width="3.453125" style="204" customWidth="1"/>
    <col min="258" max="512" width="8.81640625" style="204"/>
    <col min="513" max="513" width="3.453125" style="204" customWidth="1"/>
    <col min="514" max="768" width="8.81640625" style="204"/>
    <col min="769" max="769" width="3.453125" style="204" customWidth="1"/>
    <col min="770" max="1024" width="8.81640625" style="204"/>
    <col min="1025" max="1025" width="3.453125" style="204" customWidth="1"/>
    <col min="1026" max="1280" width="8.81640625" style="204"/>
    <col min="1281" max="1281" width="3.453125" style="204" customWidth="1"/>
    <col min="1282" max="1536" width="8.81640625" style="204"/>
    <col min="1537" max="1537" width="3.453125" style="204" customWidth="1"/>
    <col min="1538" max="1792" width="8.81640625" style="204"/>
    <col min="1793" max="1793" width="3.453125" style="204" customWidth="1"/>
    <col min="1794" max="2048" width="8.81640625" style="204"/>
    <col min="2049" max="2049" width="3.453125" style="204" customWidth="1"/>
    <col min="2050" max="2304" width="8.81640625" style="204"/>
    <col min="2305" max="2305" width="3.453125" style="204" customWidth="1"/>
    <col min="2306" max="2560" width="8.81640625" style="204"/>
    <col min="2561" max="2561" width="3.453125" style="204" customWidth="1"/>
    <col min="2562" max="2816" width="8.81640625" style="204"/>
    <col min="2817" max="2817" width="3.453125" style="204" customWidth="1"/>
    <col min="2818" max="3072" width="8.81640625" style="204"/>
    <col min="3073" max="3073" width="3.453125" style="204" customWidth="1"/>
    <col min="3074" max="3328" width="8.81640625" style="204"/>
    <col min="3329" max="3329" width="3.453125" style="204" customWidth="1"/>
    <col min="3330" max="3584" width="8.81640625" style="204"/>
    <col min="3585" max="3585" width="3.453125" style="204" customWidth="1"/>
    <col min="3586" max="3840" width="8.81640625" style="204"/>
    <col min="3841" max="3841" width="3.453125" style="204" customWidth="1"/>
    <col min="3842" max="4096" width="8.81640625" style="204"/>
    <col min="4097" max="4097" width="3.453125" style="204" customWidth="1"/>
    <col min="4098" max="4352" width="8.81640625" style="204"/>
    <col min="4353" max="4353" width="3.453125" style="204" customWidth="1"/>
    <col min="4354" max="4608" width="8.81640625" style="204"/>
    <col min="4609" max="4609" width="3.453125" style="204" customWidth="1"/>
    <col min="4610" max="4864" width="8.81640625" style="204"/>
    <col min="4865" max="4865" width="3.453125" style="204" customWidth="1"/>
    <col min="4866" max="5120" width="8.81640625" style="204"/>
    <col min="5121" max="5121" width="3.453125" style="204" customWidth="1"/>
    <col min="5122" max="5376" width="8.81640625" style="204"/>
    <col min="5377" max="5377" width="3.453125" style="204" customWidth="1"/>
    <col min="5378" max="5632" width="8.81640625" style="204"/>
    <col min="5633" max="5633" width="3.453125" style="204" customWidth="1"/>
    <col min="5634" max="5888" width="8.81640625" style="204"/>
    <col min="5889" max="5889" width="3.453125" style="204" customWidth="1"/>
    <col min="5890" max="6144" width="8.81640625" style="204"/>
    <col min="6145" max="6145" width="3.453125" style="204" customWidth="1"/>
    <col min="6146" max="6400" width="8.81640625" style="204"/>
    <col min="6401" max="6401" width="3.453125" style="204" customWidth="1"/>
    <col min="6402" max="6656" width="8.81640625" style="204"/>
    <col min="6657" max="6657" width="3.453125" style="204" customWidth="1"/>
    <col min="6658" max="6912" width="8.81640625" style="204"/>
    <col min="6913" max="6913" width="3.453125" style="204" customWidth="1"/>
    <col min="6914" max="7168" width="8.81640625" style="204"/>
    <col min="7169" max="7169" width="3.453125" style="204" customWidth="1"/>
    <col min="7170" max="7424" width="8.81640625" style="204"/>
    <col min="7425" max="7425" width="3.453125" style="204" customWidth="1"/>
    <col min="7426" max="7680" width="8.81640625" style="204"/>
    <col min="7681" max="7681" width="3.453125" style="204" customWidth="1"/>
    <col min="7682" max="7936" width="8.81640625" style="204"/>
    <col min="7937" max="7937" width="3.453125" style="204" customWidth="1"/>
    <col min="7938" max="8192" width="8.81640625" style="204"/>
    <col min="8193" max="8193" width="3.453125" style="204" customWidth="1"/>
    <col min="8194" max="8448" width="8.81640625" style="204"/>
    <col min="8449" max="8449" width="3.453125" style="204" customWidth="1"/>
    <col min="8450" max="8704" width="8.81640625" style="204"/>
    <col min="8705" max="8705" width="3.453125" style="204" customWidth="1"/>
    <col min="8706" max="8960" width="8.81640625" style="204"/>
    <col min="8961" max="8961" width="3.453125" style="204" customWidth="1"/>
    <col min="8962" max="9216" width="8.81640625" style="204"/>
    <col min="9217" max="9217" width="3.453125" style="204" customWidth="1"/>
    <col min="9218" max="9472" width="8.81640625" style="204"/>
    <col min="9473" max="9473" width="3.453125" style="204" customWidth="1"/>
    <col min="9474" max="9728" width="8.81640625" style="204"/>
    <col min="9729" max="9729" width="3.453125" style="204" customWidth="1"/>
    <col min="9730" max="9984" width="8.81640625" style="204"/>
    <col min="9985" max="9985" width="3.453125" style="204" customWidth="1"/>
    <col min="9986" max="10240" width="8.81640625" style="204"/>
    <col min="10241" max="10241" width="3.453125" style="204" customWidth="1"/>
    <col min="10242" max="10496" width="8.81640625" style="204"/>
    <col min="10497" max="10497" width="3.453125" style="204" customWidth="1"/>
    <col min="10498" max="10752" width="8.81640625" style="204"/>
    <col min="10753" max="10753" width="3.453125" style="204" customWidth="1"/>
    <col min="10754" max="11008" width="8.81640625" style="204"/>
    <col min="11009" max="11009" width="3.453125" style="204" customWidth="1"/>
    <col min="11010" max="11264" width="8.81640625" style="204"/>
    <col min="11265" max="11265" width="3.453125" style="204" customWidth="1"/>
    <col min="11266" max="11520" width="8.81640625" style="204"/>
    <col min="11521" max="11521" width="3.453125" style="204" customWidth="1"/>
    <col min="11522" max="11776" width="8.81640625" style="204"/>
    <col min="11777" max="11777" width="3.453125" style="204" customWidth="1"/>
    <col min="11778" max="12032" width="8.81640625" style="204"/>
    <col min="12033" max="12033" width="3.453125" style="204" customWidth="1"/>
    <col min="12034" max="12288" width="8.81640625" style="204"/>
    <col min="12289" max="12289" width="3.453125" style="204" customWidth="1"/>
    <col min="12290" max="12544" width="8.81640625" style="204"/>
    <col min="12545" max="12545" width="3.453125" style="204" customWidth="1"/>
    <col min="12546" max="12800" width="8.81640625" style="204"/>
    <col min="12801" max="12801" width="3.453125" style="204" customWidth="1"/>
    <col min="12802" max="13056" width="8.81640625" style="204"/>
    <col min="13057" max="13057" width="3.453125" style="204" customWidth="1"/>
    <col min="13058" max="13312" width="8.81640625" style="204"/>
    <col min="13313" max="13313" width="3.453125" style="204" customWidth="1"/>
    <col min="13314" max="13568" width="8.81640625" style="204"/>
    <col min="13569" max="13569" width="3.453125" style="204" customWidth="1"/>
    <col min="13570" max="13824" width="8.81640625" style="204"/>
    <col min="13825" max="13825" width="3.453125" style="204" customWidth="1"/>
    <col min="13826" max="14080" width="8.81640625" style="204"/>
    <col min="14081" max="14081" width="3.453125" style="204" customWidth="1"/>
    <col min="14082" max="14336" width="8.81640625" style="204"/>
    <col min="14337" max="14337" width="3.453125" style="204" customWidth="1"/>
    <col min="14338" max="14592" width="8.81640625" style="204"/>
    <col min="14593" max="14593" width="3.453125" style="204" customWidth="1"/>
    <col min="14594" max="14848" width="8.81640625" style="204"/>
    <col min="14849" max="14849" width="3.453125" style="204" customWidth="1"/>
    <col min="14850" max="15104" width="8.81640625" style="204"/>
    <col min="15105" max="15105" width="3.453125" style="204" customWidth="1"/>
    <col min="15106" max="15360" width="8.81640625" style="204"/>
    <col min="15361" max="15361" width="3.453125" style="204" customWidth="1"/>
    <col min="15362" max="15616" width="8.81640625" style="204"/>
    <col min="15617" max="15617" width="3.453125" style="204" customWidth="1"/>
    <col min="15618" max="15872" width="8.81640625" style="204"/>
    <col min="15873" max="15873" width="3.453125" style="204" customWidth="1"/>
    <col min="15874" max="16128" width="8.81640625" style="204"/>
    <col min="16129" max="16129" width="3.453125" style="204" customWidth="1"/>
    <col min="16130" max="16384" width="8.81640625" style="204"/>
  </cols>
  <sheetData>
    <row r="1" spans="2:13" ht="15" thickBot="1" x14ac:dyDescent="0.4"/>
    <row r="2" spans="2:13" ht="15" thickTop="1" x14ac:dyDescent="0.35">
      <c r="B2" s="287"/>
      <c r="C2" s="288"/>
      <c r="D2" s="288"/>
      <c r="E2" s="288"/>
      <c r="F2" s="288"/>
      <c r="G2" s="288"/>
      <c r="H2" s="288"/>
      <c r="I2" s="288"/>
      <c r="J2" s="288"/>
      <c r="K2" s="288"/>
      <c r="L2" s="288"/>
      <c r="M2" s="289"/>
    </row>
    <row r="3" spans="2:13" ht="18" x14ac:dyDescent="0.4">
      <c r="B3" s="290"/>
      <c r="C3" s="304" t="s">
        <v>925</v>
      </c>
      <c r="D3" s="304"/>
      <c r="E3" s="304"/>
      <c r="F3" s="304"/>
      <c r="G3" s="304"/>
      <c r="H3" s="304"/>
      <c r="I3" s="304"/>
      <c r="J3" s="304"/>
      <c r="K3" s="304"/>
      <c r="L3" s="304"/>
      <c r="M3" s="291"/>
    </row>
    <row r="4" spans="2:13" ht="54.5" customHeight="1" x14ac:dyDescent="0.35">
      <c r="B4" s="305" t="s">
        <v>940</v>
      </c>
      <c r="C4" s="306"/>
      <c r="D4" s="306"/>
      <c r="E4" s="306"/>
      <c r="F4" s="306"/>
      <c r="G4" s="306"/>
      <c r="H4" s="306"/>
      <c r="I4" s="306"/>
      <c r="J4" s="306"/>
      <c r="K4" s="306"/>
      <c r="L4" s="306"/>
      <c r="M4" s="307"/>
    </row>
    <row r="5" spans="2:13" ht="13.5" customHeight="1" thickBot="1" x14ac:dyDescent="0.4">
      <c r="B5" s="292"/>
      <c r="C5" s="293"/>
      <c r="D5" s="293"/>
      <c r="E5" s="293"/>
      <c r="F5" s="293"/>
      <c r="G5" s="293"/>
      <c r="H5" s="293"/>
      <c r="I5" s="293"/>
      <c r="J5" s="293"/>
      <c r="K5" s="293"/>
      <c r="L5" s="293"/>
      <c r="M5" s="294"/>
    </row>
    <row r="6" spans="2:13" ht="15" thickTop="1" x14ac:dyDescent="0.35"/>
    <row r="7" spans="2:13" x14ac:dyDescent="0.35">
      <c r="B7" s="308"/>
      <c r="C7" s="308"/>
      <c r="D7" s="308"/>
      <c r="E7" s="308"/>
      <c r="F7" s="308"/>
      <c r="G7" s="308"/>
      <c r="H7" s="308"/>
      <c r="I7" s="308"/>
      <c r="J7" s="308"/>
      <c r="K7" s="308"/>
      <c r="L7" s="308"/>
      <c r="M7" s="308"/>
    </row>
    <row r="8" spans="2:13" x14ac:dyDescent="0.35">
      <c r="B8" s="233"/>
      <c r="C8" s="233"/>
      <c r="D8" s="233"/>
      <c r="E8" s="233"/>
      <c r="F8" s="233"/>
      <c r="G8" s="233"/>
      <c r="H8" s="233"/>
      <c r="I8" s="233"/>
      <c r="J8" s="233"/>
      <c r="K8" s="233"/>
      <c r="L8" s="233"/>
      <c r="M8" s="233"/>
    </row>
    <row r="9" spans="2:13" s="295" customFormat="1" ht="42.5" customHeight="1" x14ac:dyDescent="0.25">
      <c r="B9" s="309" t="s">
        <v>939</v>
      </c>
      <c r="C9" s="302"/>
      <c r="D9" s="302"/>
      <c r="E9" s="302"/>
      <c r="F9" s="302"/>
      <c r="G9" s="302"/>
      <c r="H9" s="302"/>
      <c r="I9" s="302"/>
      <c r="J9" s="302"/>
      <c r="K9" s="302"/>
      <c r="L9" s="302"/>
      <c r="M9" s="302"/>
    </row>
    <row r="10" spans="2:13" s="295" customFormat="1" x14ac:dyDescent="0.25">
      <c r="B10" s="302" t="s">
        <v>926</v>
      </c>
      <c r="C10" s="302"/>
      <c r="D10" s="302"/>
      <c r="E10" s="302"/>
      <c r="F10" s="296"/>
      <c r="G10" s="296"/>
      <c r="H10" s="296"/>
      <c r="I10" s="296"/>
      <c r="J10" s="296"/>
      <c r="K10" s="296"/>
      <c r="L10" s="296"/>
      <c r="M10" s="296"/>
    </row>
    <row r="11" spans="2:13" x14ac:dyDescent="0.35">
      <c r="B11" s="233"/>
      <c r="C11" s="233"/>
      <c r="D11" s="233"/>
      <c r="E11" s="233"/>
      <c r="F11" s="233"/>
      <c r="G11" s="233"/>
      <c r="H11" s="233"/>
      <c r="I11" s="233"/>
      <c r="J11" s="233"/>
      <c r="K11" s="233"/>
      <c r="L11" s="233"/>
      <c r="M11" s="233"/>
    </row>
    <row r="13" spans="2:13" x14ac:dyDescent="0.35">
      <c r="B13" s="297" t="s">
        <v>927</v>
      </c>
    </row>
    <row r="14" spans="2:13" ht="71" customHeight="1" x14ac:dyDescent="0.35">
      <c r="B14" s="302" t="s">
        <v>928</v>
      </c>
      <c r="C14" s="302"/>
      <c r="D14" s="302"/>
      <c r="E14" s="302"/>
      <c r="F14" s="302"/>
      <c r="G14" s="302"/>
      <c r="H14" s="302"/>
      <c r="I14" s="302"/>
      <c r="J14" s="302"/>
      <c r="K14" s="302"/>
      <c r="L14" s="302"/>
      <c r="M14" s="302"/>
    </row>
    <row r="15" spans="2:13" x14ac:dyDescent="0.35">
      <c r="B15" s="296"/>
      <c r="C15" s="296"/>
      <c r="D15" s="296"/>
      <c r="E15" s="296"/>
      <c r="F15" s="296"/>
      <c r="G15" s="296"/>
      <c r="H15" s="296"/>
      <c r="I15" s="296"/>
      <c r="J15" s="296"/>
      <c r="K15" s="296"/>
      <c r="L15" s="296"/>
      <c r="M15" s="296"/>
    </row>
    <row r="16" spans="2:13" x14ac:dyDescent="0.35">
      <c r="B16" s="297" t="s">
        <v>929</v>
      </c>
    </row>
    <row r="17" spans="2:13" x14ac:dyDescent="0.35">
      <c r="B17" s="302" t="s">
        <v>930</v>
      </c>
      <c r="C17" s="302"/>
      <c r="D17" s="302"/>
      <c r="E17" s="302"/>
      <c r="F17" s="302"/>
      <c r="G17" s="302"/>
      <c r="H17" s="302"/>
      <c r="I17" s="302"/>
      <c r="J17" s="302"/>
      <c r="K17" s="302"/>
      <c r="L17" s="302"/>
      <c r="M17" s="302"/>
    </row>
    <row r="18" spans="2:13" x14ac:dyDescent="0.35">
      <c r="B18" s="302" t="s">
        <v>931</v>
      </c>
      <c r="C18" s="302"/>
      <c r="D18" s="302"/>
      <c r="E18" s="302"/>
      <c r="F18" s="302"/>
      <c r="G18" s="302"/>
      <c r="H18" s="302"/>
      <c r="I18" s="302"/>
      <c r="J18" s="302"/>
      <c r="K18" s="302"/>
      <c r="L18" s="302"/>
      <c r="M18" s="302"/>
    </row>
    <row r="20" spans="2:13" x14ac:dyDescent="0.35">
      <c r="B20" s="297" t="s">
        <v>932</v>
      </c>
    </row>
    <row r="21" spans="2:13" ht="57.5" customHeight="1" x14ac:dyDescent="0.35">
      <c r="B21" s="302" t="s">
        <v>933</v>
      </c>
      <c r="C21" s="302"/>
      <c r="D21" s="302"/>
      <c r="E21" s="302"/>
      <c r="F21" s="302"/>
      <c r="G21" s="302"/>
      <c r="H21" s="302"/>
      <c r="I21" s="302"/>
      <c r="J21" s="302"/>
      <c r="K21" s="302"/>
      <c r="L21" s="302"/>
      <c r="M21" s="302"/>
    </row>
    <row r="23" spans="2:13" ht="98" customHeight="1" x14ac:dyDescent="0.35">
      <c r="B23" s="302" t="s">
        <v>934</v>
      </c>
      <c r="C23" s="302"/>
      <c r="D23" s="302"/>
      <c r="E23" s="302"/>
      <c r="F23" s="302"/>
      <c r="G23" s="302"/>
      <c r="H23" s="302"/>
      <c r="I23" s="302"/>
      <c r="J23" s="302"/>
      <c r="K23" s="302"/>
      <c r="L23" s="302"/>
      <c r="M23" s="302"/>
    </row>
    <row r="24" spans="2:13" x14ac:dyDescent="0.35">
      <c r="B24" s="298"/>
      <c r="C24" s="298"/>
      <c r="D24" s="298"/>
      <c r="E24" s="298"/>
      <c r="F24" s="298"/>
      <c r="G24" s="298"/>
      <c r="H24" s="298"/>
      <c r="I24" s="298"/>
      <c r="J24" s="298"/>
      <c r="K24" s="298"/>
      <c r="L24" s="298"/>
      <c r="M24" s="298"/>
    </row>
    <row r="25" spans="2:13" x14ac:dyDescent="0.35">
      <c r="B25" s="303"/>
      <c r="C25" s="303"/>
      <c r="D25" s="303"/>
      <c r="E25" s="303"/>
      <c r="F25" s="303"/>
      <c r="G25" s="303"/>
      <c r="H25" s="303"/>
      <c r="I25" s="303"/>
      <c r="J25" s="303"/>
      <c r="K25" s="303"/>
      <c r="L25" s="303"/>
      <c r="M25" s="303"/>
    </row>
    <row r="26" spans="2:13" x14ac:dyDescent="0.35">
      <c r="B26" s="299" t="s">
        <v>935</v>
      </c>
      <c r="C26" s="295"/>
      <c r="D26" s="295"/>
      <c r="E26" s="295"/>
      <c r="F26" s="295"/>
      <c r="G26" s="295"/>
      <c r="H26" s="295"/>
      <c r="I26" s="295"/>
      <c r="J26" s="295"/>
      <c r="K26" s="295"/>
      <c r="L26" s="295"/>
      <c r="M26" s="295"/>
    </row>
    <row r="27" spans="2:13" x14ac:dyDescent="0.35">
      <c r="B27" s="302" t="s">
        <v>936</v>
      </c>
      <c r="C27" s="302"/>
      <c r="D27" s="302"/>
      <c r="E27" s="302"/>
      <c r="F27" s="302"/>
      <c r="G27" s="302"/>
      <c r="H27" s="302"/>
      <c r="I27" s="302"/>
      <c r="J27" s="302"/>
      <c r="K27" s="302"/>
      <c r="L27" s="302"/>
      <c r="M27" s="302"/>
    </row>
    <row r="28" spans="2:13" x14ac:dyDescent="0.35">
      <c r="B28" s="296"/>
      <c r="C28" s="296"/>
      <c r="D28" s="296"/>
      <c r="E28" s="296"/>
      <c r="F28" s="296"/>
      <c r="G28" s="296"/>
      <c r="H28" s="296"/>
      <c r="I28" s="296"/>
      <c r="J28" s="296"/>
      <c r="K28" s="296"/>
      <c r="L28" s="296"/>
      <c r="M28" s="296"/>
    </row>
    <row r="29" spans="2:13" ht="40" customHeight="1" x14ac:dyDescent="0.35">
      <c r="B29" s="302" t="s">
        <v>937</v>
      </c>
      <c r="C29" s="302"/>
      <c r="D29" s="302"/>
      <c r="E29" s="302"/>
      <c r="F29" s="302"/>
      <c r="G29" s="302"/>
      <c r="H29" s="302"/>
      <c r="I29" s="302"/>
      <c r="J29" s="302"/>
      <c r="K29" s="302"/>
      <c r="L29" s="302"/>
      <c r="M29" s="302"/>
    </row>
    <row r="30" spans="2:13" x14ac:dyDescent="0.35">
      <c r="B30" s="296"/>
      <c r="C30" s="296"/>
      <c r="D30" s="296"/>
      <c r="E30" s="296"/>
      <c r="F30" s="296"/>
      <c r="G30" s="296"/>
      <c r="H30" s="296"/>
      <c r="I30" s="296"/>
      <c r="J30" s="296"/>
      <c r="K30" s="296"/>
      <c r="L30" s="296"/>
      <c r="M30" s="296"/>
    </row>
    <row r="31" spans="2:13" ht="42.5" customHeight="1" x14ac:dyDescent="0.35">
      <c r="B31" s="302" t="s">
        <v>938</v>
      </c>
      <c r="C31" s="302"/>
      <c r="D31" s="302"/>
      <c r="E31" s="302"/>
      <c r="F31" s="302"/>
      <c r="G31" s="302"/>
      <c r="H31" s="302"/>
      <c r="I31" s="302"/>
      <c r="J31" s="302"/>
      <c r="K31" s="302"/>
      <c r="L31" s="302"/>
      <c r="M31" s="302"/>
    </row>
    <row r="32" spans="2:13" x14ac:dyDescent="0.35">
      <c r="B32" s="232"/>
      <c r="C32" s="232"/>
      <c r="D32" s="232"/>
      <c r="E32" s="232"/>
      <c r="F32" s="232"/>
      <c r="G32" s="232"/>
      <c r="H32" s="232"/>
      <c r="I32" s="232"/>
      <c r="J32" s="232"/>
      <c r="K32" s="232"/>
      <c r="L32" s="232"/>
      <c r="M32" s="232"/>
    </row>
    <row r="33" spans="2:4" x14ac:dyDescent="0.35">
      <c r="B33" s="299"/>
      <c r="C33" s="295"/>
      <c r="D33" s="295"/>
    </row>
    <row r="34" spans="2:4" x14ac:dyDescent="0.35">
      <c r="B34" s="300"/>
      <c r="D34" s="295"/>
    </row>
    <row r="35" spans="2:4" x14ac:dyDescent="0.35">
      <c r="B35" s="301"/>
      <c r="C35" s="295"/>
    </row>
    <row r="36" spans="2:4" x14ac:dyDescent="0.35">
      <c r="B36" s="300"/>
    </row>
  </sheetData>
  <mergeCells count="14">
    <mergeCell ref="B14:M14"/>
    <mergeCell ref="C3:L3"/>
    <mergeCell ref="B4:M4"/>
    <mergeCell ref="B7:M7"/>
    <mergeCell ref="B9:M9"/>
    <mergeCell ref="B10:E10"/>
    <mergeCell ref="B29:M29"/>
    <mergeCell ref="B31:M31"/>
    <mergeCell ref="B17:M17"/>
    <mergeCell ref="B18:M18"/>
    <mergeCell ref="B21:M21"/>
    <mergeCell ref="B23:M23"/>
    <mergeCell ref="B25:M25"/>
    <mergeCell ref="B27:M2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F80"/>
  <sheetViews>
    <sheetView topLeftCell="B1" zoomScale="90" zoomScaleNormal="90" workbookViewId="0">
      <selection activeCell="R5" sqref="R5:T12"/>
    </sheetView>
  </sheetViews>
  <sheetFormatPr defaultColWidth="9.1796875" defaultRowHeight="12.5" x14ac:dyDescent="0.25"/>
  <cols>
    <col min="1" max="7" width="13.7265625" customWidth="1"/>
    <col min="8" max="8" width="15.26953125" customWidth="1"/>
    <col min="9" max="10" width="13.7265625" customWidth="1"/>
    <col min="11" max="11" width="13.81640625" customWidth="1"/>
    <col min="12" max="12" width="15.1796875" customWidth="1"/>
    <col min="13" max="13" width="16" customWidth="1"/>
    <col min="14" max="14" width="14.1796875" customWidth="1"/>
    <col min="15" max="15" width="17.453125" customWidth="1"/>
    <col min="16" max="22" width="13.7265625" customWidth="1"/>
    <col min="23" max="32" width="12.7265625" customWidth="1"/>
    <col min="39" max="39" width="11" customWidth="1"/>
    <col min="40" max="40" width="12.453125" customWidth="1"/>
    <col min="41" max="41" width="10.453125" customWidth="1"/>
    <col min="42" max="42" width="10.7265625" customWidth="1"/>
    <col min="43" max="43" width="12.453125" customWidth="1"/>
    <col min="44" max="44" width="10.453125" customWidth="1"/>
    <col min="45" max="45" width="11.7265625" customWidth="1"/>
    <col min="46" max="46" width="10.453125" customWidth="1"/>
    <col min="49" max="49" width="10.1796875" customWidth="1"/>
  </cols>
  <sheetData>
    <row r="1" spans="1:58" ht="18" customHeight="1" x14ac:dyDescent="0.5">
      <c r="C1" s="271"/>
      <c r="Q1" s="46"/>
      <c r="T1" s="1"/>
      <c r="Z1" s="96"/>
    </row>
    <row r="2" spans="1:58" ht="13" thickBot="1" x14ac:dyDescent="0.3">
      <c r="Q2" s="46"/>
      <c r="T2" s="1"/>
      <c r="Z2" s="96"/>
    </row>
    <row r="3" spans="1:58" ht="13.5" thickTop="1" x14ac:dyDescent="0.3">
      <c r="A3" s="94"/>
      <c r="B3" s="720" t="s">
        <v>286</v>
      </c>
      <c r="C3" s="720"/>
      <c r="D3" s="720"/>
      <c r="E3" s="720"/>
      <c r="F3" s="720"/>
      <c r="G3" s="720"/>
      <c r="H3" s="720"/>
      <c r="I3" s="720"/>
      <c r="J3" s="720"/>
      <c r="K3" s="720"/>
      <c r="L3" s="720"/>
      <c r="M3" s="720"/>
      <c r="N3" s="720"/>
      <c r="O3" s="720"/>
      <c r="P3" s="92"/>
      <c r="Q3" s="68"/>
      <c r="R3" s="68"/>
      <c r="S3" s="68"/>
      <c r="T3" s="68"/>
      <c r="U3" s="68"/>
      <c r="V3" s="68"/>
      <c r="W3" s="68"/>
      <c r="X3" s="68"/>
      <c r="Y3" s="68"/>
      <c r="Z3" s="97"/>
      <c r="AA3" s="97"/>
      <c r="AB3" s="9"/>
      <c r="AC3" s="9"/>
      <c r="AD3" s="9"/>
      <c r="AM3" s="9"/>
      <c r="AW3" s="9"/>
      <c r="AX3" s="9"/>
      <c r="AY3" s="9"/>
      <c r="AZ3" s="9"/>
      <c r="BA3" s="9"/>
      <c r="BB3" s="9"/>
      <c r="BC3" s="9"/>
      <c r="BD3" s="9"/>
      <c r="BE3" s="9"/>
      <c r="BF3" s="9"/>
    </row>
    <row r="4" spans="1:58" ht="13.5" thickBot="1" x14ac:dyDescent="0.35">
      <c r="A4" s="9"/>
      <c r="B4" s="702"/>
      <c r="C4" s="702"/>
      <c r="D4" s="702"/>
      <c r="E4" s="702"/>
      <c r="F4" s="702"/>
      <c r="G4" s="702"/>
      <c r="H4" s="702"/>
      <c r="I4" s="702"/>
      <c r="J4" s="702"/>
      <c r="K4" s="702"/>
      <c r="L4" s="702"/>
      <c r="M4" s="702"/>
      <c r="N4" s="702"/>
      <c r="O4" s="702"/>
      <c r="P4" s="1"/>
      <c r="Q4" s="68"/>
      <c r="R4" s="68"/>
      <c r="S4" s="68"/>
      <c r="T4" s="68"/>
      <c r="U4" s="68"/>
      <c r="V4" s="68"/>
      <c r="W4" s="68"/>
      <c r="X4" s="68"/>
      <c r="Y4" s="68"/>
      <c r="Z4" s="97"/>
      <c r="AA4" s="97"/>
      <c r="AB4" s="1"/>
      <c r="AC4" s="1"/>
      <c r="AD4" s="1"/>
      <c r="AW4" s="9"/>
      <c r="AX4" s="9"/>
      <c r="AY4" s="9"/>
      <c r="AZ4" s="9"/>
      <c r="BA4" s="9"/>
      <c r="BB4" s="9"/>
      <c r="BC4" s="9"/>
      <c r="BD4" s="9"/>
      <c r="BE4" s="9"/>
      <c r="BF4" s="9"/>
    </row>
    <row r="5" spans="1:58" ht="13" x14ac:dyDescent="0.3">
      <c r="B5" s="629" t="s">
        <v>32</v>
      </c>
      <c r="C5" s="582"/>
      <c r="D5" s="65" t="s">
        <v>33</v>
      </c>
      <c r="E5" s="65" t="s">
        <v>34</v>
      </c>
      <c r="F5" s="65" t="s">
        <v>35</v>
      </c>
      <c r="G5" s="65" t="s">
        <v>36</v>
      </c>
      <c r="H5" s="65" t="s">
        <v>37</v>
      </c>
      <c r="I5" s="65" t="s">
        <v>38</v>
      </c>
      <c r="J5" s="65" t="s">
        <v>39</v>
      </c>
      <c r="K5" s="65" t="s">
        <v>40</v>
      </c>
      <c r="L5" s="65" t="s">
        <v>41</v>
      </c>
      <c r="M5" s="65" t="s">
        <v>42</v>
      </c>
      <c r="N5" s="65" t="s">
        <v>43</v>
      </c>
      <c r="O5" s="98" t="s">
        <v>44</v>
      </c>
      <c r="P5" s="15"/>
      <c r="Q5" s="67"/>
      <c r="R5" s="704" t="s">
        <v>910</v>
      </c>
      <c r="S5" s="704"/>
      <c r="T5" s="704"/>
      <c r="U5" s="92"/>
      <c r="V5" s="92"/>
      <c r="W5" s="92"/>
      <c r="X5" s="92"/>
      <c r="Y5" s="92"/>
      <c r="AB5" s="92"/>
      <c r="AC5" s="92"/>
      <c r="AD5" s="92"/>
      <c r="AM5" s="9"/>
      <c r="AN5" s="9"/>
      <c r="AO5" s="9"/>
      <c r="AP5" s="1"/>
      <c r="AQ5" s="9"/>
      <c r="AR5" s="1"/>
      <c r="AS5" s="1"/>
      <c r="AT5" s="1"/>
      <c r="AW5" s="9"/>
      <c r="AX5" s="9"/>
      <c r="AY5" s="9"/>
      <c r="AZ5" s="9"/>
      <c r="BA5" s="9"/>
      <c r="BB5" s="9"/>
      <c r="BC5" s="9"/>
      <c r="BD5" s="9"/>
      <c r="BE5" s="9"/>
      <c r="BF5" s="9"/>
    </row>
    <row r="6" spans="1:58" ht="13" x14ac:dyDescent="0.3">
      <c r="B6" s="357" t="s">
        <v>268</v>
      </c>
      <c r="C6" s="726"/>
      <c r="D6" s="652" t="s">
        <v>119</v>
      </c>
      <c r="E6" s="653"/>
      <c r="F6" s="653"/>
      <c r="G6" s="652" t="s">
        <v>269</v>
      </c>
      <c r="H6" s="591" t="s">
        <v>81</v>
      </c>
      <c r="I6" s="591" t="s">
        <v>287</v>
      </c>
      <c r="J6" s="591" t="s">
        <v>288</v>
      </c>
      <c r="K6" s="591" t="s">
        <v>289</v>
      </c>
      <c r="L6" s="591" t="s">
        <v>290</v>
      </c>
      <c r="M6" s="591" t="s">
        <v>291</v>
      </c>
      <c r="N6" s="591" t="s">
        <v>292</v>
      </c>
      <c r="O6" s="358" t="s">
        <v>293</v>
      </c>
      <c r="Q6" s="97"/>
      <c r="R6" s="704"/>
      <c r="S6" s="704"/>
      <c r="T6" s="704"/>
      <c r="U6" s="92"/>
      <c r="V6" s="92"/>
      <c r="X6" s="9"/>
      <c r="AB6" s="9"/>
      <c r="AC6" s="9"/>
      <c r="AD6" s="9"/>
      <c r="AM6" s="9"/>
      <c r="AN6" s="9"/>
      <c r="AO6" s="1"/>
      <c r="AP6" s="1"/>
      <c r="AQ6" s="1"/>
      <c r="AR6" s="1"/>
      <c r="AS6" s="1"/>
      <c r="AT6" s="1"/>
      <c r="AW6" s="9"/>
      <c r="AX6" s="9"/>
      <c r="AY6" s="9"/>
      <c r="AZ6" s="9"/>
      <c r="BA6" s="9"/>
      <c r="BB6" s="9"/>
      <c r="BC6" s="9"/>
      <c r="BD6" s="9"/>
      <c r="BE6" s="9"/>
      <c r="BF6" s="9"/>
    </row>
    <row r="7" spans="1:58" ht="13" x14ac:dyDescent="0.3">
      <c r="B7" s="677"/>
      <c r="C7" s="676"/>
      <c r="D7" s="653"/>
      <c r="E7" s="653"/>
      <c r="F7" s="653"/>
      <c r="G7" s="652"/>
      <c r="H7" s="655"/>
      <c r="I7" s="591"/>
      <c r="J7" s="591"/>
      <c r="K7" s="591"/>
      <c r="L7" s="591"/>
      <c r="M7" s="591"/>
      <c r="N7" s="591"/>
      <c r="O7" s="358"/>
      <c r="Q7" s="50"/>
      <c r="R7" s="704"/>
      <c r="S7" s="704"/>
      <c r="T7" s="704"/>
      <c r="U7" s="99"/>
      <c r="V7" s="99"/>
      <c r="W7" s="99"/>
      <c r="X7" s="99"/>
      <c r="Y7" s="99"/>
      <c r="Z7" s="99"/>
      <c r="AA7" s="99"/>
      <c r="AB7" s="1"/>
      <c r="AC7" s="9"/>
      <c r="AD7" s="1"/>
      <c r="AM7" s="1"/>
      <c r="AN7" s="1"/>
      <c r="AO7" s="1"/>
      <c r="AP7" s="1"/>
      <c r="AQ7" s="100"/>
      <c r="AR7" s="100"/>
      <c r="AS7" s="100"/>
      <c r="AT7" s="100"/>
      <c r="AW7" s="46"/>
      <c r="AX7" s="53"/>
      <c r="AY7" s="53"/>
      <c r="AZ7" s="53"/>
      <c r="BA7" s="53"/>
      <c r="BB7" s="53"/>
      <c r="BC7" s="53"/>
      <c r="BD7" s="53"/>
      <c r="BE7" s="53"/>
      <c r="BF7" s="53"/>
    </row>
    <row r="8" spans="1:58" x14ac:dyDescent="0.25">
      <c r="B8" s="677"/>
      <c r="C8" s="676"/>
      <c r="D8" s="623" t="s">
        <v>271</v>
      </c>
      <c r="E8" s="623" t="s">
        <v>294</v>
      </c>
      <c r="F8" s="623" t="s">
        <v>272</v>
      </c>
      <c r="G8" s="652"/>
      <c r="H8" s="655"/>
      <c r="I8" s="623" t="s">
        <v>295</v>
      </c>
      <c r="J8" s="623" t="s">
        <v>296</v>
      </c>
      <c r="K8" s="657" t="s">
        <v>297</v>
      </c>
      <c r="L8" s="657" t="s">
        <v>298</v>
      </c>
      <c r="M8" s="657" t="s">
        <v>299</v>
      </c>
      <c r="N8" s="657" t="s">
        <v>300</v>
      </c>
      <c r="O8" s="658" t="s">
        <v>301</v>
      </c>
      <c r="P8" s="101"/>
      <c r="R8" s="704"/>
      <c r="S8" s="704"/>
      <c r="T8" s="704"/>
      <c r="U8" s="60"/>
      <c r="V8" s="60"/>
      <c r="W8" s="60"/>
      <c r="X8" s="60"/>
      <c r="Y8" s="60"/>
      <c r="Z8" s="60"/>
      <c r="AA8" s="60"/>
      <c r="AB8" s="1"/>
      <c r="AC8" s="1"/>
      <c r="AD8" s="1"/>
      <c r="AM8" s="1"/>
      <c r="AN8" s="1"/>
      <c r="AO8" s="1"/>
      <c r="AP8" s="1"/>
      <c r="AQ8" s="102"/>
      <c r="AR8" s="102"/>
      <c r="AS8" s="102"/>
      <c r="AT8" s="102"/>
      <c r="AW8" s="46"/>
      <c r="AX8" s="53"/>
      <c r="AY8" s="53"/>
      <c r="AZ8" s="53"/>
      <c r="BA8" s="53"/>
      <c r="BB8" s="53"/>
      <c r="BC8" s="53"/>
      <c r="BD8" s="53"/>
      <c r="BE8" s="53"/>
      <c r="BF8" s="53"/>
    </row>
    <row r="9" spans="1:58" ht="19.5" customHeight="1" thickBot="1" x14ac:dyDescent="0.35">
      <c r="A9" s="9"/>
      <c r="B9" s="727"/>
      <c r="C9" s="728"/>
      <c r="D9" s="723"/>
      <c r="E9" s="723"/>
      <c r="F9" s="723"/>
      <c r="G9" s="729"/>
      <c r="H9" s="725"/>
      <c r="I9" s="724"/>
      <c r="J9" s="724"/>
      <c r="K9" s="725"/>
      <c r="L9" s="725"/>
      <c r="M9" s="725"/>
      <c r="N9" s="725"/>
      <c r="O9" s="659"/>
      <c r="P9" s="15"/>
      <c r="Q9" s="89"/>
      <c r="R9" s="704"/>
      <c r="S9" s="704"/>
      <c r="T9" s="704"/>
      <c r="U9" s="90"/>
      <c r="V9" s="90"/>
      <c r="W9" s="59"/>
      <c r="X9" s="59"/>
      <c r="Y9" s="59"/>
      <c r="Z9" s="59"/>
      <c r="AA9" s="59"/>
      <c r="AM9" s="50"/>
      <c r="AN9" s="1"/>
      <c r="AO9" s="103"/>
      <c r="AP9" s="1"/>
      <c r="AQ9" s="104"/>
      <c r="AR9" s="104"/>
      <c r="AS9" s="105"/>
      <c r="AT9" s="105"/>
      <c r="AW9" s="46"/>
      <c r="AX9" s="53"/>
      <c r="AY9" s="53"/>
      <c r="AZ9" s="53"/>
      <c r="BA9" s="53"/>
      <c r="BB9" s="53"/>
      <c r="BC9" s="53"/>
      <c r="BD9" s="53"/>
      <c r="BE9" s="53"/>
      <c r="BF9" s="53"/>
    </row>
    <row r="10" spans="1:58" ht="13" x14ac:dyDescent="0.3">
      <c r="A10" s="46"/>
      <c r="B10" s="690" t="s">
        <v>275</v>
      </c>
      <c r="C10" s="690"/>
      <c r="D10" s="690"/>
      <c r="E10" s="690"/>
      <c r="F10" s="690"/>
      <c r="G10" s="690"/>
      <c r="H10" s="690"/>
      <c r="I10" s="690"/>
      <c r="J10" s="690"/>
      <c r="K10" s="690"/>
      <c r="L10" s="690"/>
      <c r="M10" s="690"/>
      <c r="N10" s="690"/>
      <c r="O10" s="690"/>
      <c r="P10" s="96"/>
      <c r="Q10" s="89"/>
      <c r="R10" s="704"/>
      <c r="S10" s="704"/>
      <c r="T10" s="704"/>
      <c r="U10" s="59"/>
      <c r="V10" s="59"/>
      <c r="W10" s="59"/>
      <c r="X10" s="59"/>
      <c r="Y10" s="59"/>
      <c r="Z10" s="59"/>
      <c r="AA10" s="59"/>
      <c r="AB10" s="8"/>
      <c r="AC10" s="8"/>
      <c r="AD10" s="8"/>
      <c r="AM10" s="1"/>
      <c r="AN10" s="1"/>
      <c r="AO10" s="1"/>
      <c r="AP10" s="1"/>
      <c r="AQ10" s="104"/>
      <c r="AR10" s="104"/>
      <c r="AS10" s="104"/>
      <c r="AT10" s="104"/>
      <c r="AW10" s="46"/>
      <c r="AX10" s="53"/>
      <c r="AY10" s="53"/>
      <c r="AZ10" s="53"/>
      <c r="BA10" s="53"/>
      <c r="BB10" s="53"/>
      <c r="BC10" s="53"/>
      <c r="BD10" s="53"/>
      <c r="BE10" s="53"/>
      <c r="BF10" s="53"/>
    </row>
    <row r="11" spans="1:58" x14ac:dyDescent="0.25">
      <c r="A11" s="46"/>
      <c r="B11" s="656" t="s">
        <v>387</v>
      </c>
      <c r="C11" s="584"/>
      <c r="D11" s="255">
        <f t="shared" ref="D11:D18" ca="1" si="0">IFERROR(INDIRECT(B11 &amp; "!" &amp; "$L$49"),0)</f>
        <v>4.0075988670500111</v>
      </c>
      <c r="E11" s="255">
        <f t="shared" ref="E11:E18" ca="1" si="1">IFERROR(INDIRECT(B11 &amp; "!" &amp; "$L$50"),0)</f>
        <v>1.2864392363230537</v>
      </c>
      <c r="F11" s="255">
        <f t="shared" ref="F11:F18" ca="1" si="2">IFERROR(INDIRECT(B11 &amp; "!" &amp; "$L$51"),0)</f>
        <v>2.7211596307269579</v>
      </c>
      <c r="G11" s="95" t="s">
        <v>29</v>
      </c>
      <c r="H11" s="7">
        <f ca="1">IFERROR(INDIRECT(B11 &amp; "!" &amp; "$D$49"),0)</f>
        <v>0.23599999999999999</v>
      </c>
      <c r="I11" s="106">
        <f ca="1">+H11*D11*D11</f>
        <v>3.7903602882866054</v>
      </c>
      <c r="J11" s="106">
        <f ca="1">SQRT(H11*D11)</f>
        <v>0.97251906542946631</v>
      </c>
      <c r="K11" s="95" t="s">
        <v>29</v>
      </c>
      <c r="L11" s="95" t="s">
        <v>29</v>
      </c>
      <c r="M11" s="95" t="s">
        <v>29</v>
      </c>
      <c r="N11" s="95" t="s">
        <v>29</v>
      </c>
      <c r="O11" s="120" t="s">
        <v>29</v>
      </c>
      <c r="P11" s="96"/>
      <c r="Q11" s="89"/>
      <c r="R11" s="704"/>
      <c r="S11" s="704"/>
      <c r="T11" s="704"/>
      <c r="U11" s="59"/>
      <c r="V11" s="59"/>
      <c r="W11" s="59"/>
      <c r="X11" s="59"/>
      <c r="Y11" s="59"/>
      <c r="Z11" s="59"/>
      <c r="AA11" s="59"/>
      <c r="AB11" s="8"/>
      <c r="AC11" s="8"/>
      <c r="AD11" s="8"/>
      <c r="AM11" s="107"/>
      <c r="AN11" s="108"/>
      <c r="AO11" s="103"/>
      <c r="AP11" s="1"/>
      <c r="AQ11" s="104"/>
      <c r="AR11" s="104"/>
      <c r="AS11" s="105"/>
      <c r="AT11" s="105"/>
      <c r="AW11" s="85"/>
    </row>
    <row r="12" spans="1:58" x14ac:dyDescent="0.25">
      <c r="A12" s="46"/>
      <c r="B12" s="656" t="s">
        <v>388</v>
      </c>
      <c r="C12" s="584"/>
      <c r="D12" s="7">
        <f t="shared" ca="1" si="0"/>
        <v>0</v>
      </c>
      <c r="E12" s="7">
        <f t="shared" ca="1" si="1"/>
        <v>0</v>
      </c>
      <c r="F12" s="7">
        <f t="shared" ca="1" si="2"/>
        <v>0</v>
      </c>
      <c r="G12" s="95" t="s">
        <v>29</v>
      </c>
      <c r="H12" s="7">
        <f t="shared" ref="H12:H18" ca="1" si="3">IFERROR(INDIRECT(B12 &amp; "!" &amp; "$D$49"),0)</f>
        <v>0</v>
      </c>
      <c r="I12" s="106">
        <f ca="1">+H12*D12*D12</f>
        <v>0</v>
      </c>
      <c r="J12" s="106">
        <f ca="1">SQRT(H12*D12)</f>
        <v>0</v>
      </c>
      <c r="K12" s="95" t="s">
        <v>29</v>
      </c>
      <c r="L12" s="95" t="s">
        <v>29</v>
      </c>
      <c r="M12" s="95" t="s">
        <v>29</v>
      </c>
      <c r="N12" s="95" t="s">
        <v>29</v>
      </c>
      <c r="O12" s="120" t="s">
        <v>29</v>
      </c>
      <c r="P12" s="96"/>
      <c r="Q12" s="89"/>
      <c r="R12" s="704"/>
      <c r="S12" s="704"/>
      <c r="T12" s="704"/>
      <c r="U12" s="59"/>
      <c r="V12" s="59"/>
      <c r="W12" s="59"/>
      <c r="X12" s="59"/>
      <c r="Y12" s="59"/>
      <c r="Z12" s="59"/>
      <c r="AA12" s="59"/>
      <c r="AB12" s="8"/>
      <c r="AC12" s="8"/>
      <c r="AD12" s="8"/>
      <c r="AM12" s="108"/>
      <c r="AN12" s="108"/>
      <c r="AO12" s="1"/>
      <c r="AP12" s="1"/>
      <c r="AQ12" s="104"/>
      <c r="AR12" s="104"/>
      <c r="AS12" s="104"/>
      <c r="AT12" s="104"/>
    </row>
    <row r="13" spans="1:58" x14ac:dyDescent="0.25">
      <c r="A13" s="46"/>
      <c r="B13" s="656" t="s">
        <v>389</v>
      </c>
      <c r="C13" s="584"/>
      <c r="D13" s="7">
        <f t="shared" ca="1" si="0"/>
        <v>0</v>
      </c>
      <c r="E13" s="7">
        <f t="shared" ca="1" si="1"/>
        <v>0</v>
      </c>
      <c r="F13" s="7">
        <f t="shared" ca="1" si="2"/>
        <v>0</v>
      </c>
      <c r="G13" s="95" t="s">
        <v>29</v>
      </c>
      <c r="H13" s="7">
        <f t="shared" ca="1" si="3"/>
        <v>0</v>
      </c>
      <c r="I13" s="106">
        <f t="shared" ref="I13:I18" ca="1" si="4">+H13*D13*D13</f>
        <v>0</v>
      </c>
      <c r="J13" s="7">
        <f t="shared" ref="J13:J18" ca="1" si="5">SQRT(H13*D13)</f>
        <v>0</v>
      </c>
      <c r="K13" s="95" t="s">
        <v>29</v>
      </c>
      <c r="L13" s="95" t="s">
        <v>29</v>
      </c>
      <c r="M13" s="95" t="s">
        <v>29</v>
      </c>
      <c r="N13" s="95" t="s">
        <v>29</v>
      </c>
      <c r="O13" s="120" t="s">
        <v>29</v>
      </c>
      <c r="P13" s="96"/>
      <c r="Q13" s="89"/>
      <c r="R13" s="89"/>
      <c r="S13" s="89"/>
      <c r="T13" s="59"/>
      <c r="U13" s="59"/>
      <c r="V13" s="59"/>
      <c r="W13" s="59"/>
      <c r="X13" s="59"/>
      <c r="Y13" s="59"/>
      <c r="Z13" s="59"/>
      <c r="AA13" s="59"/>
      <c r="AB13" s="8"/>
      <c r="AC13" s="8"/>
      <c r="AD13" s="8"/>
      <c r="AM13" s="108"/>
      <c r="AN13" s="108"/>
      <c r="AO13" s="103"/>
      <c r="AP13" s="53"/>
      <c r="AQ13" s="53"/>
      <c r="AR13" s="53"/>
      <c r="AS13" s="53"/>
      <c r="AT13" s="53"/>
    </row>
    <row r="14" spans="1:58" x14ac:dyDescent="0.25">
      <c r="A14" s="46"/>
      <c r="B14" s="656" t="s">
        <v>390</v>
      </c>
      <c r="C14" s="584"/>
      <c r="D14" s="7">
        <f t="shared" ca="1" si="0"/>
        <v>0</v>
      </c>
      <c r="E14" s="7">
        <f t="shared" ca="1" si="1"/>
        <v>0</v>
      </c>
      <c r="F14" s="7">
        <f t="shared" ca="1" si="2"/>
        <v>0</v>
      </c>
      <c r="G14" s="95" t="s">
        <v>29</v>
      </c>
      <c r="H14" s="7">
        <f t="shared" ca="1" si="3"/>
        <v>0</v>
      </c>
      <c r="I14" s="106">
        <f t="shared" ca="1" si="4"/>
        <v>0</v>
      </c>
      <c r="J14" s="7">
        <f t="shared" ca="1" si="5"/>
        <v>0</v>
      </c>
      <c r="K14" s="95" t="s">
        <v>29</v>
      </c>
      <c r="L14" s="95" t="s">
        <v>29</v>
      </c>
      <c r="M14" s="95" t="s">
        <v>29</v>
      </c>
      <c r="N14" s="95" t="s">
        <v>29</v>
      </c>
      <c r="O14" s="120" t="s">
        <v>29</v>
      </c>
      <c r="P14" s="96"/>
      <c r="Q14" s="89"/>
      <c r="R14" s="89"/>
      <c r="S14" s="89"/>
      <c r="T14" s="59"/>
      <c r="U14" s="59"/>
      <c r="V14" s="59"/>
      <c r="W14" s="59"/>
      <c r="X14" s="59"/>
      <c r="Y14" s="59"/>
      <c r="Z14" s="59"/>
      <c r="AA14" s="59"/>
      <c r="AB14" s="8"/>
      <c r="AC14" s="8"/>
      <c r="AD14" s="8"/>
      <c r="AM14" s="71"/>
      <c r="AN14" s="71"/>
      <c r="AO14" s="41"/>
      <c r="AP14" s="41"/>
      <c r="AQ14" s="41"/>
      <c r="AR14" s="41"/>
      <c r="AS14" s="41"/>
      <c r="AT14" s="41"/>
    </row>
    <row r="15" spans="1:58" x14ac:dyDescent="0.25">
      <c r="A15" s="46"/>
      <c r="B15" s="656" t="s">
        <v>391</v>
      </c>
      <c r="C15" s="584"/>
      <c r="D15" s="7">
        <f t="shared" ca="1" si="0"/>
        <v>0</v>
      </c>
      <c r="E15" s="7">
        <f t="shared" ca="1" si="1"/>
        <v>0</v>
      </c>
      <c r="F15" s="7">
        <f t="shared" ca="1" si="2"/>
        <v>0</v>
      </c>
      <c r="G15" s="95" t="s">
        <v>29</v>
      </c>
      <c r="H15" s="7">
        <f t="shared" ca="1" si="3"/>
        <v>0</v>
      </c>
      <c r="I15" s="106">
        <f t="shared" ca="1" si="4"/>
        <v>0</v>
      </c>
      <c r="J15" s="7">
        <f t="shared" ca="1" si="5"/>
        <v>0</v>
      </c>
      <c r="K15" s="95" t="s">
        <v>29</v>
      </c>
      <c r="L15" s="95" t="s">
        <v>29</v>
      </c>
      <c r="M15" s="95" t="s">
        <v>29</v>
      </c>
      <c r="N15" s="95" t="s">
        <v>29</v>
      </c>
      <c r="O15" s="120" t="s">
        <v>29</v>
      </c>
      <c r="P15" s="96"/>
      <c r="Q15" s="46"/>
      <c r="T15" s="59"/>
      <c r="U15" s="59"/>
      <c r="V15" s="59"/>
      <c r="W15" s="59"/>
      <c r="X15" s="59"/>
      <c r="Y15" s="59"/>
      <c r="Z15" s="59"/>
      <c r="AA15" s="59"/>
      <c r="AB15" s="8"/>
      <c r="AC15" s="8"/>
      <c r="AD15" s="8"/>
      <c r="AM15" s="41"/>
      <c r="AN15" s="41"/>
      <c r="AO15" s="41"/>
      <c r="AP15" s="41"/>
      <c r="AQ15" s="41"/>
      <c r="AR15" s="41"/>
      <c r="AS15" s="41"/>
      <c r="AT15" s="41"/>
      <c r="AW15" s="46"/>
      <c r="BA15" s="53"/>
    </row>
    <row r="16" spans="1:58" x14ac:dyDescent="0.25">
      <c r="A16" s="46"/>
      <c r="B16" s="656" t="s">
        <v>392</v>
      </c>
      <c r="C16" s="584"/>
      <c r="D16" s="7">
        <f t="shared" ca="1" si="0"/>
        <v>0</v>
      </c>
      <c r="E16" s="7">
        <f t="shared" ca="1" si="1"/>
        <v>0</v>
      </c>
      <c r="F16" s="7">
        <f t="shared" ca="1" si="2"/>
        <v>0</v>
      </c>
      <c r="G16" s="95" t="s">
        <v>29</v>
      </c>
      <c r="H16" s="7">
        <f t="shared" ca="1" si="3"/>
        <v>0</v>
      </c>
      <c r="I16" s="106">
        <f t="shared" ca="1" si="4"/>
        <v>0</v>
      </c>
      <c r="J16" s="7">
        <f t="shared" ca="1" si="5"/>
        <v>0</v>
      </c>
      <c r="K16" s="95" t="s">
        <v>29</v>
      </c>
      <c r="L16" s="95" t="s">
        <v>29</v>
      </c>
      <c r="M16" s="95" t="s">
        <v>29</v>
      </c>
      <c r="N16" s="95" t="s">
        <v>29</v>
      </c>
      <c r="O16" s="120" t="s">
        <v>29</v>
      </c>
      <c r="P16" s="96"/>
      <c r="Q16" s="91"/>
      <c r="R16" s="69"/>
      <c r="S16" s="69"/>
      <c r="T16" s="69"/>
      <c r="U16" s="69"/>
      <c r="V16" s="69"/>
      <c r="W16" s="69"/>
      <c r="X16" s="69"/>
      <c r="Y16" s="69"/>
      <c r="Z16" s="69"/>
      <c r="AA16" s="69"/>
      <c r="AB16" s="8"/>
      <c r="AC16" s="8"/>
      <c r="AD16" s="8"/>
      <c r="AM16" s="41"/>
      <c r="AN16" s="71"/>
      <c r="AO16" s="41"/>
      <c r="AP16" s="41"/>
      <c r="AQ16" s="41"/>
      <c r="AR16" s="41"/>
      <c r="AS16" s="41"/>
      <c r="AT16" s="41"/>
    </row>
    <row r="17" spans="1:53" x14ac:dyDescent="0.25">
      <c r="A17" s="46"/>
      <c r="B17" s="656" t="s">
        <v>393</v>
      </c>
      <c r="C17" s="584"/>
      <c r="D17" s="7">
        <f t="shared" ca="1" si="0"/>
        <v>0</v>
      </c>
      <c r="E17" s="7">
        <f t="shared" ca="1" si="1"/>
        <v>0</v>
      </c>
      <c r="F17" s="7">
        <f t="shared" ca="1" si="2"/>
        <v>0</v>
      </c>
      <c r="G17" s="95" t="s">
        <v>29</v>
      </c>
      <c r="H17" s="7">
        <f t="shared" ca="1" si="3"/>
        <v>0</v>
      </c>
      <c r="I17" s="106">
        <f t="shared" ca="1" si="4"/>
        <v>0</v>
      </c>
      <c r="J17" s="7">
        <f t="shared" ca="1" si="5"/>
        <v>0</v>
      </c>
      <c r="K17" s="95"/>
      <c r="L17" s="95"/>
      <c r="M17" s="95"/>
      <c r="N17" s="95"/>
      <c r="O17" s="120"/>
      <c r="P17" s="96"/>
      <c r="Q17" s="91"/>
      <c r="R17" s="69"/>
      <c r="S17" s="69"/>
      <c r="T17" s="69"/>
      <c r="U17" s="69"/>
      <c r="V17" s="69"/>
      <c r="W17" s="69"/>
      <c r="X17" s="69"/>
      <c r="Y17" s="69"/>
      <c r="Z17" s="69"/>
      <c r="AA17" s="69"/>
      <c r="AB17" s="8"/>
      <c r="AC17" s="8"/>
      <c r="AD17" s="8"/>
      <c r="AM17" s="41"/>
      <c r="AN17" s="71"/>
      <c r="AO17" s="41"/>
      <c r="AP17" s="41"/>
      <c r="AQ17" s="41"/>
      <c r="AR17" s="41"/>
      <c r="AS17" s="41"/>
      <c r="AT17" s="41"/>
    </row>
    <row r="18" spans="1:53" ht="13.5" thickBot="1" x14ac:dyDescent="0.35">
      <c r="A18" s="46"/>
      <c r="B18" s="656" t="s">
        <v>394</v>
      </c>
      <c r="C18" s="584"/>
      <c r="D18" s="7">
        <f t="shared" ca="1" si="0"/>
        <v>0</v>
      </c>
      <c r="E18" s="7">
        <f t="shared" ca="1" si="1"/>
        <v>0</v>
      </c>
      <c r="F18" s="7">
        <f t="shared" ca="1" si="2"/>
        <v>0</v>
      </c>
      <c r="G18" s="95" t="s">
        <v>29</v>
      </c>
      <c r="H18" s="7">
        <f t="shared" ca="1" si="3"/>
        <v>0</v>
      </c>
      <c r="I18" s="106">
        <f t="shared" ca="1" si="4"/>
        <v>0</v>
      </c>
      <c r="J18" s="7">
        <f t="shared" ca="1" si="5"/>
        <v>0</v>
      </c>
      <c r="K18" s="95" t="s">
        <v>29</v>
      </c>
      <c r="L18" s="95" t="s">
        <v>29</v>
      </c>
      <c r="M18" s="95" t="s">
        <v>29</v>
      </c>
      <c r="N18" s="95" t="s">
        <v>29</v>
      </c>
      <c r="O18" s="120" t="s">
        <v>29</v>
      </c>
      <c r="P18" s="16"/>
      <c r="Q18" s="1"/>
      <c r="R18" s="1"/>
      <c r="S18" s="1"/>
      <c r="T18" s="1"/>
      <c r="U18" s="1"/>
      <c r="V18" s="1"/>
      <c r="W18" s="1"/>
      <c r="X18" s="1"/>
      <c r="Y18" s="1"/>
      <c r="Z18" s="1"/>
      <c r="AA18" s="1"/>
      <c r="AB18" s="8"/>
      <c r="AC18" s="8"/>
      <c r="AD18" s="8"/>
      <c r="AM18" s="41"/>
      <c r="AN18" s="41"/>
      <c r="AO18" s="41"/>
      <c r="AP18" s="41"/>
      <c r="AQ18" s="41"/>
      <c r="AR18" s="41"/>
      <c r="AS18" s="41"/>
      <c r="AT18" s="41"/>
      <c r="AW18" s="46"/>
      <c r="BA18" s="53"/>
    </row>
    <row r="19" spans="1:53" ht="13.5" thickBot="1" x14ac:dyDescent="0.3">
      <c r="B19" s="706" t="s">
        <v>375</v>
      </c>
      <c r="C19" s="707"/>
      <c r="D19" s="172">
        <f ca="1">SUM(D11:D18)</f>
        <v>4.0075988670500111</v>
      </c>
      <c r="E19" s="164">
        <f ca="1">SUM(E11:E18)</f>
        <v>1.2864392363230537</v>
      </c>
      <c r="F19" s="164">
        <f ca="1">SUM(F11:F18)</f>
        <v>2.7211596307269579</v>
      </c>
      <c r="G19" s="165"/>
      <c r="H19" s="164"/>
      <c r="I19" s="171"/>
      <c r="J19" s="166"/>
      <c r="K19" s="165"/>
      <c r="L19" s="165"/>
      <c r="M19" s="165"/>
      <c r="N19" s="165"/>
      <c r="O19" s="167"/>
      <c r="P19" s="14"/>
      <c r="Q19" s="68"/>
      <c r="R19" s="68"/>
      <c r="S19" s="68"/>
      <c r="T19" s="68"/>
      <c r="U19" s="68"/>
      <c r="V19" s="68"/>
      <c r="W19" s="68"/>
      <c r="X19" s="68"/>
      <c r="Y19" s="68"/>
      <c r="Z19" s="97"/>
      <c r="AA19" s="97"/>
      <c r="AB19" s="8"/>
      <c r="AC19" s="8"/>
      <c r="AD19" s="8"/>
    </row>
    <row r="20" spans="1:53" ht="13" x14ac:dyDescent="0.3">
      <c r="B20" s="690" t="s">
        <v>276</v>
      </c>
      <c r="C20" s="690"/>
      <c r="D20" s="690"/>
      <c r="E20" s="690"/>
      <c r="F20" s="690"/>
      <c r="G20" s="690"/>
      <c r="H20" s="690"/>
      <c r="I20" s="690"/>
      <c r="J20" s="690"/>
      <c r="K20" s="690"/>
      <c r="L20" s="690"/>
      <c r="M20" s="690"/>
      <c r="N20" s="690"/>
      <c r="O20" s="690"/>
      <c r="P20" s="92"/>
      <c r="Q20" s="68"/>
      <c r="R20" s="68"/>
      <c r="S20" s="68"/>
      <c r="T20" s="68"/>
      <c r="U20" s="68"/>
      <c r="V20" s="68"/>
      <c r="W20" s="68"/>
      <c r="X20" s="68"/>
      <c r="Y20" s="68"/>
      <c r="Z20" s="97"/>
      <c r="AA20" s="97"/>
      <c r="AB20" s="1"/>
      <c r="AC20" s="1"/>
      <c r="AD20" s="1"/>
      <c r="AE20" s="1"/>
      <c r="AF20" s="1"/>
      <c r="AG20" s="1"/>
      <c r="AH20" s="1"/>
      <c r="AI20" s="1"/>
      <c r="AJ20" s="1"/>
      <c r="AM20" s="9"/>
      <c r="AN20" s="9"/>
      <c r="AO20" s="9"/>
      <c r="AP20" s="9"/>
      <c r="AQ20" s="9"/>
      <c r="AR20" s="1"/>
      <c r="AS20" s="1"/>
      <c r="AT20" s="1"/>
    </row>
    <row r="21" spans="1:53" ht="13" x14ac:dyDescent="0.3">
      <c r="A21" s="84"/>
      <c r="B21" s="656" t="s">
        <v>395</v>
      </c>
      <c r="C21" s="584"/>
      <c r="D21" s="255">
        <f t="shared" ref="D21:D28" ca="1" si="6">IFERROR(INDIRECT(B21 &amp; "!" &amp; "$L$33"),0)</f>
        <v>16.249249721178604</v>
      </c>
      <c r="E21" s="255">
        <f t="shared" ref="E21:E28" ca="1" si="7">IFERROR(INDIRECT(B21 &amp; "!" &amp; "$L$34"),0)</f>
        <v>5.524744905200726</v>
      </c>
      <c r="F21" s="258">
        <f t="shared" ref="F21:F28" ca="1" si="8">IFERROR(INDIRECT(B21 &amp; "!" &amp; "$L$35"),0)</f>
        <v>10.724504815977879</v>
      </c>
      <c r="G21" s="95" t="s">
        <v>29</v>
      </c>
      <c r="H21" s="7">
        <f ca="1">IFERROR(INDIRECT(B21 &amp; "!" &amp; "$E$33"),0)</f>
        <v>0.11</v>
      </c>
      <c r="I21" s="7">
        <f ca="1">H21*D21*D21</f>
        <v>29.044192815134526</v>
      </c>
      <c r="J21" s="109">
        <f ca="1">SQRT(H21*D21)</f>
        <v>1.3369433306350895</v>
      </c>
      <c r="K21" s="95" t="s">
        <v>29</v>
      </c>
      <c r="L21" s="95" t="s">
        <v>29</v>
      </c>
      <c r="M21" s="95" t="s">
        <v>29</v>
      </c>
      <c r="N21" s="95" t="s">
        <v>29</v>
      </c>
      <c r="O21" s="120" t="s">
        <v>29</v>
      </c>
      <c r="P21" s="15"/>
      <c r="Q21" s="97"/>
      <c r="R21" s="97"/>
      <c r="S21" s="97"/>
      <c r="T21" s="9"/>
      <c r="U21" s="1"/>
      <c r="V21" s="9"/>
      <c r="X21" s="9"/>
      <c r="Y21" s="1"/>
      <c r="Z21" s="9"/>
      <c r="AB21" s="92"/>
      <c r="AC21" s="92"/>
      <c r="AD21" s="92"/>
      <c r="AE21" s="92"/>
      <c r="AF21" s="92"/>
      <c r="AG21" s="92"/>
      <c r="AH21" s="92"/>
      <c r="AI21" s="92"/>
      <c r="AJ21" s="92"/>
      <c r="AM21" s="9"/>
      <c r="AN21" s="9"/>
      <c r="AO21" s="9"/>
      <c r="AP21" s="1"/>
      <c r="AQ21" s="9"/>
      <c r="AR21" s="1"/>
      <c r="AS21" s="1"/>
      <c r="AT21" s="1"/>
    </row>
    <row r="22" spans="1:53" ht="13" x14ac:dyDescent="0.3">
      <c r="A22" s="110"/>
      <c r="B22" s="601" t="s">
        <v>396</v>
      </c>
      <c r="C22" s="584"/>
      <c r="D22" s="7">
        <f t="shared" ca="1" si="6"/>
        <v>0</v>
      </c>
      <c r="E22" s="7">
        <f t="shared" ca="1" si="7"/>
        <v>0</v>
      </c>
      <c r="F22" s="109">
        <f t="shared" ca="1" si="8"/>
        <v>0</v>
      </c>
      <c r="G22" s="95" t="s">
        <v>29</v>
      </c>
      <c r="H22" s="7">
        <f t="shared" ref="H22:H28" ca="1" si="9">IFERROR(INDIRECT(B22 &amp; "!" &amp; "$E$33"),0)</f>
        <v>0</v>
      </c>
      <c r="I22" s="7">
        <f t="shared" ref="I22:I28" ca="1" si="10">H22*D22*D22</f>
        <v>0</v>
      </c>
      <c r="J22" s="109">
        <f t="shared" ref="J22:J28" ca="1" si="11">SQRT(H22*D22)</f>
        <v>0</v>
      </c>
      <c r="K22" s="95" t="s">
        <v>29</v>
      </c>
      <c r="L22" s="95" t="s">
        <v>29</v>
      </c>
      <c r="M22" s="95" t="s">
        <v>29</v>
      </c>
      <c r="N22" s="95" t="s">
        <v>29</v>
      </c>
      <c r="O22" s="120" t="s">
        <v>29</v>
      </c>
      <c r="Q22" s="50"/>
      <c r="R22" s="1"/>
      <c r="S22" s="1"/>
      <c r="T22" s="1"/>
      <c r="U22" s="1"/>
      <c r="X22" s="1"/>
      <c r="Y22" s="1"/>
      <c r="AB22" s="68"/>
      <c r="AC22" s="68"/>
      <c r="AD22" s="68"/>
      <c r="AE22" s="68"/>
      <c r="AF22" s="68"/>
      <c r="AG22" s="68"/>
      <c r="AH22" s="68"/>
      <c r="AI22" s="68"/>
      <c r="AJ22" s="68"/>
      <c r="AM22" s="9"/>
      <c r="AN22" s="9"/>
      <c r="AO22" s="1"/>
      <c r="AP22" s="1"/>
      <c r="AQ22" s="1"/>
      <c r="AR22" s="1"/>
      <c r="AS22" s="1"/>
      <c r="AT22" s="1"/>
    </row>
    <row r="23" spans="1:53" ht="13" x14ac:dyDescent="0.25">
      <c r="A23" s="97"/>
      <c r="B23" s="656" t="s">
        <v>397</v>
      </c>
      <c r="C23" s="584"/>
      <c r="D23" s="7">
        <f t="shared" ca="1" si="6"/>
        <v>0</v>
      </c>
      <c r="E23" s="7">
        <f t="shared" ca="1" si="7"/>
        <v>0</v>
      </c>
      <c r="F23" s="109">
        <f t="shared" ca="1" si="8"/>
        <v>0</v>
      </c>
      <c r="G23" s="95" t="s">
        <v>29</v>
      </c>
      <c r="H23" s="7">
        <f t="shared" ca="1" si="9"/>
        <v>0</v>
      </c>
      <c r="I23" s="7">
        <f t="shared" ca="1" si="10"/>
        <v>0</v>
      </c>
      <c r="J23" s="109">
        <f t="shared" ca="1" si="11"/>
        <v>0</v>
      </c>
      <c r="K23" s="95" t="s">
        <v>29</v>
      </c>
      <c r="L23" s="95" t="s">
        <v>29</v>
      </c>
      <c r="M23" s="95" t="s">
        <v>29</v>
      </c>
      <c r="N23" s="95" t="s">
        <v>29</v>
      </c>
      <c r="O23" s="120" t="s">
        <v>29</v>
      </c>
      <c r="Q23" s="97"/>
      <c r="AB23" s="68"/>
      <c r="AC23" s="68"/>
      <c r="AD23" s="68"/>
      <c r="AE23" s="68"/>
      <c r="AF23" s="68"/>
      <c r="AG23" s="68"/>
      <c r="AH23" s="68"/>
      <c r="AI23" s="68"/>
      <c r="AJ23" s="68"/>
      <c r="AM23" s="1"/>
      <c r="AN23" s="1"/>
      <c r="AO23" s="1"/>
      <c r="AP23" s="1"/>
      <c r="AQ23" s="100"/>
      <c r="AR23" s="100"/>
      <c r="AS23" s="100"/>
      <c r="AT23" s="100"/>
    </row>
    <row r="24" spans="1:53" ht="13" x14ac:dyDescent="0.25">
      <c r="A24" s="97"/>
      <c r="B24" s="601" t="s">
        <v>398</v>
      </c>
      <c r="C24" s="584"/>
      <c r="D24" s="7">
        <f t="shared" ca="1" si="6"/>
        <v>0</v>
      </c>
      <c r="E24" s="7">
        <f t="shared" ca="1" si="7"/>
        <v>0</v>
      </c>
      <c r="F24" s="109">
        <f t="shared" ca="1" si="8"/>
        <v>0</v>
      </c>
      <c r="G24" s="95" t="s">
        <v>29</v>
      </c>
      <c r="H24" s="7">
        <f t="shared" ca="1" si="9"/>
        <v>0</v>
      </c>
      <c r="I24" s="7">
        <f t="shared" ca="1" si="10"/>
        <v>0</v>
      </c>
      <c r="J24" s="109">
        <f t="shared" ca="1" si="11"/>
        <v>0</v>
      </c>
      <c r="K24" s="95" t="s">
        <v>29</v>
      </c>
      <c r="L24" s="95" t="s">
        <v>29</v>
      </c>
      <c r="M24" s="95" t="s">
        <v>29</v>
      </c>
      <c r="N24" s="95" t="s">
        <v>29</v>
      </c>
      <c r="O24" s="120" t="s">
        <v>29</v>
      </c>
      <c r="T24" s="99"/>
      <c r="U24" s="99"/>
      <c r="V24" s="99"/>
      <c r="W24" s="60"/>
      <c r="X24" s="99"/>
      <c r="Y24" s="99"/>
      <c r="Z24" s="99"/>
      <c r="AA24" s="60"/>
      <c r="AB24" s="111"/>
      <c r="AC24" s="111"/>
      <c r="AD24" s="111"/>
      <c r="AE24" s="111"/>
      <c r="AF24" s="111"/>
      <c r="AG24" s="111"/>
      <c r="AH24" s="111"/>
      <c r="AI24" s="111"/>
      <c r="AJ24" s="111"/>
      <c r="AM24" s="1"/>
      <c r="AN24" s="1"/>
      <c r="AO24" s="1"/>
      <c r="AP24" s="1"/>
      <c r="AQ24" s="102"/>
      <c r="AR24" s="102"/>
      <c r="AS24" s="102"/>
      <c r="AT24" s="102"/>
    </row>
    <row r="25" spans="1:53" ht="13" x14ac:dyDescent="0.25">
      <c r="A25" s="112"/>
      <c r="B25" s="656" t="s">
        <v>399</v>
      </c>
      <c r="C25" s="584"/>
      <c r="D25" s="7">
        <f t="shared" ca="1" si="6"/>
        <v>0</v>
      </c>
      <c r="E25" s="7">
        <f t="shared" ca="1" si="7"/>
        <v>0</v>
      </c>
      <c r="F25" s="109">
        <f t="shared" ca="1" si="8"/>
        <v>0</v>
      </c>
      <c r="G25" s="95" t="s">
        <v>29</v>
      </c>
      <c r="H25" s="7">
        <f t="shared" ca="1" si="9"/>
        <v>0</v>
      </c>
      <c r="I25" s="7">
        <f t="shared" ca="1" si="10"/>
        <v>0</v>
      </c>
      <c r="J25" s="109">
        <f t="shared" ca="1" si="11"/>
        <v>0</v>
      </c>
      <c r="K25" s="95" t="s">
        <v>29</v>
      </c>
      <c r="L25" s="95" t="s">
        <v>29</v>
      </c>
      <c r="M25" s="95" t="s">
        <v>29</v>
      </c>
      <c r="N25" s="95" t="s">
        <v>29</v>
      </c>
      <c r="O25" s="120" t="s">
        <v>29</v>
      </c>
      <c r="P25" s="101"/>
      <c r="T25" s="60"/>
      <c r="U25" s="60"/>
      <c r="V25" s="60"/>
      <c r="W25" s="60"/>
      <c r="X25" s="60"/>
      <c r="Y25" s="60"/>
      <c r="Z25" s="60"/>
      <c r="AA25" s="60"/>
      <c r="AB25" s="113"/>
      <c r="AC25" s="113"/>
      <c r="AD25" s="113"/>
      <c r="AE25" s="113"/>
      <c r="AF25" s="113"/>
      <c r="AG25" s="113"/>
      <c r="AH25" s="113"/>
      <c r="AI25" s="113"/>
      <c r="AJ25" s="113"/>
      <c r="AM25" s="50"/>
      <c r="AN25" s="1"/>
      <c r="AO25" s="103"/>
      <c r="AP25" s="1"/>
      <c r="AQ25" s="104"/>
      <c r="AR25" s="104"/>
      <c r="AS25" s="105"/>
      <c r="AT25" s="105"/>
    </row>
    <row r="26" spans="1:53" ht="13" x14ac:dyDescent="0.3">
      <c r="A26" s="112"/>
      <c r="B26" s="601" t="s">
        <v>400</v>
      </c>
      <c r="C26" s="584"/>
      <c r="D26" s="7">
        <f t="shared" ca="1" si="6"/>
        <v>0</v>
      </c>
      <c r="E26" s="7">
        <f t="shared" ca="1" si="7"/>
        <v>0</v>
      </c>
      <c r="F26" s="109">
        <f t="shared" ca="1" si="8"/>
        <v>0</v>
      </c>
      <c r="G26" s="95" t="s">
        <v>29</v>
      </c>
      <c r="H26" s="7">
        <f t="shared" ca="1" si="9"/>
        <v>0</v>
      </c>
      <c r="I26" s="7">
        <f t="shared" ca="1" si="10"/>
        <v>0</v>
      </c>
      <c r="J26" s="109">
        <f t="shared" ca="1" si="11"/>
        <v>0</v>
      </c>
      <c r="K26" s="95" t="s">
        <v>29</v>
      </c>
      <c r="L26" s="95" t="s">
        <v>29</v>
      </c>
      <c r="M26" s="95" t="s">
        <v>29</v>
      </c>
      <c r="N26" s="95" t="s">
        <v>29</v>
      </c>
      <c r="O26" s="120" t="s">
        <v>29</v>
      </c>
      <c r="P26" s="9"/>
      <c r="Q26" s="89"/>
      <c r="R26" s="1"/>
      <c r="S26" s="1"/>
      <c r="T26" s="90"/>
      <c r="U26" s="90"/>
      <c r="V26" s="90"/>
      <c r="W26" s="1"/>
      <c r="X26" s="59"/>
      <c r="Y26" s="59"/>
      <c r="Z26" s="59"/>
      <c r="AA26" s="59"/>
      <c r="AB26" s="9"/>
      <c r="AC26" s="1"/>
      <c r="AD26" s="1"/>
      <c r="AE26" s="1"/>
      <c r="AF26" s="1"/>
      <c r="AG26" s="1"/>
      <c r="AH26" s="1"/>
      <c r="AI26" s="1"/>
      <c r="AJ26" s="1"/>
      <c r="AM26" s="1"/>
      <c r="AN26" s="1"/>
      <c r="AO26" s="1"/>
      <c r="AP26" s="1"/>
      <c r="AQ26" s="104"/>
      <c r="AR26" s="104"/>
      <c r="AS26" s="104"/>
      <c r="AT26" s="104"/>
    </row>
    <row r="27" spans="1:53" ht="13" x14ac:dyDescent="0.3">
      <c r="A27" s="53"/>
      <c r="B27" s="656" t="s">
        <v>401</v>
      </c>
      <c r="C27" s="584"/>
      <c r="D27" s="7">
        <f t="shared" ca="1" si="6"/>
        <v>0</v>
      </c>
      <c r="E27" s="7">
        <f t="shared" ca="1" si="7"/>
        <v>0</v>
      </c>
      <c r="F27" s="109">
        <f t="shared" ca="1" si="8"/>
        <v>0</v>
      </c>
      <c r="G27" s="95" t="s">
        <v>29</v>
      </c>
      <c r="H27" s="7">
        <f t="shared" ca="1" si="9"/>
        <v>0</v>
      </c>
      <c r="I27" s="7">
        <f t="shared" ca="1" si="10"/>
        <v>0</v>
      </c>
      <c r="J27" s="109">
        <f t="shared" ca="1" si="11"/>
        <v>0</v>
      </c>
      <c r="K27" s="95" t="s">
        <v>29</v>
      </c>
      <c r="L27" s="95" t="s">
        <v>29</v>
      </c>
      <c r="M27" s="95" t="s">
        <v>29</v>
      </c>
      <c r="N27" s="95" t="s">
        <v>29</v>
      </c>
      <c r="O27" s="120" t="s">
        <v>29</v>
      </c>
      <c r="P27" s="9"/>
      <c r="Q27" s="89"/>
      <c r="R27" s="1"/>
      <c r="S27" s="1"/>
      <c r="T27" s="90"/>
      <c r="U27" s="90"/>
      <c r="V27" s="90"/>
      <c r="W27" s="1"/>
      <c r="X27" s="59"/>
      <c r="Y27" s="59"/>
      <c r="Z27" s="59"/>
      <c r="AA27" s="59"/>
      <c r="AB27" s="9"/>
      <c r="AC27" s="1"/>
      <c r="AD27" s="1"/>
      <c r="AE27" s="1"/>
      <c r="AF27" s="1"/>
      <c r="AG27" s="1"/>
      <c r="AH27" s="1"/>
      <c r="AI27" s="1"/>
      <c r="AJ27" s="1"/>
      <c r="AM27" s="1"/>
      <c r="AN27" s="1"/>
      <c r="AO27" s="1"/>
      <c r="AP27" s="1"/>
      <c r="AQ27" s="104"/>
      <c r="AR27" s="104"/>
      <c r="AS27" s="104"/>
      <c r="AT27" s="104"/>
    </row>
    <row r="28" spans="1:53" ht="13" thickBot="1" x14ac:dyDescent="0.3">
      <c r="A28" s="46"/>
      <c r="B28" s="601" t="s">
        <v>402</v>
      </c>
      <c r="C28" s="584"/>
      <c r="D28" s="7">
        <f t="shared" ca="1" si="6"/>
        <v>0</v>
      </c>
      <c r="E28" s="7">
        <f t="shared" ca="1" si="7"/>
        <v>0</v>
      </c>
      <c r="F28" s="109">
        <f t="shared" ca="1" si="8"/>
        <v>0</v>
      </c>
      <c r="G28" s="158" t="s">
        <v>29</v>
      </c>
      <c r="H28" s="7">
        <f t="shared" ca="1" si="9"/>
        <v>0</v>
      </c>
      <c r="I28" s="7">
        <f t="shared" ca="1" si="10"/>
        <v>0</v>
      </c>
      <c r="J28" s="109">
        <f t="shared" ca="1" si="11"/>
        <v>0</v>
      </c>
      <c r="K28" s="158" t="s">
        <v>29</v>
      </c>
      <c r="L28" s="158" t="s">
        <v>29</v>
      </c>
      <c r="M28" s="158" t="s">
        <v>29</v>
      </c>
      <c r="N28" s="158" t="s">
        <v>29</v>
      </c>
      <c r="O28" s="159" t="s">
        <v>29</v>
      </c>
      <c r="P28" s="14"/>
      <c r="Q28" s="89"/>
      <c r="R28" s="89"/>
      <c r="S28" s="89"/>
      <c r="V28" s="59"/>
      <c r="W28" s="59"/>
      <c r="X28" s="59"/>
      <c r="Y28" s="59"/>
      <c r="Z28" s="59"/>
      <c r="AA28" s="59"/>
      <c r="AB28" s="8"/>
      <c r="AC28" s="8"/>
      <c r="AD28" s="8"/>
      <c r="AE28" s="8"/>
      <c r="AF28" s="8"/>
      <c r="AG28" s="8"/>
      <c r="AH28" s="8"/>
      <c r="AI28" s="8"/>
      <c r="AJ28" s="8"/>
      <c r="AM28" s="107"/>
      <c r="AN28" s="108"/>
      <c r="AO28" s="103"/>
      <c r="AP28" s="1"/>
      <c r="AQ28" s="104"/>
      <c r="AR28" s="104"/>
      <c r="AS28" s="105"/>
      <c r="AT28" s="105"/>
    </row>
    <row r="29" spans="1:53" ht="13" thickBot="1" x14ac:dyDescent="0.3">
      <c r="A29" s="46"/>
      <c r="B29" s="721" t="s">
        <v>376</v>
      </c>
      <c r="C29" s="722"/>
      <c r="D29" s="169">
        <f ca="1">SUM(D21:D28)</f>
        <v>16.249249721178604</v>
      </c>
      <c r="E29" s="169">
        <f t="shared" ref="E29:F29" ca="1" si="12">SUM(E21:E28)</f>
        <v>5.524744905200726</v>
      </c>
      <c r="F29" s="169">
        <f t="shared" ca="1" si="12"/>
        <v>10.724504815977879</v>
      </c>
      <c r="G29" s="197"/>
      <c r="H29" s="198"/>
      <c r="I29" s="199"/>
      <c r="J29" s="200"/>
      <c r="K29" s="197"/>
      <c r="L29" s="197"/>
      <c r="M29" s="197"/>
      <c r="N29" s="197"/>
      <c r="O29" s="201"/>
      <c r="P29" s="14"/>
      <c r="Q29" s="89"/>
      <c r="R29" s="89"/>
      <c r="S29" s="89"/>
      <c r="V29" s="59"/>
      <c r="W29" s="59"/>
      <c r="X29" s="59"/>
      <c r="Y29" s="59"/>
      <c r="Z29" s="59"/>
      <c r="AA29" s="59"/>
      <c r="AB29" s="8"/>
      <c r="AC29" s="8"/>
      <c r="AD29" s="8"/>
      <c r="AE29" s="8"/>
      <c r="AF29" s="8"/>
      <c r="AG29" s="8"/>
      <c r="AH29" s="8"/>
      <c r="AI29" s="8"/>
      <c r="AJ29" s="8"/>
      <c r="AM29" s="107"/>
      <c r="AN29" s="108"/>
      <c r="AO29" s="103"/>
      <c r="AP29" s="1"/>
      <c r="AQ29" s="104"/>
      <c r="AR29" s="104"/>
      <c r="AS29" s="105"/>
      <c r="AT29" s="105"/>
    </row>
    <row r="30" spans="1:53" ht="14" thickTop="1" thickBot="1" x14ac:dyDescent="0.3">
      <c r="A30" s="94"/>
      <c r="B30" s="718" t="s">
        <v>323</v>
      </c>
      <c r="C30" s="719"/>
      <c r="D30" s="160">
        <f ca="1">SUM(D11:D18)+SUM(D21:D28)</f>
        <v>20.256848588228614</v>
      </c>
      <c r="E30" s="160">
        <f ca="1">SUM(E11:E18)+SUM(E21:E28)</f>
        <v>6.8111841415237802</v>
      </c>
      <c r="F30" s="160">
        <f ca="1">SUM(F11:F18)+SUM(F21:F28)</f>
        <v>13.445664446704836</v>
      </c>
      <c r="G30" s="161">
        <v>15</v>
      </c>
      <c r="H30" s="162" t="s">
        <v>29</v>
      </c>
      <c r="I30" s="160">
        <f ca="1">SUM(I11:I18)+SUM(I21:I28)</f>
        <v>32.834553103421129</v>
      </c>
      <c r="J30" s="160">
        <f ca="1">SUM(J11:J18)+SUM(J21:J28)</f>
        <v>2.3094623960645557</v>
      </c>
      <c r="K30" s="163">
        <f ca="1">IFERROR(1/(1+I30/D30),0)</f>
        <v>0.38154669010019054</v>
      </c>
      <c r="L30" s="163">
        <f ca="1">K30*D30+((1-K30)*G30)</f>
        <v>17.00573317919649</v>
      </c>
      <c r="M30" s="163">
        <f ca="1">1/(1+(J30/D30))</f>
        <v>0.89765884208225211</v>
      </c>
      <c r="N30" s="163">
        <f ca="1">+M30*D30+(1-M30)*G30</f>
        <v>19.718856616711019</v>
      </c>
      <c r="O30" s="88">
        <f ca="1">(L30+N30)/2</f>
        <v>18.362294897953753</v>
      </c>
      <c r="P30" s="14"/>
      <c r="S30" s="8"/>
      <c r="T30" s="8"/>
      <c r="U30" s="8"/>
      <c r="V30" s="8"/>
      <c r="W30" s="8"/>
      <c r="X30" s="8"/>
      <c r="Y30" s="8"/>
      <c r="Z30" s="8"/>
      <c r="AA30" s="8"/>
      <c r="AB30" s="8"/>
      <c r="AC30" s="8"/>
      <c r="AD30" s="8"/>
      <c r="AE30" s="8"/>
      <c r="AF30" s="8"/>
      <c r="AG30" s="8"/>
      <c r="AH30" s="8"/>
      <c r="AI30" s="8"/>
      <c r="AJ30" s="8"/>
      <c r="AM30" s="108"/>
      <c r="AN30" s="108"/>
      <c r="AO30" s="1"/>
      <c r="AP30" s="1"/>
      <c r="AQ30" s="104"/>
      <c r="AR30" s="104"/>
      <c r="AS30" s="104"/>
      <c r="AT30" s="104"/>
    </row>
    <row r="31" spans="1:53" x14ac:dyDescent="0.25">
      <c r="A31" s="57"/>
      <c r="B31" s="69"/>
      <c r="C31" s="84"/>
      <c r="D31" s="84"/>
      <c r="F31" s="57"/>
      <c r="H31" s="57"/>
      <c r="J31" s="57"/>
      <c r="K31" s="57"/>
      <c r="L31" s="57"/>
      <c r="P31" s="14"/>
      <c r="S31" s="8"/>
      <c r="T31" s="8"/>
      <c r="U31" s="8"/>
      <c r="V31" s="8"/>
      <c r="W31" s="8"/>
      <c r="X31" s="8"/>
      <c r="Y31" s="8"/>
      <c r="Z31" s="8"/>
      <c r="AA31" s="8"/>
      <c r="AB31" s="8"/>
      <c r="AC31" s="8"/>
      <c r="AD31" s="8"/>
      <c r="AE31" s="8"/>
      <c r="AF31" s="8"/>
      <c r="AG31" s="8"/>
      <c r="AH31" s="8"/>
      <c r="AI31" s="8"/>
      <c r="AJ31" s="8"/>
      <c r="AM31" s="108"/>
      <c r="AN31" s="108"/>
      <c r="AO31" s="103"/>
      <c r="AP31" s="53"/>
      <c r="AQ31" s="53"/>
      <c r="AR31" s="53"/>
      <c r="AS31" s="53"/>
      <c r="AT31" s="53"/>
    </row>
    <row r="32" spans="1:53" ht="13" x14ac:dyDescent="0.25">
      <c r="A32" s="68"/>
      <c r="B32" s="69"/>
      <c r="C32" s="116"/>
      <c r="D32" s="68"/>
      <c r="E32" s="68"/>
      <c r="F32" s="68"/>
      <c r="G32" s="1"/>
      <c r="H32" s="68"/>
      <c r="J32" s="68"/>
      <c r="K32" s="68"/>
      <c r="L32" s="68"/>
      <c r="P32" s="14"/>
      <c r="S32" s="8"/>
      <c r="T32" s="8"/>
      <c r="U32" s="8"/>
      <c r="V32" s="8"/>
      <c r="W32" s="8"/>
      <c r="X32" s="8"/>
      <c r="Y32" s="8"/>
      <c r="Z32" s="8"/>
      <c r="AA32" s="8"/>
      <c r="AB32" s="8"/>
      <c r="AC32" s="8"/>
      <c r="AD32" s="8"/>
      <c r="AE32" s="8"/>
      <c r="AF32" s="8"/>
      <c r="AG32" s="8"/>
      <c r="AH32" s="8"/>
      <c r="AI32" s="8"/>
      <c r="AJ32" s="8"/>
      <c r="AM32" s="71"/>
      <c r="AN32" s="71"/>
      <c r="AO32" s="41"/>
      <c r="AP32" s="41"/>
      <c r="AQ32" s="41"/>
      <c r="AR32" s="41"/>
      <c r="AS32" s="41"/>
      <c r="AT32" s="41"/>
    </row>
    <row r="33" spans="1:54" x14ac:dyDescent="0.25">
      <c r="B33" s="69"/>
      <c r="C33" s="50"/>
      <c r="D33" s="1"/>
      <c r="E33" s="1"/>
      <c r="J33" s="103"/>
      <c r="K33" s="1"/>
      <c r="P33" s="14"/>
      <c r="S33" s="8"/>
      <c r="T33" s="8"/>
      <c r="U33" s="8"/>
      <c r="V33" s="8"/>
      <c r="W33" s="8"/>
      <c r="X33" s="8"/>
      <c r="Y33" s="8"/>
      <c r="Z33" s="8"/>
      <c r="AA33" s="8"/>
      <c r="AB33" s="8"/>
      <c r="AC33" s="8"/>
      <c r="AD33" s="8"/>
      <c r="AE33" s="8"/>
      <c r="AF33" s="8"/>
      <c r="AG33" s="8"/>
      <c r="AH33" s="8"/>
      <c r="AI33" s="8"/>
      <c r="AJ33" s="8"/>
      <c r="AM33" s="50"/>
      <c r="AN33" s="41"/>
      <c r="AO33" s="41"/>
      <c r="AP33" s="41"/>
      <c r="AQ33" s="41"/>
      <c r="AR33" s="41"/>
      <c r="AS33" s="41"/>
      <c r="AT33" s="41"/>
    </row>
    <row r="34" spans="1:54" x14ac:dyDescent="0.25">
      <c r="B34" s="69"/>
      <c r="C34" s="103"/>
      <c r="D34" s="103"/>
      <c r="E34" s="103"/>
      <c r="F34" s="107"/>
      <c r="G34" s="108"/>
      <c r="H34" s="107"/>
      <c r="J34" s="1"/>
      <c r="K34" s="1"/>
      <c r="L34" s="103"/>
      <c r="M34" s="1"/>
      <c r="P34" s="14"/>
      <c r="S34" s="8"/>
      <c r="T34" s="8"/>
      <c r="U34" s="8"/>
      <c r="V34" s="8"/>
      <c r="W34" s="8"/>
      <c r="X34" s="8"/>
      <c r="Y34" s="8"/>
      <c r="Z34" s="8"/>
      <c r="AA34" s="8"/>
      <c r="AB34" s="8"/>
      <c r="AC34" s="8"/>
      <c r="AD34" s="8"/>
      <c r="AE34" s="8"/>
      <c r="AF34" s="8"/>
      <c r="AG34" s="8"/>
      <c r="AH34" s="8"/>
      <c r="AI34" s="8"/>
      <c r="AJ34" s="8"/>
      <c r="AM34" s="71"/>
      <c r="AN34" s="71"/>
      <c r="AO34" s="41"/>
      <c r="AP34" s="41"/>
      <c r="AQ34" s="41"/>
      <c r="AR34" s="41"/>
      <c r="AS34" s="41"/>
      <c r="AT34" s="41"/>
    </row>
    <row r="35" spans="1:54" ht="13" thickBot="1" x14ac:dyDescent="0.3">
      <c r="B35" s="69"/>
      <c r="C35" s="50"/>
      <c r="D35" s="1"/>
      <c r="E35" s="1"/>
      <c r="K35" s="53"/>
      <c r="L35" s="59"/>
      <c r="M35" s="1"/>
      <c r="P35" s="14"/>
      <c r="S35" s="8"/>
      <c r="T35" s="8"/>
      <c r="U35" s="8"/>
      <c r="V35" s="8"/>
      <c r="W35" s="8"/>
      <c r="X35" s="8"/>
      <c r="Y35" s="8"/>
      <c r="Z35" s="8"/>
      <c r="AA35" s="8"/>
      <c r="AB35" s="8"/>
      <c r="AC35" s="8"/>
      <c r="AD35" s="8"/>
      <c r="AE35" s="8"/>
      <c r="AF35" s="8"/>
      <c r="AG35" s="8"/>
      <c r="AH35" s="8"/>
      <c r="AI35" s="8"/>
      <c r="AJ35" s="8"/>
      <c r="AM35" s="41"/>
      <c r="AN35" s="41"/>
      <c r="AO35" s="41"/>
      <c r="AP35" s="41"/>
      <c r="AQ35" s="41"/>
      <c r="AR35" s="41"/>
      <c r="AS35" s="41"/>
      <c r="AT35" s="41"/>
    </row>
    <row r="36" spans="1:54" ht="13.5" thickTop="1" x14ac:dyDescent="0.3">
      <c r="B36" s="720" t="s">
        <v>899</v>
      </c>
      <c r="C36" s="720"/>
      <c r="D36" s="720"/>
      <c r="E36" s="720"/>
      <c r="F36" s="720"/>
      <c r="G36" s="720"/>
      <c r="H36" s="720"/>
      <c r="I36" s="720"/>
      <c r="J36" s="720"/>
      <c r="K36" s="53"/>
      <c r="L36" s="59"/>
      <c r="M36" s="1"/>
      <c r="P36" s="92"/>
      <c r="Q36" s="1"/>
      <c r="R36" s="1"/>
      <c r="S36" s="1"/>
      <c r="T36" s="1"/>
      <c r="U36" s="1"/>
      <c r="V36" s="1"/>
      <c r="W36" s="1"/>
      <c r="X36" s="1"/>
      <c r="Y36" s="1"/>
      <c r="Z36" s="1"/>
      <c r="AA36" s="1"/>
      <c r="AB36" s="9"/>
      <c r="AC36" s="9"/>
      <c r="AD36" s="9"/>
      <c r="AE36" s="9"/>
      <c r="AF36" s="9"/>
      <c r="AG36" s="9"/>
      <c r="AH36" s="9"/>
      <c r="AI36" s="9"/>
      <c r="AJ36" s="9"/>
      <c r="AM36" s="41"/>
      <c r="AN36" s="41"/>
      <c r="AO36" s="41"/>
      <c r="AP36" s="41"/>
      <c r="AQ36" s="41"/>
      <c r="AR36" s="41"/>
      <c r="AS36" s="41"/>
      <c r="AT36" s="41"/>
    </row>
    <row r="37" spans="1:54" ht="13" thickBot="1" x14ac:dyDescent="0.3">
      <c r="A37" s="46"/>
      <c r="B37" s="702"/>
      <c r="C37" s="702"/>
      <c r="D37" s="702"/>
      <c r="E37" s="702"/>
      <c r="F37" s="702"/>
      <c r="G37" s="702"/>
      <c r="H37" s="702"/>
      <c r="I37" s="702"/>
      <c r="J37" s="702"/>
      <c r="K37" s="53"/>
      <c r="L37" s="59"/>
      <c r="M37" s="1"/>
      <c r="P37" s="14"/>
      <c r="S37" s="8"/>
      <c r="T37" s="8"/>
      <c r="U37" s="8"/>
      <c r="V37" s="8"/>
      <c r="W37" s="8"/>
      <c r="X37" s="8"/>
      <c r="Y37" s="8"/>
      <c r="Z37" s="8"/>
      <c r="AA37" s="8"/>
      <c r="AB37" s="8"/>
      <c r="AC37" s="8"/>
      <c r="AD37" s="8"/>
      <c r="AE37" s="8"/>
      <c r="AF37" s="8"/>
      <c r="AG37" s="8"/>
      <c r="AH37" s="8"/>
      <c r="AI37" s="8"/>
      <c r="AJ37" s="8"/>
      <c r="AM37" s="41"/>
      <c r="AN37" s="41"/>
      <c r="AO37" s="41"/>
      <c r="AP37" s="41"/>
      <c r="AQ37" s="41"/>
      <c r="AR37" s="41"/>
      <c r="AS37" s="41"/>
      <c r="AT37" s="41"/>
    </row>
    <row r="38" spans="1:54" ht="13" x14ac:dyDescent="0.25">
      <c r="A38" s="41"/>
      <c r="B38" s="629" t="s">
        <v>32</v>
      </c>
      <c r="C38" s="576"/>
      <c r="D38" s="576"/>
      <c r="E38" s="575" t="s">
        <v>33</v>
      </c>
      <c r="F38" s="576"/>
      <c r="G38" s="576"/>
      <c r="H38" s="575" t="s">
        <v>34</v>
      </c>
      <c r="I38" s="576"/>
      <c r="J38" s="401"/>
      <c r="K38" s="119"/>
      <c r="L38" s="103"/>
      <c r="M38" s="1"/>
      <c r="P38" s="14"/>
      <c r="S38" s="93"/>
      <c r="T38" s="8"/>
      <c r="U38" s="8"/>
      <c r="V38" s="8"/>
      <c r="W38" s="8"/>
      <c r="X38" s="8"/>
      <c r="Y38" s="8"/>
      <c r="Z38" s="8"/>
      <c r="AA38" s="8"/>
      <c r="AB38" s="93"/>
      <c r="AC38" s="8"/>
      <c r="AD38" s="8"/>
      <c r="AE38" s="8"/>
      <c r="AF38" s="8"/>
      <c r="AG38" s="8"/>
      <c r="AH38" s="8"/>
      <c r="AI38" s="8"/>
      <c r="AJ38" s="8"/>
      <c r="AM38" s="68"/>
      <c r="AN38" s="60"/>
      <c r="AO38" s="60"/>
      <c r="AP38" s="60"/>
      <c r="AQ38" s="60"/>
      <c r="AR38" s="60"/>
      <c r="AS38" s="97"/>
    </row>
    <row r="39" spans="1:54" ht="14" x14ac:dyDescent="0.4">
      <c r="A39" s="41"/>
      <c r="B39" s="696" t="s">
        <v>118</v>
      </c>
      <c r="C39" s="508"/>
      <c r="D39" s="508"/>
      <c r="E39" s="713" t="s">
        <v>279</v>
      </c>
      <c r="F39" s="714"/>
      <c r="G39" s="714"/>
      <c r="H39" s="713" t="s">
        <v>280</v>
      </c>
      <c r="I39" s="714"/>
      <c r="J39" s="715"/>
      <c r="K39" s="108"/>
      <c r="L39" s="59"/>
      <c r="M39" s="1"/>
      <c r="P39" s="14"/>
      <c r="S39" s="93"/>
      <c r="T39" s="8"/>
      <c r="U39" s="8"/>
      <c r="V39" s="8"/>
      <c r="W39" s="8"/>
      <c r="X39" s="8"/>
      <c r="Y39" s="8"/>
      <c r="Z39" s="8"/>
      <c r="AA39" s="8"/>
      <c r="AB39" s="93"/>
      <c r="AC39" s="8"/>
      <c r="AD39" s="8"/>
      <c r="AE39" s="8"/>
      <c r="AF39" s="8"/>
      <c r="AG39" s="8"/>
      <c r="AH39" s="8"/>
      <c r="AI39" s="8"/>
      <c r="AJ39" s="8"/>
      <c r="AM39" s="68"/>
      <c r="AN39" s="60"/>
      <c r="AO39" s="60"/>
      <c r="AP39" s="60"/>
      <c r="AQ39" s="60"/>
      <c r="AR39" s="60"/>
      <c r="AS39" s="97"/>
    </row>
    <row r="40" spans="1:54" ht="15.5" x14ac:dyDescent="0.25">
      <c r="A40" s="91"/>
      <c r="B40" s="601" t="s">
        <v>88</v>
      </c>
      <c r="C40" s="676"/>
      <c r="D40" s="676"/>
      <c r="E40" s="668" t="s">
        <v>302</v>
      </c>
      <c r="F40" s="669"/>
      <c r="G40" s="669"/>
      <c r="H40" s="668" t="s">
        <v>303</v>
      </c>
      <c r="I40" s="669"/>
      <c r="J40" s="671"/>
      <c r="K40" s="69"/>
      <c r="L40" s="69"/>
      <c r="M40" s="69"/>
      <c r="N40" s="69"/>
      <c r="P40" s="14"/>
      <c r="S40" s="93"/>
      <c r="T40" s="8"/>
      <c r="U40" s="8"/>
      <c r="V40" s="8"/>
      <c r="W40" s="8"/>
      <c r="X40" s="8"/>
      <c r="Y40" s="8"/>
      <c r="Z40" s="8"/>
      <c r="AA40" s="8"/>
      <c r="AB40" s="93"/>
      <c r="AC40" s="8"/>
      <c r="AD40" s="8"/>
      <c r="AE40" s="8"/>
      <c r="AF40" s="8"/>
      <c r="AG40" s="8"/>
      <c r="AH40" s="8"/>
      <c r="AI40" s="8"/>
      <c r="AJ40" s="8"/>
      <c r="AM40" s="68"/>
      <c r="AN40" s="60"/>
      <c r="AO40" s="60"/>
      <c r="AP40" s="60"/>
      <c r="AQ40" s="60"/>
      <c r="AR40" s="60"/>
      <c r="AS40" s="97"/>
    </row>
    <row r="41" spans="1:54" ht="13" x14ac:dyDescent="0.3">
      <c r="A41" s="58"/>
      <c r="B41" s="677"/>
      <c r="C41" s="676"/>
      <c r="D41" s="676"/>
      <c r="E41" s="678">
        <f ca="1">+D30</f>
        <v>20.256848588228614</v>
      </c>
      <c r="F41" s="716"/>
      <c r="G41" s="717"/>
      <c r="H41" s="678">
        <f ca="1">+O30</f>
        <v>18.362294897953753</v>
      </c>
      <c r="I41" s="705"/>
      <c r="J41" s="705"/>
      <c r="K41" s="58"/>
      <c r="L41" s="58"/>
      <c r="M41" s="58"/>
      <c r="P41" s="14"/>
      <c r="S41" s="8"/>
      <c r="T41" s="8"/>
      <c r="U41" s="8"/>
      <c r="V41" s="8"/>
      <c r="W41" s="8"/>
      <c r="X41" s="8"/>
      <c r="Y41" s="8"/>
      <c r="Z41" s="8"/>
      <c r="AA41" s="8"/>
      <c r="AB41" s="8"/>
      <c r="AC41" s="8"/>
      <c r="AD41" s="8"/>
      <c r="AE41" s="8"/>
      <c r="AF41" s="8"/>
      <c r="AG41" s="8"/>
      <c r="AH41" s="8"/>
      <c r="AI41" s="8"/>
      <c r="AJ41" s="8"/>
      <c r="AM41" s="60"/>
      <c r="AN41" s="60"/>
      <c r="AO41" s="60"/>
      <c r="AP41" s="60"/>
      <c r="AQ41" s="60"/>
      <c r="AR41" s="60"/>
      <c r="AS41" s="97"/>
      <c r="AT41" s="74"/>
      <c r="AU41" s="74"/>
      <c r="AV41" s="74"/>
      <c r="AW41" s="74"/>
      <c r="AX41" s="74"/>
      <c r="AY41" s="74"/>
      <c r="AZ41" s="74"/>
      <c r="BA41" s="74"/>
      <c r="BB41" s="74"/>
    </row>
    <row r="42" spans="1:54" ht="15.5" x14ac:dyDescent="0.3">
      <c r="A42" s="60"/>
      <c r="B42" s="601" t="s">
        <v>282</v>
      </c>
      <c r="C42" s="676"/>
      <c r="D42" s="676"/>
      <c r="E42" s="668" t="s">
        <v>304</v>
      </c>
      <c r="F42" s="669"/>
      <c r="G42" s="669"/>
      <c r="H42" s="668" t="s">
        <v>283</v>
      </c>
      <c r="I42" s="669"/>
      <c r="J42" s="671"/>
      <c r="K42" s="60"/>
      <c r="L42" s="60"/>
      <c r="M42" s="61"/>
      <c r="P42" s="14"/>
      <c r="S42" s="8"/>
      <c r="T42" s="8"/>
      <c r="U42" s="8"/>
      <c r="V42" s="8"/>
      <c r="W42" s="8"/>
      <c r="X42" s="8"/>
      <c r="Y42" s="8"/>
      <c r="Z42" s="8"/>
      <c r="AA42" s="8"/>
      <c r="AB42" s="8"/>
      <c r="AC42" s="8"/>
      <c r="AD42" s="8"/>
      <c r="AE42" s="8"/>
      <c r="AF42" s="8"/>
      <c r="AG42" s="8"/>
      <c r="AH42" s="8"/>
      <c r="AI42" s="8"/>
      <c r="AJ42" s="8"/>
      <c r="AM42" s="94"/>
      <c r="AP42" s="9"/>
      <c r="AT42" s="1"/>
      <c r="AY42" s="1"/>
      <c r="AZ42" s="1"/>
      <c r="BA42" s="1"/>
      <c r="BB42" s="1"/>
    </row>
    <row r="43" spans="1:54" ht="13" x14ac:dyDescent="0.3">
      <c r="A43" s="94"/>
      <c r="B43" s="677"/>
      <c r="C43" s="676"/>
      <c r="D43" s="676"/>
      <c r="E43" s="682">
        <f ca="1">+E30</f>
        <v>6.8111841415237802</v>
      </c>
      <c r="F43" s="711"/>
      <c r="G43" s="712"/>
      <c r="H43" s="641">
        <f ca="1">+O30*E30/D30</f>
        <v>6.1741574098354075</v>
      </c>
      <c r="I43" s="705"/>
      <c r="J43" s="705"/>
      <c r="K43" s="1"/>
      <c r="L43" s="1"/>
      <c r="M43" s="1"/>
      <c r="P43" s="14"/>
      <c r="S43" s="8"/>
      <c r="T43" s="8"/>
      <c r="U43" s="8"/>
      <c r="V43" s="8"/>
      <c r="W43" s="8"/>
      <c r="X43" s="8"/>
      <c r="Y43" s="8"/>
      <c r="Z43" s="8"/>
      <c r="AA43" s="8"/>
      <c r="AB43" s="8"/>
      <c r="AC43" s="8"/>
      <c r="AD43" s="8"/>
      <c r="AE43" s="8"/>
      <c r="AF43" s="8"/>
      <c r="AG43" s="8"/>
      <c r="AH43" s="8"/>
      <c r="AI43" s="8"/>
      <c r="AJ43" s="8"/>
      <c r="AM43" s="101"/>
      <c r="AN43" s="69"/>
      <c r="AO43" s="1"/>
      <c r="AP43" s="15"/>
      <c r="AQ43" s="9"/>
      <c r="AR43" s="74"/>
      <c r="AT43" s="9"/>
      <c r="AY43" s="9"/>
      <c r="AZ43" s="9"/>
      <c r="BA43" s="9"/>
    </row>
    <row r="44" spans="1:54" ht="15.5" x14ac:dyDescent="0.3">
      <c r="A44" s="57"/>
      <c r="B44" s="664" t="s">
        <v>284</v>
      </c>
      <c r="C44" s="665"/>
      <c r="D44" s="665"/>
      <c r="E44" s="668" t="s">
        <v>305</v>
      </c>
      <c r="F44" s="669"/>
      <c r="G44" s="669"/>
      <c r="H44" s="668" t="s">
        <v>285</v>
      </c>
      <c r="I44" s="669"/>
      <c r="J44" s="671"/>
      <c r="K44" s="84"/>
      <c r="L44" s="84"/>
      <c r="M44" s="1"/>
      <c r="P44" s="14"/>
      <c r="S44" s="8"/>
      <c r="T44" s="8"/>
      <c r="U44" s="8"/>
      <c r="V44" s="8"/>
      <c r="W44" s="8"/>
      <c r="X44" s="8"/>
      <c r="Y44" s="8"/>
      <c r="Z44" s="8"/>
      <c r="AA44" s="8"/>
      <c r="AB44" s="8"/>
      <c r="AC44" s="8"/>
      <c r="AD44" s="8"/>
      <c r="AE44" s="8"/>
      <c r="AF44" s="8"/>
      <c r="AG44" s="8"/>
      <c r="AH44" s="8"/>
      <c r="AI44" s="8"/>
      <c r="AJ44" s="8"/>
      <c r="AM44" s="50"/>
      <c r="AN44" s="1"/>
      <c r="AP44" s="90"/>
      <c r="AQ44" s="1"/>
      <c r="AR44" s="90"/>
      <c r="AS44" s="90"/>
      <c r="AY44" s="9"/>
      <c r="AZ44" s="9"/>
      <c r="BA44" s="9"/>
    </row>
    <row r="45" spans="1:54" ht="13.5" thickBot="1" x14ac:dyDescent="0.35">
      <c r="A45" s="68"/>
      <c r="B45" s="666"/>
      <c r="C45" s="667"/>
      <c r="D45" s="667"/>
      <c r="E45" s="672">
        <f ca="1">+F30</f>
        <v>13.445664446704836</v>
      </c>
      <c r="F45" s="708"/>
      <c r="G45" s="709"/>
      <c r="H45" s="642">
        <f ca="1">+O30*F30/D30</f>
        <v>12.188137488118347</v>
      </c>
      <c r="I45" s="710"/>
      <c r="J45" s="710"/>
      <c r="K45" s="68"/>
      <c r="L45" s="68"/>
      <c r="M45" s="68"/>
      <c r="P45" s="14"/>
      <c r="S45" s="8"/>
      <c r="T45" s="8"/>
      <c r="U45" s="8"/>
      <c r="V45" s="8"/>
      <c r="W45" s="8"/>
      <c r="X45" s="8"/>
      <c r="Y45" s="8"/>
      <c r="Z45" s="8"/>
      <c r="AA45" s="8"/>
      <c r="AB45" s="8"/>
      <c r="AC45" s="8"/>
      <c r="AD45" s="8"/>
      <c r="AE45" s="8"/>
      <c r="AF45" s="8"/>
      <c r="AG45" s="8"/>
      <c r="AH45" s="8"/>
      <c r="AI45" s="8"/>
      <c r="AJ45" s="8"/>
      <c r="AM45" s="50"/>
      <c r="AN45" s="1"/>
      <c r="AP45" s="90"/>
      <c r="AQ45" s="1"/>
      <c r="AR45" s="90"/>
      <c r="AS45" s="90"/>
      <c r="AY45" s="9"/>
      <c r="AZ45" s="9"/>
      <c r="BA45" s="15"/>
    </row>
    <row r="46" spans="1:54" ht="13" x14ac:dyDescent="0.25">
      <c r="A46" s="68"/>
      <c r="C46" s="57"/>
      <c r="D46" s="57"/>
      <c r="E46" s="57"/>
      <c r="F46" s="84"/>
      <c r="G46" s="57"/>
      <c r="H46" s="57"/>
      <c r="I46" s="84"/>
      <c r="K46" s="1"/>
      <c r="L46" s="1"/>
      <c r="M46" s="1"/>
      <c r="AM46" s="50"/>
      <c r="AN46" s="1"/>
      <c r="AP46" s="59"/>
      <c r="AQ46" s="1"/>
      <c r="AR46" s="90"/>
      <c r="AS46" s="90"/>
      <c r="AY46" s="1"/>
      <c r="AZ46" s="50"/>
      <c r="BA46" s="46"/>
    </row>
    <row r="47" spans="1:54" x14ac:dyDescent="0.25">
      <c r="A47" s="1"/>
      <c r="B47" s="1"/>
      <c r="C47" s="1"/>
      <c r="F47" s="1"/>
      <c r="G47" s="1"/>
      <c r="H47" s="1"/>
      <c r="I47" s="1"/>
      <c r="J47" s="1"/>
      <c r="K47" s="1"/>
      <c r="L47" s="1"/>
      <c r="M47" s="1"/>
    </row>
    <row r="48" spans="1:54" x14ac:dyDescent="0.25">
      <c r="A48" s="1"/>
      <c r="B48" s="1"/>
      <c r="C48" s="107"/>
      <c r="D48" s="117"/>
      <c r="E48" s="118"/>
      <c r="F48" s="107"/>
      <c r="G48" s="117"/>
      <c r="H48" s="118"/>
      <c r="I48" s="107"/>
      <c r="J48" s="117"/>
      <c r="K48" s="107"/>
      <c r="L48" s="117"/>
      <c r="M48" s="118"/>
    </row>
    <row r="49" spans="1:14" x14ac:dyDescent="0.25">
      <c r="A49" s="1"/>
      <c r="B49" s="1"/>
      <c r="C49" s="1"/>
      <c r="D49" s="1"/>
      <c r="E49" s="1"/>
      <c r="F49" s="1"/>
      <c r="G49" s="1"/>
      <c r="H49" s="1"/>
      <c r="I49" s="1"/>
      <c r="J49" s="1"/>
      <c r="K49" s="1"/>
      <c r="L49" s="1"/>
      <c r="M49" s="1"/>
    </row>
    <row r="50" spans="1:14" x14ac:dyDescent="0.25">
      <c r="C50" s="59"/>
      <c r="D50" s="59"/>
      <c r="E50" s="59"/>
      <c r="F50" s="59"/>
      <c r="G50" s="59"/>
      <c r="H50" s="59"/>
      <c r="I50" s="59"/>
      <c r="J50" s="59"/>
      <c r="K50" s="59"/>
      <c r="L50" s="59"/>
      <c r="M50" s="59"/>
    </row>
    <row r="51" spans="1:14" x14ac:dyDescent="0.25">
      <c r="A51" s="53"/>
      <c r="B51" s="53"/>
      <c r="C51" s="53"/>
      <c r="D51" s="103"/>
      <c r="E51" s="53"/>
      <c r="F51" s="53"/>
      <c r="G51" s="84"/>
      <c r="I51" s="53"/>
      <c r="J51" s="103"/>
      <c r="K51" s="53"/>
      <c r="L51" s="103"/>
      <c r="M51" s="1"/>
    </row>
    <row r="52" spans="1:14" x14ac:dyDescent="0.25">
      <c r="A52" s="112"/>
      <c r="C52" s="59"/>
      <c r="D52" s="59"/>
      <c r="E52" s="59"/>
      <c r="F52" s="59"/>
      <c r="G52" s="59"/>
      <c r="H52" s="59"/>
      <c r="I52" s="59"/>
      <c r="J52" s="59"/>
      <c r="K52" s="59"/>
      <c r="L52" s="59"/>
      <c r="M52" s="59"/>
    </row>
    <row r="53" spans="1:14" x14ac:dyDescent="0.25">
      <c r="A53" s="112"/>
      <c r="C53" s="59"/>
      <c r="D53" s="59"/>
      <c r="E53" s="59"/>
      <c r="F53" s="59"/>
      <c r="G53" s="59"/>
      <c r="H53" s="59"/>
      <c r="I53" s="59"/>
      <c r="J53" s="59"/>
      <c r="K53" s="59"/>
      <c r="L53" s="59"/>
      <c r="M53" s="59"/>
    </row>
    <row r="54" spans="1:14" x14ac:dyDescent="0.25">
      <c r="A54" s="101"/>
      <c r="C54" s="59"/>
      <c r="D54" s="59"/>
      <c r="E54" s="59"/>
      <c r="F54" s="59"/>
      <c r="G54" s="59"/>
      <c r="H54" s="59"/>
      <c r="I54" s="59"/>
      <c r="J54" s="59"/>
      <c r="K54" s="59"/>
      <c r="L54" s="59"/>
      <c r="M54" s="59"/>
    </row>
    <row r="55" spans="1:14" x14ac:dyDescent="0.25">
      <c r="A55" s="112"/>
      <c r="C55" s="59"/>
      <c r="D55" s="59"/>
      <c r="E55" s="59"/>
      <c r="F55" s="59"/>
      <c r="G55" s="59"/>
      <c r="H55" s="59"/>
      <c r="I55" s="59"/>
      <c r="J55" s="59"/>
      <c r="K55" s="59"/>
      <c r="L55" s="59"/>
      <c r="M55" s="59"/>
    </row>
    <row r="56" spans="1:14" x14ac:dyDescent="0.25">
      <c r="A56" s="112"/>
      <c r="C56" s="59"/>
      <c r="D56" s="59"/>
      <c r="E56" s="59"/>
      <c r="F56" s="59"/>
      <c r="G56" s="59"/>
      <c r="H56" s="59"/>
      <c r="I56" s="59"/>
      <c r="J56" s="59"/>
      <c r="K56" s="59"/>
      <c r="L56" s="59"/>
      <c r="M56" s="59"/>
    </row>
    <row r="57" spans="1:14" x14ac:dyDescent="0.25">
      <c r="A57" s="112"/>
      <c r="C57" s="59"/>
      <c r="D57" s="59"/>
      <c r="E57" s="59"/>
      <c r="F57" s="59"/>
      <c r="G57" s="59"/>
      <c r="H57" s="59"/>
      <c r="I57" s="59"/>
      <c r="J57" s="59"/>
      <c r="K57" s="59"/>
      <c r="L57" s="59"/>
      <c r="M57" s="59"/>
    </row>
    <row r="58" spans="1:14" x14ac:dyDescent="0.25">
      <c r="A58" s="91"/>
      <c r="B58" s="69"/>
      <c r="C58" s="69"/>
      <c r="D58" s="69"/>
      <c r="E58" s="69"/>
      <c r="F58" s="69"/>
      <c r="G58" s="69"/>
      <c r="H58" s="69"/>
      <c r="I58" s="69"/>
      <c r="J58" s="69"/>
      <c r="K58" s="69"/>
      <c r="L58" s="69"/>
      <c r="M58" s="69"/>
      <c r="N58" s="69"/>
    </row>
    <row r="59" spans="1:14" x14ac:dyDescent="0.25">
      <c r="C59" s="59"/>
      <c r="D59" s="59"/>
      <c r="E59" s="59"/>
      <c r="F59" s="59"/>
      <c r="G59" s="1"/>
      <c r="H59" s="59"/>
      <c r="I59" s="59"/>
      <c r="J59" s="59"/>
      <c r="K59" s="1"/>
      <c r="L59" s="59"/>
      <c r="M59" s="59"/>
    </row>
    <row r="60" spans="1:14" ht="13" x14ac:dyDescent="0.3">
      <c r="A60" s="9"/>
      <c r="B60" s="1"/>
      <c r="C60" s="1"/>
      <c r="D60" s="1"/>
      <c r="E60" s="1"/>
      <c r="F60" s="1"/>
      <c r="G60" s="1"/>
    </row>
    <row r="62" spans="1:14" ht="13" x14ac:dyDescent="0.25">
      <c r="A62" s="94"/>
      <c r="B62" s="94"/>
      <c r="C62" s="94"/>
      <c r="D62" s="94"/>
      <c r="E62" s="94"/>
      <c r="F62" s="94"/>
      <c r="G62" s="94"/>
      <c r="H62" s="94"/>
      <c r="I62" s="94"/>
      <c r="J62" s="94"/>
      <c r="K62" s="94"/>
      <c r="L62" s="94"/>
      <c r="M62" s="94"/>
    </row>
    <row r="63" spans="1:14" x14ac:dyDescent="0.25">
      <c r="A63" s="57"/>
      <c r="B63" s="57"/>
      <c r="C63" s="57"/>
      <c r="E63" s="84"/>
      <c r="F63" s="1"/>
      <c r="G63" s="1"/>
      <c r="H63" s="1"/>
      <c r="I63" s="84"/>
      <c r="J63" s="1"/>
      <c r="K63" s="1"/>
      <c r="L63" s="1"/>
      <c r="M63" s="1"/>
    </row>
    <row r="64" spans="1:14" ht="13" x14ac:dyDescent="0.3">
      <c r="A64" s="68"/>
      <c r="B64" s="68"/>
      <c r="C64" s="68"/>
      <c r="D64" s="68"/>
      <c r="E64" s="9"/>
      <c r="F64" s="9"/>
      <c r="G64" s="9"/>
      <c r="H64" s="9"/>
      <c r="I64" s="9"/>
      <c r="J64" s="9"/>
      <c r="K64" s="9"/>
      <c r="L64" s="9"/>
      <c r="M64" s="9"/>
    </row>
    <row r="65" spans="1:14" x14ac:dyDescent="0.25">
      <c r="A65" s="97"/>
      <c r="B65" s="97"/>
      <c r="C65" s="97"/>
      <c r="D65" s="97"/>
      <c r="E65" s="84"/>
      <c r="I65" s="84"/>
      <c r="J65" s="57"/>
      <c r="K65" s="57"/>
    </row>
    <row r="66" spans="1:14" x14ac:dyDescent="0.25">
      <c r="A66" s="69"/>
      <c r="B66" s="69"/>
      <c r="C66" s="69"/>
      <c r="E66" s="59"/>
      <c r="F66" s="1"/>
      <c r="G66" s="1"/>
      <c r="H66" s="1"/>
      <c r="I66" s="8"/>
      <c r="J66" s="8"/>
      <c r="K66" s="8"/>
      <c r="L66" s="8"/>
      <c r="M66" s="8"/>
    </row>
    <row r="67" spans="1:14" x14ac:dyDescent="0.25">
      <c r="A67" s="69"/>
      <c r="B67" s="69"/>
      <c r="C67" s="69"/>
      <c r="E67" s="59"/>
      <c r="F67" s="1"/>
      <c r="G67" s="1"/>
      <c r="H67" s="1"/>
      <c r="I67" s="8"/>
      <c r="J67" s="8"/>
      <c r="K67" s="8"/>
      <c r="L67" s="8"/>
      <c r="M67" s="8"/>
    </row>
    <row r="68" spans="1:14" x14ac:dyDescent="0.25">
      <c r="A68" s="101"/>
      <c r="B68" s="69"/>
      <c r="C68" s="69"/>
      <c r="E68" s="59"/>
      <c r="F68" s="1"/>
      <c r="G68" s="1"/>
      <c r="H68" s="1"/>
      <c r="I68" s="8"/>
      <c r="J68" s="8"/>
      <c r="K68" s="8"/>
      <c r="L68" s="8"/>
      <c r="M68" s="8"/>
    </row>
    <row r="69" spans="1:14" x14ac:dyDescent="0.25">
      <c r="A69" s="69"/>
      <c r="B69" s="69"/>
      <c r="C69" s="69"/>
      <c r="E69" s="59"/>
      <c r="F69" s="1"/>
      <c r="G69" s="1"/>
      <c r="H69" s="1"/>
      <c r="I69" s="8"/>
      <c r="J69" s="8"/>
      <c r="K69" s="8"/>
      <c r="L69" s="8"/>
      <c r="M69" s="8"/>
    </row>
    <row r="70" spans="1:14" x14ac:dyDescent="0.25">
      <c r="A70" s="91"/>
      <c r="B70" s="69"/>
      <c r="C70" s="69"/>
      <c r="D70" s="69"/>
      <c r="E70" s="69"/>
      <c r="F70" s="69"/>
      <c r="G70" s="69"/>
      <c r="H70" s="69"/>
      <c r="I70" s="69"/>
      <c r="J70" s="69"/>
      <c r="K70" s="69"/>
      <c r="L70" s="69"/>
      <c r="M70" s="69"/>
      <c r="N70" s="69"/>
    </row>
    <row r="75" spans="1:14" x14ac:dyDescent="0.25">
      <c r="A75" s="57"/>
      <c r="B75" s="57"/>
      <c r="C75" s="57"/>
      <c r="D75" s="57"/>
      <c r="E75" s="57"/>
      <c r="F75" s="57"/>
      <c r="G75" s="57"/>
      <c r="H75" s="57"/>
      <c r="I75" s="57"/>
      <c r="J75" s="57"/>
      <c r="K75" s="57"/>
      <c r="L75" s="57"/>
      <c r="M75" s="57"/>
    </row>
    <row r="76" spans="1:14" ht="13" x14ac:dyDescent="0.25">
      <c r="A76" s="67"/>
      <c r="B76" s="67"/>
      <c r="C76" s="67"/>
      <c r="D76" s="68"/>
      <c r="E76" s="68"/>
      <c r="F76" s="68"/>
      <c r="G76" s="68"/>
      <c r="I76" s="68"/>
      <c r="J76" s="68"/>
      <c r="K76" s="68"/>
      <c r="L76" s="68"/>
      <c r="M76" s="68"/>
    </row>
    <row r="77" spans="1:14" ht="13" x14ac:dyDescent="0.25">
      <c r="A77" s="67"/>
      <c r="B77" s="67"/>
      <c r="C77" s="67"/>
      <c r="D77" s="57"/>
      <c r="G77" s="57"/>
      <c r="H77" s="57"/>
      <c r="I77" s="57"/>
      <c r="J77" s="68"/>
      <c r="K77" s="68"/>
      <c r="L77" s="57"/>
      <c r="M77" s="57"/>
    </row>
    <row r="78" spans="1:14" x14ac:dyDescent="0.25">
      <c r="A78" s="69"/>
      <c r="B78" s="69"/>
      <c r="C78" s="69"/>
      <c r="D78" s="59"/>
      <c r="E78" s="1"/>
      <c r="F78" s="1"/>
      <c r="G78" s="59"/>
      <c r="H78" s="1"/>
      <c r="I78" s="1"/>
      <c r="J78" s="1"/>
      <c r="K78" s="1"/>
      <c r="L78" s="8"/>
      <c r="M78" s="8"/>
    </row>
    <row r="79" spans="1:14" x14ac:dyDescent="0.25">
      <c r="A79" s="69"/>
      <c r="B79" s="69"/>
      <c r="C79" s="69"/>
      <c r="D79" s="59"/>
      <c r="E79" s="1"/>
      <c r="F79" s="1"/>
      <c r="G79" s="59"/>
      <c r="H79" s="1"/>
      <c r="I79" s="1"/>
      <c r="J79" s="1"/>
      <c r="K79" s="1"/>
      <c r="L79" s="8"/>
      <c r="M79" s="8"/>
    </row>
    <row r="80" spans="1:14" x14ac:dyDescent="0.25">
      <c r="A80" s="69"/>
      <c r="B80" s="69"/>
      <c r="C80" s="69"/>
      <c r="D80" s="59"/>
      <c r="E80" s="1"/>
      <c r="F80" s="1"/>
      <c r="G80" s="59"/>
      <c r="H80" s="1"/>
      <c r="I80" s="1"/>
      <c r="J80" s="1"/>
      <c r="K80" s="1"/>
      <c r="L80" s="8"/>
      <c r="M80" s="8"/>
    </row>
  </sheetData>
  <mergeCells count="67">
    <mergeCell ref="B3:O4"/>
    <mergeCell ref="B5:C5"/>
    <mergeCell ref="B6:C9"/>
    <mergeCell ref="D6:F7"/>
    <mergeCell ref="G6:G9"/>
    <mergeCell ref="H6:H9"/>
    <mergeCell ref="I6:I7"/>
    <mergeCell ref="J6:J7"/>
    <mergeCell ref="K6:K7"/>
    <mergeCell ref="L6:L7"/>
    <mergeCell ref="B12:C12"/>
    <mergeCell ref="M6:M7"/>
    <mergeCell ref="N6:N7"/>
    <mergeCell ref="O6:O7"/>
    <mergeCell ref="D8:D9"/>
    <mergeCell ref="E8:E9"/>
    <mergeCell ref="F8:F9"/>
    <mergeCell ref="I8:I9"/>
    <mergeCell ref="J8:J9"/>
    <mergeCell ref="K8:K9"/>
    <mergeCell ref="L8:L9"/>
    <mergeCell ref="M8:M9"/>
    <mergeCell ref="N8:N9"/>
    <mergeCell ref="O8:O9"/>
    <mergeCell ref="B10:O10"/>
    <mergeCell ref="B11:C11"/>
    <mergeCell ref="B13:C13"/>
    <mergeCell ref="B14:C14"/>
    <mergeCell ref="B15:C15"/>
    <mergeCell ref="B16:C16"/>
    <mergeCell ref="B18:C18"/>
    <mergeCell ref="B17:C17"/>
    <mergeCell ref="B30:C30"/>
    <mergeCell ref="B36:J37"/>
    <mergeCell ref="B29:C29"/>
    <mergeCell ref="H38:J38"/>
    <mergeCell ref="B20:O20"/>
    <mergeCell ref="B21:C21"/>
    <mergeCell ref="B22:C22"/>
    <mergeCell ref="B23:C23"/>
    <mergeCell ref="B28:C28"/>
    <mergeCell ref="B38:D38"/>
    <mergeCell ref="B24:C24"/>
    <mergeCell ref="B25:C25"/>
    <mergeCell ref="B26:C26"/>
    <mergeCell ref="B27:C27"/>
    <mergeCell ref="B40:D41"/>
    <mergeCell ref="E40:G40"/>
    <mergeCell ref="H40:J40"/>
    <mergeCell ref="E41:G41"/>
    <mergeCell ref="H41:J41"/>
    <mergeCell ref="R5:T12"/>
    <mergeCell ref="H43:J43"/>
    <mergeCell ref="B19:C19"/>
    <mergeCell ref="E38:G38"/>
    <mergeCell ref="B44:D45"/>
    <mergeCell ref="E44:G44"/>
    <mergeCell ref="H44:J44"/>
    <mergeCell ref="E45:G45"/>
    <mergeCell ref="H45:J45"/>
    <mergeCell ref="B42:D43"/>
    <mergeCell ref="E42:G42"/>
    <mergeCell ref="H42:J42"/>
    <mergeCell ref="E43:G43"/>
    <mergeCell ref="B39:D39"/>
    <mergeCell ref="E39:G39"/>
    <mergeCell ref="H39:J39"/>
  </mergeCells>
  <dataValidations count="1">
    <dataValidation type="list" allowBlank="1" showInputMessage="1" showErrorMessage="1" sqref="AO43" xr:uid="{00000000-0002-0000-0800-000000000000}">
      <formula1>Local</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B2:AA50"/>
  <sheetViews>
    <sheetView topLeftCell="A13" workbookViewId="0">
      <selection activeCell="P42" sqref="P42"/>
    </sheetView>
  </sheetViews>
  <sheetFormatPr defaultRowHeight="12.5" x14ac:dyDescent="0.25"/>
  <cols>
    <col min="2" max="13" width="13.7265625" customWidth="1"/>
    <col min="15" max="15" width="9.1796875" customWidth="1"/>
    <col min="16" max="16" width="13.7265625" customWidth="1"/>
    <col min="18" max="27" width="13.7265625" customWidth="1"/>
  </cols>
  <sheetData>
    <row r="2" spans="2:27" ht="13" x14ac:dyDescent="0.3">
      <c r="B2" s="86" t="s">
        <v>306</v>
      </c>
      <c r="R2" s="86" t="s">
        <v>307</v>
      </c>
    </row>
    <row r="4" spans="2:27" ht="13" thickBot="1" x14ac:dyDescent="0.3">
      <c r="B4" s="12"/>
      <c r="E4" s="1"/>
      <c r="K4" s="13"/>
    </row>
    <row r="5" spans="2:27" ht="13" thickTop="1" x14ac:dyDescent="0.25">
      <c r="B5" s="735" t="s">
        <v>324</v>
      </c>
      <c r="C5" s="735"/>
      <c r="D5" s="735"/>
      <c r="E5" s="735"/>
      <c r="F5" s="735"/>
      <c r="G5" s="735"/>
      <c r="H5" s="735"/>
      <c r="I5" s="735"/>
      <c r="J5" s="735"/>
      <c r="K5" s="13"/>
      <c r="R5" s="503" t="s">
        <v>333</v>
      </c>
      <c r="S5" s="503"/>
      <c r="T5" s="503"/>
      <c r="U5" s="503"/>
      <c r="V5" s="503"/>
      <c r="W5" s="503"/>
      <c r="X5" s="503"/>
      <c r="Y5" s="503"/>
      <c r="Z5" s="503"/>
      <c r="AA5" s="503"/>
    </row>
    <row r="6" spans="2:27" ht="13" thickBot="1" x14ac:dyDescent="0.3">
      <c r="B6" s="504"/>
      <c r="C6" s="504"/>
      <c r="D6" s="504"/>
      <c r="E6" s="504"/>
      <c r="F6" s="504"/>
      <c r="G6" s="504"/>
      <c r="H6" s="504"/>
      <c r="I6" s="504"/>
      <c r="J6" s="504"/>
      <c r="K6" s="13"/>
      <c r="R6" s="504"/>
      <c r="S6" s="504"/>
      <c r="T6" s="504"/>
      <c r="U6" s="504"/>
      <c r="V6" s="504"/>
      <c r="W6" s="504"/>
      <c r="X6" s="504"/>
      <c r="Y6" s="504"/>
      <c r="Z6" s="504"/>
      <c r="AA6" s="504"/>
    </row>
    <row r="7" spans="2:27" ht="13" x14ac:dyDescent="0.3">
      <c r="B7" s="749" t="s">
        <v>118</v>
      </c>
      <c r="C7" s="750"/>
      <c r="D7" s="750"/>
      <c r="E7" s="743" t="s">
        <v>886</v>
      </c>
      <c r="F7" s="743"/>
      <c r="G7" s="743"/>
      <c r="H7" s="743"/>
      <c r="I7" s="743"/>
      <c r="J7" s="744"/>
      <c r="R7" s="785" t="s">
        <v>127</v>
      </c>
      <c r="S7" s="509" t="s">
        <v>9</v>
      </c>
      <c r="T7" s="509"/>
      <c r="U7" s="509"/>
      <c r="V7" s="509"/>
      <c r="W7" s="509"/>
      <c r="X7" s="509"/>
      <c r="Y7" s="509"/>
      <c r="Z7" s="509"/>
      <c r="AA7" s="510"/>
    </row>
    <row r="8" spans="2:27" ht="13" x14ac:dyDescent="0.3">
      <c r="B8" s="683" t="s">
        <v>192</v>
      </c>
      <c r="C8" s="348"/>
      <c r="D8" s="121" t="s">
        <v>191</v>
      </c>
      <c r="E8" s="751" t="s">
        <v>141</v>
      </c>
      <c r="F8" s="751"/>
      <c r="G8" s="751"/>
      <c r="H8" s="594" t="s">
        <v>356</v>
      </c>
      <c r="I8" s="594"/>
      <c r="J8" s="394"/>
      <c r="R8" s="786"/>
      <c r="S8" s="17">
        <v>0</v>
      </c>
      <c r="T8" s="17">
        <v>1</v>
      </c>
      <c r="U8" s="17">
        <v>2</v>
      </c>
      <c r="V8" s="17">
        <v>3</v>
      </c>
      <c r="W8" s="17">
        <v>4</v>
      </c>
      <c r="X8" s="17">
        <v>5</v>
      </c>
      <c r="Y8" s="17">
        <v>6</v>
      </c>
      <c r="Z8" s="17">
        <v>7</v>
      </c>
      <c r="AA8" s="33">
        <v>8</v>
      </c>
    </row>
    <row r="9" spans="2:27" x14ac:dyDescent="0.25">
      <c r="B9" s="757" t="s">
        <v>134</v>
      </c>
      <c r="C9" s="758"/>
      <c r="D9" s="758"/>
      <c r="E9" s="747">
        <v>1.3</v>
      </c>
      <c r="F9" s="747"/>
      <c r="G9" s="747"/>
      <c r="H9" s="730">
        <v>3.1</v>
      </c>
      <c r="I9" s="730"/>
      <c r="J9" s="731"/>
      <c r="R9" s="47" t="s">
        <v>154</v>
      </c>
      <c r="S9" s="34">
        <v>1</v>
      </c>
      <c r="T9" s="34">
        <v>1</v>
      </c>
      <c r="U9" s="34">
        <v>1</v>
      </c>
      <c r="V9" s="34">
        <v>1</v>
      </c>
      <c r="W9" s="34">
        <v>1</v>
      </c>
      <c r="X9" s="34">
        <f>+(W9+Y9)/2</f>
        <v>1</v>
      </c>
      <c r="Y9" s="34">
        <v>1</v>
      </c>
      <c r="Z9" s="34">
        <f>+(Y9+AA9)/2</f>
        <v>1</v>
      </c>
      <c r="AA9" s="35">
        <v>1</v>
      </c>
    </row>
    <row r="10" spans="2:27" x14ac:dyDescent="0.25">
      <c r="B10" s="757" t="s">
        <v>135</v>
      </c>
      <c r="C10" s="758"/>
      <c r="D10" s="758"/>
      <c r="E10" s="736">
        <v>5.4</v>
      </c>
      <c r="F10" s="736"/>
      <c r="G10" s="736"/>
      <c r="H10" s="730">
        <v>7.7</v>
      </c>
      <c r="I10" s="730"/>
      <c r="J10" s="731"/>
      <c r="R10" s="47" t="s">
        <v>155</v>
      </c>
      <c r="S10" s="34">
        <v>1</v>
      </c>
      <c r="T10" s="34">
        <v>1</v>
      </c>
      <c r="U10" s="34">
        <v>1.01</v>
      </c>
      <c r="V10" s="34">
        <v>1.01</v>
      </c>
      <c r="W10" s="34">
        <v>1.01</v>
      </c>
      <c r="X10" s="34">
        <f>+(W10+Y10)/2</f>
        <v>1.0150000000000001</v>
      </c>
      <c r="Y10" s="34">
        <v>1.02</v>
      </c>
      <c r="Z10" s="34">
        <f>+(Y10+AA10)/2</f>
        <v>1.02</v>
      </c>
      <c r="AA10" s="35">
        <v>1.02</v>
      </c>
    </row>
    <row r="11" spans="2:27" x14ac:dyDescent="0.25">
      <c r="B11" s="757" t="s">
        <v>136</v>
      </c>
      <c r="C11" s="758"/>
      <c r="D11" s="758"/>
      <c r="E11" s="736">
        <v>10.9</v>
      </c>
      <c r="F11" s="736"/>
      <c r="G11" s="736"/>
      <c r="H11" s="730">
        <v>25.2</v>
      </c>
      <c r="I11" s="730"/>
      <c r="J11" s="731"/>
      <c r="R11" s="47" t="s">
        <v>156</v>
      </c>
      <c r="S11" s="34">
        <v>1</v>
      </c>
      <c r="T11" s="34">
        <v>1.01</v>
      </c>
      <c r="U11" s="34">
        <v>1.02</v>
      </c>
      <c r="V11" s="34">
        <v>1.02</v>
      </c>
      <c r="W11" s="34">
        <v>1.03</v>
      </c>
      <c r="X11" s="34">
        <f>+(W11+Y11)/2</f>
        <v>1.0350000000000001</v>
      </c>
      <c r="Y11" s="34">
        <v>1.04</v>
      </c>
      <c r="Z11" s="34">
        <f>+(Y11+AA11)/2</f>
        <v>1.05</v>
      </c>
      <c r="AA11" s="35">
        <v>1.06</v>
      </c>
    </row>
    <row r="12" spans="2:27" ht="13" thickBot="1" x14ac:dyDescent="0.3">
      <c r="B12" s="732" t="s">
        <v>137</v>
      </c>
      <c r="C12" s="733"/>
      <c r="D12" s="733"/>
      <c r="E12" s="739">
        <v>14.5</v>
      </c>
      <c r="F12" s="739"/>
      <c r="G12" s="739"/>
      <c r="H12" s="745">
        <v>18</v>
      </c>
      <c r="I12" s="745"/>
      <c r="J12" s="746"/>
      <c r="R12" s="49" t="s">
        <v>157</v>
      </c>
      <c r="S12" s="36">
        <v>1</v>
      </c>
      <c r="T12" s="36">
        <v>1.01</v>
      </c>
      <c r="U12" s="36">
        <v>1.03</v>
      </c>
      <c r="V12" s="36">
        <v>1.04</v>
      </c>
      <c r="W12" s="36">
        <v>1.05</v>
      </c>
      <c r="X12" s="34">
        <f>+(W12+Y12)/2</f>
        <v>1.0649999999999999</v>
      </c>
      <c r="Y12" s="36">
        <v>1.08</v>
      </c>
      <c r="Z12" s="34">
        <f>+(Y12+AA12)/2</f>
        <v>1.0950000000000002</v>
      </c>
      <c r="AA12" s="37">
        <v>1.1100000000000001</v>
      </c>
    </row>
    <row r="13" spans="2:27" ht="13" thickTop="1" x14ac:dyDescent="0.25">
      <c r="B13" s="770" t="s">
        <v>138</v>
      </c>
      <c r="C13" s="771"/>
      <c r="D13" s="771"/>
      <c r="E13" s="737">
        <f>SUM(E9:E12)</f>
        <v>32.1</v>
      </c>
      <c r="F13" s="737"/>
      <c r="G13" s="737"/>
      <c r="H13" s="737">
        <f>SUM(H9:H12)</f>
        <v>54</v>
      </c>
      <c r="I13" s="737"/>
      <c r="J13" s="738"/>
      <c r="R13" s="787" t="s">
        <v>188</v>
      </c>
      <c r="S13" s="788"/>
      <c r="T13" s="788"/>
      <c r="U13" s="788"/>
      <c r="V13" s="788"/>
      <c r="W13" s="788"/>
      <c r="X13" s="788"/>
      <c r="Y13" s="788"/>
      <c r="Z13" s="788"/>
      <c r="AA13" s="788"/>
    </row>
    <row r="14" spans="2:27" ht="13" thickBot="1" x14ac:dyDescent="0.3">
      <c r="B14" s="732" t="s">
        <v>139</v>
      </c>
      <c r="C14" s="733"/>
      <c r="D14" s="733"/>
      <c r="E14" s="739">
        <f>100-E13</f>
        <v>67.900000000000006</v>
      </c>
      <c r="F14" s="739"/>
      <c r="G14" s="739"/>
      <c r="H14" s="739">
        <f>100-H13</f>
        <v>46</v>
      </c>
      <c r="I14" s="739"/>
      <c r="J14" s="740"/>
      <c r="R14" s="782"/>
      <c r="S14" s="782"/>
      <c r="T14" s="782"/>
      <c r="U14" s="782"/>
      <c r="V14" s="782"/>
      <c r="W14" s="782"/>
      <c r="X14" s="782"/>
      <c r="Y14" s="782"/>
      <c r="Z14" s="782"/>
      <c r="AA14" s="782"/>
    </row>
    <row r="15" spans="2:27" ht="13.5" thickTop="1" thickBot="1" x14ac:dyDescent="0.3">
      <c r="B15" s="761" t="s">
        <v>140</v>
      </c>
      <c r="C15" s="762"/>
      <c r="D15" s="762"/>
      <c r="E15" s="741">
        <f>SUM(E13:E14)</f>
        <v>100</v>
      </c>
      <c r="F15" s="741"/>
      <c r="G15" s="741"/>
      <c r="H15" s="741">
        <f>SUM(H13:H14)</f>
        <v>100</v>
      </c>
      <c r="I15" s="741"/>
      <c r="J15" s="742"/>
    </row>
    <row r="16" spans="2:27" x14ac:dyDescent="0.25">
      <c r="B16" s="145" t="s">
        <v>327</v>
      </c>
      <c r="C16" s="14"/>
      <c r="D16" s="14"/>
      <c r="E16" s="14"/>
      <c r="F16" s="14"/>
    </row>
    <row r="17" spans="2:27" ht="13" thickBot="1" x14ac:dyDescent="0.3">
      <c r="B17" s="14"/>
      <c r="C17" s="14"/>
      <c r="D17" s="14"/>
      <c r="E17" s="14"/>
      <c r="F17" s="14"/>
    </row>
    <row r="18" spans="2:27" ht="13" thickTop="1" x14ac:dyDescent="0.25">
      <c r="B18" s="764" t="s">
        <v>325</v>
      </c>
      <c r="C18" s="735"/>
      <c r="D18" s="735"/>
      <c r="E18" s="735"/>
      <c r="F18" s="735"/>
      <c r="G18" s="735"/>
      <c r="H18" s="735"/>
      <c r="I18" s="735"/>
      <c r="J18" s="735"/>
      <c r="K18" s="735"/>
      <c r="L18" s="735"/>
    </row>
    <row r="19" spans="2:27" ht="13" thickBot="1" x14ac:dyDescent="0.3">
      <c r="B19" s="765"/>
      <c r="C19" s="765"/>
      <c r="D19" s="765"/>
      <c r="E19" s="765"/>
      <c r="F19" s="765"/>
      <c r="G19" s="765"/>
      <c r="H19" s="765"/>
      <c r="I19" s="765"/>
      <c r="J19" s="765"/>
      <c r="K19" s="765"/>
      <c r="L19" s="765"/>
    </row>
    <row r="20" spans="2:27" ht="13" x14ac:dyDescent="0.3">
      <c r="B20" s="14"/>
      <c r="C20" s="14"/>
      <c r="D20" s="14"/>
      <c r="E20" s="752" t="s">
        <v>887</v>
      </c>
      <c r="F20" s="752"/>
      <c r="G20" s="752"/>
      <c r="H20" s="752"/>
      <c r="I20" s="752"/>
      <c r="J20" s="752"/>
      <c r="K20" s="752"/>
      <c r="L20" s="752"/>
    </row>
    <row r="21" spans="2:27" ht="13" x14ac:dyDescent="0.3">
      <c r="E21" s="756" t="s">
        <v>141</v>
      </c>
      <c r="F21" s="492"/>
      <c r="G21" s="492"/>
      <c r="H21" s="395"/>
      <c r="I21" s="756" t="s">
        <v>356</v>
      </c>
      <c r="J21" s="492"/>
      <c r="K21" s="492"/>
      <c r="L21" s="492"/>
    </row>
    <row r="22" spans="2:27" ht="13" x14ac:dyDescent="0.3">
      <c r="B22" s="15" t="s">
        <v>143</v>
      </c>
      <c r="E22" s="766" t="s">
        <v>149</v>
      </c>
      <c r="F22" s="753" t="s">
        <v>150</v>
      </c>
      <c r="G22" s="753" t="s">
        <v>151</v>
      </c>
      <c r="H22" s="754"/>
      <c r="I22" s="753" t="s">
        <v>149</v>
      </c>
      <c r="J22" s="753" t="s">
        <v>150</v>
      </c>
      <c r="K22" s="753" t="s">
        <v>151</v>
      </c>
      <c r="L22" s="755"/>
    </row>
    <row r="23" spans="2:27" x14ac:dyDescent="0.25">
      <c r="B23" s="734" t="s">
        <v>192</v>
      </c>
      <c r="C23" s="498"/>
      <c r="D23" s="129" t="s">
        <v>190</v>
      </c>
      <c r="E23" s="766"/>
      <c r="F23" s="753"/>
      <c r="G23" s="755"/>
      <c r="H23" s="754"/>
      <c r="I23" s="753"/>
      <c r="J23" s="753"/>
      <c r="K23" s="755"/>
      <c r="L23" s="755"/>
    </row>
    <row r="24" spans="2:27" ht="13" x14ac:dyDescent="0.3">
      <c r="B24" s="20" t="s">
        <v>144</v>
      </c>
      <c r="C24" s="21"/>
      <c r="D24" s="21"/>
      <c r="E24" s="22"/>
      <c r="F24" s="21"/>
      <c r="G24" s="513"/>
      <c r="H24" s="763"/>
      <c r="I24" s="21"/>
      <c r="J24" s="21"/>
      <c r="K24" s="499"/>
      <c r="L24" s="499"/>
    </row>
    <row r="25" spans="2:27" x14ac:dyDescent="0.25">
      <c r="B25" s="14" t="s">
        <v>104</v>
      </c>
      <c r="E25" s="23">
        <v>3.8</v>
      </c>
      <c r="F25" s="1">
        <v>18.399999999999999</v>
      </c>
      <c r="G25" s="767">
        <v>12.1</v>
      </c>
      <c r="H25" s="768"/>
      <c r="I25" s="130">
        <v>3.9</v>
      </c>
      <c r="J25" s="130">
        <v>18.5</v>
      </c>
      <c r="K25" s="769">
        <v>12.2</v>
      </c>
      <c r="L25" s="769"/>
      <c r="N25" s="1"/>
      <c r="O25" s="1"/>
      <c r="P25" s="238"/>
      <c r="S25" s="1"/>
      <c r="T25" s="1"/>
      <c r="U25" s="262"/>
      <c r="Z25" s="262"/>
    </row>
    <row r="26" spans="2:27" x14ac:dyDescent="0.25">
      <c r="B26" s="14" t="s">
        <v>105</v>
      </c>
      <c r="E26" s="239">
        <v>0.4</v>
      </c>
      <c r="F26" s="1">
        <v>0.1</v>
      </c>
      <c r="G26" s="767">
        <v>0.2</v>
      </c>
      <c r="H26" s="768"/>
      <c r="I26" s="130">
        <v>0</v>
      </c>
      <c r="J26" s="130">
        <v>0</v>
      </c>
      <c r="K26" s="769">
        <v>0</v>
      </c>
      <c r="L26" s="769"/>
      <c r="N26" s="1"/>
      <c r="O26" s="1"/>
      <c r="P26" s="238"/>
      <c r="S26" s="1"/>
      <c r="T26" s="1"/>
      <c r="U26" s="262"/>
      <c r="Z26" s="262"/>
    </row>
    <row r="27" spans="2:27" x14ac:dyDescent="0.25">
      <c r="B27" s="14" t="s">
        <v>106</v>
      </c>
      <c r="E27" s="239">
        <v>0.7</v>
      </c>
      <c r="F27" s="1">
        <v>0.1</v>
      </c>
      <c r="G27" s="767">
        <v>0.3</v>
      </c>
      <c r="H27" s="768"/>
      <c r="I27" s="130">
        <v>0</v>
      </c>
      <c r="J27" s="130">
        <v>0</v>
      </c>
      <c r="K27" s="769">
        <v>0</v>
      </c>
      <c r="L27" s="769"/>
      <c r="N27" s="1"/>
      <c r="O27" s="1"/>
      <c r="P27" s="238"/>
      <c r="S27" s="1"/>
      <c r="T27" s="1"/>
      <c r="U27" s="262"/>
      <c r="Z27" s="262"/>
    </row>
    <row r="28" spans="2:27" x14ac:dyDescent="0.25">
      <c r="B28" s="14" t="s">
        <v>107</v>
      </c>
      <c r="E28" s="23">
        <v>3.7</v>
      </c>
      <c r="F28" s="1">
        <v>1.5</v>
      </c>
      <c r="G28" s="767">
        <v>2.5</v>
      </c>
      <c r="H28" s="768"/>
      <c r="I28" s="130">
        <v>3.8</v>
      </c>
      <c r="J28" s="130">
        <v>1.5</v>
      </c>
      <c r="K28" s="769">
        <v>2.5</v>
      </c>
      <c r="L28" s="769"/>
      <c r="N28" s="1"/>
      <c r="O28" s="1"/>
      <c r="P28" s="238"/>
      <c r="S28" s="1"/>
      <c r="T28" s="1"/>
      <c r="U28" s="262"/>
      <c r="Z28" s="262"/>
    </row>
    <row r="29" spans="2:27" x14ac:dyDescent="0.25">
      <c r="B29" s="14" t="s">
        <v>108</v>
      </c>
      <c r="E29" s="23">
        <v>54.5</v>
      </c>
      <c r="F29" s="1">
        <v>50.5</v>
      </c>
      <c r="G29" s="767">
        <v>52.1</v>
      </c>
      <c r="H29" s="768"/>
      <c r="I29" s="130">
        <v>55.4</v>
      </c>
      <c r="J29" s="130">
        <v>50.6</v>
      </c>
      <c r="K29" s="769">
        <v>52.5</v>
      </c>
      <c r="L29" s="769"/>
      <c r="N29" s="1"/>
      <c r="O29" s="1"/>
      <c r="P29" s="238"/>
      <c r="S29" s="1"/>
      <c r="T29" s="1"/>
      <c r="U29" s="262"/>
      <c r="Z29" s="262"/>
    </row>
    <row r="30" spans="2:27" x14ac:dyDescent="0.25">
      <c r="B30" s="14" t="s">
        <v>145</v>
      </c>
      <c r="E30" s="23">
        <v>0.7</v>
      </c>
      <c r="F30" s="1">
        <v>2.9</v>
      </c>
      <c r="G30" s="767">
        <v>2.1</v>
      </c>
      <c r="H30" s="768"/>
      <c r="I30" s="130">
        <v>0.7</v>
      </c>
      <c r="J30" s="130">
        <v>2.9</v>
      </c>
      <c r="K30" s="769">
        <v>2.1</v>
      </c>
      <c r="L30" s="769"/>
      <c r="N30" s="1"/>
      <c r="O30" s="1"/>
      <c r="P30" s="238"/>
      <c r="S30" s="1"/>
      <c r="T30" s="1"/>
      <c r="U30" s="262"/>
      <c r="Z30" s="262"/>
    </row>
    <row r="31" spans="2:27" x14ac:dyDescent="0.25">
      <c r="B31" s="146" t="s">
        <v>110</v>
      </c>
      <c r="C31" s="44"/>
      <c r="D31" s="44"/>
      <c r="E31" s="136">
        <f>SUM(E25:E30)</f>
        <v>63.800000000000004</v>
      </c>
      <c r="F31" s="137">
        <f>SUM(F25:F30)</f>
        <v>73.5</v>
      </c>
      <c r="G31" s="348">
        <f>SUM(G25:H30)</f>
        <v>69.3</v>
      </c>
      <c r="H31" s="349"/>
      <c r="I31" s="139">
        <f>SUM(I25:I30)</f>
        <v>63.8</v>
      </c>
      <c r="J31" s="140">
        <f>SUM(J25:J30)</f>
        <v>73.5</v>
      </c>
      <c r="K31" s="355">
        <f>SUM(K25:L30)</f>
        <v>69.3</v>
      </c>
      <c r="L31" s="355"/>
      <c r="N31" s="238"/>
      <c r="P31" s="238"/>
      <c r="Q31" s="238"/>
      <c r="S31" s="238"/>
      <c r="T31" s="238"/>
      <c r="U31" s="238"/>
      <c r="V31" s="238"/>
      <c r="X31" s="238"/>
      <c r="Y31" s="238"/>
      <c r="Z31" s="238"/>
      <c r="AA31" s="238"/>
    </row>
    <row r="32" spans="2:27" ht="13" x14ac:dyDescent="0.3">
      <c r="B32" s="16" t="s">
        <v>146</v>
      </c>
      <c r="E32" s="23"/>
      <c r="F32" s="1"/>
      <c r="G32" s="513"/>
      <c r="H32" s="763"/>
      <c r="I32" s="8"/>
      <c r="J32" s="8"/>
      <c r="K32" s="789"/>
      <c r="L32" s="789"/>
    </row>
    <row r="33" spans="2:15" x14ac:dyDescent="0.25">
      <c r="B33" s="14" t="s">
        <v>112</v>
      </c>
      <c r="E33" s="42">
        <v>10</v>
      </c>
      <c r="F33" s="1">
        <v>7.2</v>
      </c>
      <c r="G33" s="767">
        <v>8.5</v>
      </c>
      <c r="H33" s="768"/>
      <c r="I33" s="42">
        <v>10</v>
      </c>
      <c r="J33" s="1">
        <v>7.2</v>
      </c>
      <c r="K33" s="767">
        <v>8.5</v>
      </c>
      <c r="L33" s="768"/>
    </row>
    <row r="34" spans="2:15" x14ac:dyDescent="0.25">
      <c r="B34" s="14" t="s">
        <v>113</v>
      </c>
      <c r="E34" s="23">
        <v>3.4</v>
      </c>
      <c r="F34" s="1">
        <v>0.3</v>
      </c>
      <c r="G34" s="767">
        <v>1.6</v>
      </c>
      <c r="H34" s="768"/>
      <c r="I34" s="23">
        <v>3.4</v>
      </c>
      <c r="J34" s="1">
        <v>0.3</v>
      </c>
      <c r="K34" s="767">
        <v>1.6</v>
      </c>
      <c r="L34" s="768"/>
    </row>
    <row r="35" spans="2:15" x14ac:dyDescent="0.25">
      <c r="B35" s="14" t="s">
        <v>114</v>
      </c>
      <c r="E35" s="23">
        <v>16.399999999999999</v>
      </c>
      <c r="F35" s="1">
        <v>12.2</v>
      </c>
      <c r="G35" s="767">
        <v>14.2</v>
      </c>
      <c r="H35" s="768"/>
      <c r="I35" s="23">
        <v>16.399999999999999</v>
      </c>
      <c r="J35" s="1">
        <v>12.2</v>
      </c>
      <c r="K35" s="767">
        <v>14.2</v>
      </c>
      <c r="L35" s="768"/>
    </row>
    <row r="36" spans="2:15" x14ac:dyDescent="0.25">
      <c r="B36" s="14" t="s">
        <v>115</v>
      </c>
      <c r="E36" s="23">
        <v>3.8</v>
      </c>
      <c r="F36" s="1">
        <v>3.8</v>
      </c>
      <c r="G36" s="767">
        <v>3.7</v>
      </c>
      <c r="H36" s="768"/>
      <c r="I36" s="23">
        <v>3.8</v>
      </c>
      <c r="J36" s="1">
        <v>3.8</v>
      </c>
      <c r="K36" s="767">
        <v>3.7</v>
      </c>
      <c r="L36" s="768"/>
    </row>
    <row r="37" spans="2:15" x14ac:dyDescent="0.25">
      <c r="B37" s="14" t="s">
        <v>116</v>
      </c>
      <c r="E37" s="23">
        <v>2.6</v>
      </c>
      <c r="F37" s="8">
        <v>3</v>
      </c>
      <c r="G37" s="767">
        <v>2.7</v>
      </c>
      <c r="H37" s="768"/>
      <c r="I37" s="23">
        <v>2.6</v>
      </c>
      <c r="J37" s="8">
        <v>3</v>
      </c>
      <c r="K37" s="767">
        <v>2.7</v>
      </c>
      <c r="L37" s="768"/>
    </row>
    <row r="38" spans="2:15" x14ac:dyDescent="0.25">
      <c r="B38" s="146" t="s">
        <v>147</v>
      </c>
      <c r="C38" s="44"/>
      <c r="D38" s="44"/>
      <c r="E38" s="136">
        <f>SUM(E33:E37)</f>
        <v>36.199999999999996</v>
      </c>
      <c r="F38" s="137">
        <f>SUM(F33:F37)</f>
        <v>26.5</v>
      </c>
      <c r="G38" s="511">
        <f>SUM(G33:H37)</f>
        <v>30.699999999999996</v>
      </c>
      <c r="H38" s="349"/>
      <c r="I38" s="139">
        <f>SUM(I33:I37)</f>
        <v>36.199999999999996</v>
      </c>
      <c r="J38" s="140">
        <f>SUM(J33:J37)</f>
        <v>26.5</v>
      </c>
      <c r="K38" s="748">
        <f>SUM(K33:L37)</f>
        <v>30.699999999999996</v>
      </c>
      <c r="L38" s="355"/>
    </row>
    <row r="39" spans="2:15" ht="13" thickBot="1" x14ac:dyDescent="0.3">
      <c r="B39" s="18" t="s">
        <v>148</v>
      </c>
      <c r="C39" s="19"/>
      <c r="D39" s="19"/>
      <c r="E39" s="24">
        <f>+E31+E38</f>
        <v>100</v>
      </c>
      <c r="F39" s="25">
        <f>+F31+F38</f>
        <v>100</v>
      </c>
      <c r="G39" s="344">
        <v>100</v>
      </c>
      <c r="H39" s="772"/>
      <c r="I39" s="24">
        <f>+I31+I38</f>
        <v>100</v>
      </c>
      <c r="J39" s="25">
        <f>+J31+J38</f>
        <v>100</v>
      </c>
      <c r="K39" s="344">
        <f>K31+K38</f>
        <v>100</v>
      </c>
      <c r="L39" s="344"/>
    </row>
    <row r="40" spans="2:15" x14ac:dyDescent="0.25">
      <c r="B40" s="85" t="s">
        <v>326</v>
      </c>
    </row>
    <row r="42" spans="2:15" ht="13" thickBot="1" x14ac:dyDescent="0.3"/>
    <row r="43" spans="2:15" ht="13.5" thickBot="1" x14ac:dyDescent="0.35">
      <c r="B43" s="384" t="s">
        <v>337</v>
      </c>
      <c r="C43" s="384"/>
      <c r="D43" s="384"/>
      <c r="E43" s="384"/>
      <c r="F43" s="384"/>
      <c r="G43" s="384"/>
      <c r="H43" s="384"/>
      <c r="I43" s="384"/>
      <c r="J43" s="384"/>
      <c r="K43" s="384"/>
      <c r="L43" s="384"/>
      <c r="M43" s="384"/>
      <c r="N43" s="384"/>
      <c r="O43" s="9"/>
    </row>
    <row r="44" spans="2:15" ht="13" x14ac:dyDescent="0.3">
      <c r="B44" s="760" t="s">
        <v>187</v>
      </c>
      <c r="C44" s="509" t="s">
        <v>888</v>
      </c>
      <c r="D44" s="576"/>
      <c r="E44" s="576"/>
      <c r="F44" s="576"/>
      <c r="G44" s="576"/>
      <c r="H44" s="576"/>
      <c r="I44" s="509" t="s">
        <v>889</v>
      </c>
      <c r="J44" s="576"/>
      <c r="K44" s="576"/>
      <c r="L44" s="576"/>
      <c r="M44" s="576"/>
      <c r="N44" s="401"/>
      <c r="O44" s="1"/>
    </row>
    <row r="45" spans="2:15" x14ac:dyDescent="0.25">
      <c r="B45" s="404"/>
      <c r="C45" s="734" t="s">
        <v>192</v>
      </c>
      <c r="D45" s="498"/>
      <c r="E45" s="141" t="s">
        <v>191</v>
      </c>
      <c r="F45" s="776" t="s">
        <v>186</v>
      </c>
      <c r="G45" s="499"/>
      <c r="H45" s="433"/>
      <c r="I45" s="652" t="s">
        <v>185</v>
      </c>
      <c r="J45" s="652"/>
      <c r="K45" s="652"/>
      <c r="L45" s="652" t="s">
        <v>186</v>
      </c>
      <c r="M45" s="652"/>
      <c r="N45" s="759"/>
      <c r="O45" s="131"/>
    </row>
    <row r="46" spans="2:15" x14ac:dyDescent="0.25">
      <c r="B46" s="404"/>
      <c r="C46" s="766" t="s">
        <v>185</v>
      </c>
      <c r="D46" s="782"/>
      <c r="E46" s="537"/>
      <c r="F46" s="489"/>
      <c r="G46" s="403"/>
      <c r="H46" s="404"/>
      <c r="I46" s="652"/>
      <c r="J46" s="652"/>
      <c r="K46" s="652"/>
      <c r="L46" s="652"/>
      <c r="M46" s="652"/>
      <c r="N46" s="759"/>
      <c r="O46" s="131"/>
    </row>
    <row r="47" spans="2:15" x14ac:dyDescent="0.25">
      <c r="B47" s="404"/>
      <c r="C47" s="555"/>
      <c r="D47" s="783"/>
      <c r="E47" s="539"/>
      <c r="F47" s="777"/>
      <c r="G47" s="437"/>
      <c r="H47" s="438"/>
      <c r="I47" s="652"/>
      <c r="J47" s="652"/>
      <c r="K47" s="652"/>
      <c r="L47" s="652"/>
      <c r="M47" s="652"/>
      <c r="N47" s="759"/>
      <c r="O47" s="131"/>
    </row>
    <row r="48" spans="2:15" ht="15" x14ac:dyDescent="0.4">
      <c r="B48" s="438"/>
      <c r="C48" s="594" t="s">
        <v>182</v>
      </c>
      <c r="D48" s="594"/>
      <c r="E48" s="17" t="s">
        <v>183</v>
      </c>
      <c r="F48" s="594" t="s">
        <v>184</v>
      </c>
      <c r="G48" s="508"/>
      <c r="H48" s="584"/>
      <c r="I48" s="594" t="s">
        <v>182</v>
      </c>
      <c r="J48" s="594"/>
      <c r="K48" s="17" t="s">
        <v>183</v>
      </c>
      <c r="L48" s="594" t="s">
        <v>184</v>
      </c>
      <c r="M48" s="508"/>
      <c r="N48" s="781"/>
    </row>
    <row r="49" spans="2:14" ht="13" thickBot="1" x14ac:dyDescent="0.3">
      <c r="B49" s="45" t="s">
        <v>181</v>
      </c>
      <c r="C49" s="661">
        <v>0.38200000000000001</v>
      </c>
      <c r="D49" s="661"/>
      <c r="E49" s="2">
        <v>0.61799999999999999</v>
      </c>
      <c r="F49" s="778">
        <v>0.37</v>
      </c>
      <c r="G49" s="779"/>
      <c r="H49" s="780"/>
      <c r="I49" s="784">
        <v>0.54</v>
      </c>
      <c r="J49" s="784"/>
      <c r="K49" s="147">
        <v>0.46</v>
      </c>
      <c r="L49" s="773">
        <v>0.28000000000000003</v>
      </c>
      <c r="M49" s="774"/>
      <c r="N49" s="775"/>
    </row>
    <row r="50" spans="2:14" x14ac:dyDescent="0.25">
      <c r="B50" s="85" t="s">
        <v>336</v>
      </c>
    </row>
  </sheetData>
  <mergeCells count="91">
    <mergeCell ref="R5:AA6"/>
    <mergeCell ref="R7:R8"/>
    <mergeCell ref="S7:AA7"/>
    <mergeCell ref="R13:AA14"/>
    <mergeCell ref="I44:N44"/>
    <mergeCell ref="K34:L34"/>
    <mergeCell ref="K35:L35"/>
    <mergeCell ref="K36:L36"/>
    <mergeCell ref="K37:L37"/>
    <mergeCell ref="K39:L39"/>
    <mergeCell ref="K24:L24"/>
    <mergeCell ref="K29:L29"/>
    <mergeCell ref="K30:L30"/>
    <mergeCell ref="K32:L32"/>
    <mergeCell ref="K33:L33"/>
    <mergeCell ref="K28:L28"/>
    <mergeCell ref="C49:D49"/>
    <mergeCell ref="C48:D48"/>
    <mergeCell ref="C45:D45"/>
    <mergeCell ref="C46:E47"/>
    <mergeCell ref="I45:K47"/>
    <mergeCell ref="I49:J49"/>
    <mergeCell ref="I48:J48"/>
    <mergeCell ref="L49:N49"/>
    <mergeCell ref="F45:H47"/>
    <mergeCell ref="F48:H48"/>
    <mergeCell ref="F49:H49"/>
    <mergeCell ref="L48:N48"/>
    <mergeCell ref="B13:D13"/>
    <mergeCell ref="B14:D14"/>
    <mergeCell ref="G39:H39"/>
    <mergeCell ref="G32:H32"/>
    <mergeCell ref="G34:H34"/>
    <mergeCell ref="G35:H35"/>
    <mergeCell ref="G31:H31"/>
    <mergeCell ref="G33:H33"/>
    <mergeCell ref="G25:H25"/>
    <mergeCell ref="G26:H26"/>
    <mergeCell ref="G27:H27"/>
    <mergeCell ref="G28:H28"/>
    <mergeCell ref="G29:H29"/>
    <mergeCell ref="G30:H30"/>
    <mergeCell ref="E14:G14"/>
    <mergeCell ref="C44:H44"/>
    <mergeCell ref="L45:N47"/>
    <mergeCell ref="B43:N43"/>
    <mergeCell ref="B44:B48"/>
    <mergeCell ref="B15:D15"/>
    <mergeCell ref="G24:H24"/>
    <mergeCell ref="B18:L19"/>
    <mergeCell ref="E22:E23"/>
    <mergeCell ref="G38:H38"/>
    <mergeCell ref="G36:H36"/>
    <mergeCell ref="G37:H37"/>
    <mergeCell ref="E15:G15"/>
    <mergeCell ref="K31:L31"/>
    <mergeCell ref="K25:L25"/>
    <mergeCell ref="K26:L26"/>
    <mergeCell ref="K27:L27"/>
    <mergeCell ref="H10:J10"/>
    <mergeCell ref="K38:L38"/>
    <mergeCell ref="B7:D7"/>
    <mergeCell ref="E8:G8"/>
    <mergeCell ref="E20:L20"/>
    <mergeCell ref="F22:F23"/>
    <mergeCell ref="G22:H23"/>
    <mergeCell ref="E21:H21"/>
    <mergeCell ref="I21:L21"/>
    <mergeCell ref="I22:I23"/>
    <mergeCell ref="J22:J23"/>
    <mergeCell ref="K22:L23"/>
    <mergeCell ref="B9:D9"/>
    <mergeCell ref="B10:D10"/>
    <mergeCell ref="B11:D11"/>
    <mergeCell ref="E13:G13"/>
    <mergeCell ref="H11:J11"/>
    <mergeCell ref="B12:D12"/>
    <mergeCell ref="B8:C8"/>
    <mergeCell ref="B23:C23"/>
    <mergeCell ref="B5:J6"/>
    <mergeCell ref="E10:G10"/>
    <mergeCell ref="E11:G11"/>
    <mergeCell ref="H13:J13"/>
    <mergeCell ref="H14:J14"/>
    <mergeCell ref="H15:J15"/>
    <mergeCell ref="E7:J7"/>
    <mergeCell ref="H12:J12"/>
    <mergeCell ref="H8:J8"/>
    <mergeCell ref="E9:G9"/>
    <mergeCell ref="H9:J9"/>
    <mergeCell ref="E12:G12"/>
  </mergeCells>
  <dataValidations disablePrompts="1" count="1">
    <dataValidation type="list" allowBlank="1" showInputMessage="1" showErrorMessage="1" sqref="D8 E45 D23" xr:uid="{00000000-0002-0000-0900-000000000000}">
      <formula1>Local</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2:AF53"/>
  <sheetViews>
    <sheetView topLeftCell="S1" workbookViewId="0">
      <selection activeCell="AF1" sqref="AF1"/>
    </sheetView>
  </sheetViews>
  <sheetFormatPr defaultRowHeight="12.5" x14ac:dyDescent="0.25"/>
  <cols>
    <col min="2" max="45" width="13.7265625" customWidth="1"/>
  </cols>
  <sheetData>
    <row r="2" spans="2:32" ht="13" x14ac:dyDescent="0.3">
      <c r="B2" s="86" t="s">
        <v>306</v>
      </c>
      <c r="Y2" s="86" t="s">
        <v>307</v>
      </c>
    </row>
    <row r="4" spans="2:32" ht="13" thickBot="1" x14ac:dyDescent="0.3"/>
    <row r="5" spans="2:32" ht="13" thickTop="1" x14ac:dyDescent="0.25">
      <c r="B5" s="764" t="s">
        <v>328</v>
      </c>
      <c r="C5" s="735"/>
      <c r="D5" s="735"/>
      <c r="E5" s="735"/>
      <c r="F5" s="735"/>
      <c r="G5" s="735"/>
      <c r="H5" s="735"/>
      <c r="I5" s="735"/>
      <c r="J5" s="735"/>
      <c r="K5" s="735"/>
      <c r="L5" s="735"/>
      <c r="M5" s="735"/>
      <c r="N5" s="735"/>
      <c r="O5" s="735"/>
      <c r="P5" s="735"/>
      <c r="Y5" s="735" t="s">
        <v>347</v>
      </c>
      <c r="Z5" s="735"/>
      <c r="AA5" s="735"/>
      <c r="AB5" s="735"/>
      <c r="AC5" s="735"/>
      <c r="AD5" s="792"/>
      <c r="AE5" s="792"/>
      <c r="AF5" s="792"/>
    </row>
    <row r="6" spans="2:32" ht="13" thickBot="1" x14ac:dyDescent="0.3">
      <c r="B6" s="765"/>
      <c r="C6" s="765"/>
      <c r="D6" s="765"/>
      <c r="E6" s="765"/>
      <c r="F6" s="765"/>
      <c r="G6" s="765"/>
      <c r="H6" s="765"/>
      <c r="I6" s="765"/>
      <c r="J6" s="765"/>
      <c r="K6" s="765"/>
      <c r="L6" s="765"/>
      <c r="M6" s="765"/>
      <c r="N6" s="765"/>
      <c r="O6" s="765"/>
      <c r="P6" s="765"/>
      <c r="Y6" s="504"/>
      <c r="Z6" s="504"/>
      <c r="AA6" s="504"/>
      <c r="AB6" s="504"/>
      <c r="AC6" s="504"/>
      <c r="AD6" s="765"/>
      <c r="AE6" s="765"/>
      <c r="AF6" s="765"/>
    </row>
    <row r="7" spans="2:32" ht="13" x14ac:dyDescent="0.3">
      <c r="B7" s="892" t="s">
        <v>143</v>
      </c>
      <c r="C7" s="387"/>
      <c r="D7" s="388"/>
      <c r="E7" s="752" t="s">
        <v>890</v>
      </c>
      <c r="F7" s="752"/>
      <c r="G7" s="752"/>
      <c r="H7" s="752"/>
      <c r="I7" s="752"/>
      <c r="J7" s="752"/>
      <c r="K7" s="752"/>
      <c r="L7" s="752"/>
      <c r="M7" s="752"/>
      <c r="N7" s="752"/>
      <c r="O7" s="752"/>
      <c r="P7" s="752"/>
      <c r="Y7" s="503" t="s">
        <v>231</v>
      </c>
      <c r="Z7" s="793"/>
      <c r="AA7" s="797" t="s">
        <v>232</v>
      </c>
      <c r="AB7" s="798"/>
      <c r="AC7" s="797" t="s">
        <v>230</v>
      </c>
      <c r="AD7" s="801"/>
      <c r="AE7" s="801"/>
      <c r="AF7" s="801"/>
    </row>
    <row r="8" spans="2:32" ht="13" x14ac:dyDescent="0.3">
      <c r="B8" s="403"/>
      <c r="C8" s="403"/>
      <c r="D8" s="404"/>
      <c r="E8" s="756" t="s">
        <v>141</v>
      </c>
      <c r="F8" s="894"/>
      <c r="G8" s="894"/>
      <c r="H8" s="492"/>
      <c r="I8" s="492"/>
      <c r="J8" s="395"/>
      <c r="K8" s="756" t="s">
        <v>142</v>
      </c>
      <c r="L8" s="894"/>
      <c r="M8" s="492"/>
      <c r="N8" s="492"/>
      <c r="O8" s="492"/>
      <c r="P8" s="492"/>
      <c r="Y8" s="753"/>
      <c r="Z8" s="794"/>
      <c r="AA8" s="799"/>
      <c r="AB8" s="754"/>
      <c r="AC8" s="799"/>
      <c r="AD8" s="755"/>
      <c r="AE8" s="755"/>
      <c r="AF8" s="755"/>
    </row>
    <row r="9" spans="2:32" x14ac:dyDescent="0.25">
      <c r="B9" s="403"/>
      <c r="C9" s="403"/>
      <c r="D9" s="404"/>
      <c r="E9" s="776" t="s">
        <v>204</v>
      </c>
      <c r="F9" s="809"/>
      <c r="G9" s="895" t="s">
        <v>205</v>
      </c>
      <c r="H9" s="896"/>
      <c r="I9" s="753" t="s">
        <v>206</v>
      </c>
      <c r="J9" s="754"/>
      <c r="K9" s="776" t="s">
        <v>204</v>
      </c>
      <c r="L9" s="809"/>
      <c r="M9" s="776" t="s">
        <v>205</v>
      </c>
      <c r="N9" s="809"/>
      <c r="O9" s="776" t="s">
        <v>206</v>
      </c>
      <c r="P9" s="896"/>
      <c r="Y9" s="755"/>
      <c r="Z9" s="754"/>
      <c r="AA9" s="799"/>
      <c r="AB9" s="754"/>
      <c r="AC9" s="802">
        <v>1</v>
      </c>
      <c r="AD9" s="804">
        <v>2</v>
      </c>
      <c r="AE9" s="804">
        <v>3</v>
      </c>
      <c r="AF9" s="806">
        <v>4</v>
      </c>
    </row>
    <row r="10" spans="2:32" x14ac:dyDescent="0.25">
      <c r="B10" s="856" t="s">
        <v>192</v>
      </c>
      <c r="C10" s="345"/>
      <c r="D10" s="121" t="s">
        <v>191</v>
      </c>
      <c r="E10" s="893"/>
      <c r="F10" s="796"/>
      <c r="G10" s="795"/>
      <c r="H10" s="795"/>
      <c r="I10" s="755"/>
      <c r="J10" s="754"/>
      <c r="K10" s="893"/>
      <c r="L10" s="796"/>
      <c r="M10" s="893"/>
      <c r="N10" s="796"/>
      <c r="O10" s="800"/>
      <c r="P10" s="795"/>
      <c r="Y10" s="795"/>
      <c r="Z10" s="796"/>
      <c r="AA10" s="800"/>
      <c r="AB10" s="796"/>
      <c r="AC10" s="803"/>
      <c r="AD10" s="805"/>
      <c r="AE10" s="805"/>
      <c r="AF10" s="807"/>
    </row>
    <row r="11" spans="2:32" ht="13" x14ac:dyDescent="0.3">
      <c r="B11" s="891"/>
      <c r="C11" s="499"/>
      <c r="D11" s="433"/>
      <c r="E11" s="502"/>
      <c r="F11" s="433"/>
      <c r="G11" s="502"/>
      <c r="H11" s="433"/>
      <c r="I11" s="513"/>
      <c r="J11" s="763"/>
      <c r="K11" s="888"/>
      <c r="L11" s="889"/>
      <c r="M11" s="888"/>
      <c r="N11" s="889"/>
      <c r="O11" s="890"/>
      <c r="P11" s="890"/>
      <c r="Y11" s="826" t="s">
        <v>233</v>
      </c>
      <c r="Z11" s="809"/>
      <c r="AA11" s="808" t="s">
        <v>348</v>
      </c>
      <c r="AB11" s="809"/>
      <c r="AC11" s="810">
        <v>0.56000000000000005</v>
      </c>
      <c r="AD11" s="812">
        <v>0.31</v>
      </c>
      <c r="AE11" s="813">
        <v>0.31</v>
      </c>
      <c r="AF11" s="814">
        <v>0.31</v>
      </c>
    </row>
    <row r="12" spans="2:32" x14ac:dyDescent="0.25">
      <c r="B12" s="875" t="s">
        <v>134</v>
      </c>
      <c r="C12" s="403"/>
      <c r="D12" s="404"/>
      <c r="E12" s="876">
        <v>1.7</v>
      </c>
      <c r="F12" s="877"/>
      <c r="G12" s="876">
        <v>1.8</v>
      </c>
      <c r="H12" s="768"/>
      <c r="I12" s="876">
        <v>0.9</v>
      </c>
      <c r="J12" s="881"/>
      <c r="K12" s="882">
        <v>4</v>
      </c>
      <c r="L12" s="883"/>
      <c r="M12" s="882">
        <v>17</v>
      </c>
      <c r="N12" s="883"/>
      <c r="O12" s="884"/>
      <c r="P12" s="882"/>
      <c r="Y12" s="795"/>
      <c r="Z12" s="796"/>
      <c r="AA12" s="800"/>
      <c r="AB12" s="796"/>
      <c r="AC12" s="811"/>
      <c r="AD12" s="812"/>
      <c r="AE12" s="812"/>
      <c r="AF12" s="556"/>
    </row>
    <row r="13" spans="2:32" x14ac:dyDescent="0.25">
      <c r="B13" s="875" t="s">
        <v>170</v>
      </c>
      <c r="C13" s="403"/>
      <c r="D13" s="404"/>
      <c r="E13" s="876">
        <v>4</v>
      </c>
      <c r="F13" s="877"/>
      <c r="G13" s="876">
        <v>4.3</v>
      </c>
      <c r="H13" s="768"/>
      <c r="I13" s="876">
        <v>2.1</v>
      </c>
      <c r="J13" s="881"/>
      <c r="K13" s="882"/>
      <c r="L13" s="883"/>
      <c r="M13" s="882"/>
      <c r="N13" s="883"/>
      <c r="O13" s="884"/>
      <c r="P13" s="882"/>
      <c r="Y13" s="815" t="s">
        <v>349</v>
      </c>
      <c r="Z13" s="816"/>
      <c r="AA13" s="808" t="s">
        <v>348</v>
      </c>
      <c r="AB13" s="809"/>
      <c r="AC13" s="810">
        <v>0.72</v>
      </c>
      <c r="AD13" s="812">
        <v>0.52</v>
      </c>
      <c r="AE13" s="813">
        <v>0.52</v>
      </c>
      <c r="AF13" s="814">
        <v>0.52</v>
      </c>
    </row>
    <row r="14" spans="2:32" x14ac:dyDescent="0.25">
      <c r="B14" s="875" t="s">
        <v>169</v>
      </c>
      <c r="C14" s="403"/>
      <c r="D14" s="404"/>
      <c r="E14" s="876">
        <v>16.600000000000001</v>
      </c>
      <c r="F14" s="877"/>
      <c r="G14" s="876">
        <v>16.2</v>
      </c>
      <c r="H14" s="768"/>
      <c r="I14" s="876">
        <v>10.5</v>
      </c>
      <c r="J14" s="881"/>
      <c r="K14" s="882"/>
      <c r="L14" s="883"/>
      <c r="M14" s="882"/>
      <c r="N14" s="883"/>
      <c r="O14" s="884"/>
      <c r="P14" s="882"/>
      <c r="Y14" s="817"/>
      <c r="Z14" s="818"/>
      <c r="AA14" s="800"/>
      <c r="AB14" s="796"/>
      <c r="AC14" s="811"/>
      <c r="AD14" s="812"/>
      <c r="AE14" s="812"/>
      <c r="AF14" s="556"/>
    </row>
    <row r="15" spans="2:32" ht="13" thickBot="1" x14ac:dyDescent="0.3">
      <c r="B15" s="874" t="s">
        <v>171</v>
      </c>
      <c r="C15" s="848"/>
      <c r="D15" s="849"/>
      <c r="E15" s="861">
        <v>19.2</v>
      </c>
      <c r="F15" s="871"/>
      <c r="G15" s="861">
        <v>20.8</v>
      </c>
      <c r="H15" s="872"/>
      <c r="I15" s="876">
        <v>20.5</v>
      </c>
      <c r="J15" s="881"/>
      <c r="K15" s="886"/>
      <c r="L15" s="887"/>
      <c r="M15" s="886"/>
      <c r="N15" s="887"/>
      <c r="O15" s="885"/>
      <c r="P15" s="886"/>
      <c r="Y15" s="819"/>
      <c r="Z15" s="820"/>
      <c r="AA15" s="821" t="s">
        <v>234</v>
      </c>
      <c r="AB15" s="822"/>
      <c r="AC15" s="37">
        <v>0.82</v>
      </c>
      <c r="AD15" s="36">
        <v>0.67</v>
      </c>
      <c r="AE15" s="36">
        <v>0.55000000000000004</v>
      </c>
      <c r="AF15" s="37">
        <v>0.45</v>
      </c>
    </row>
    <row r="16" spans="2:32" ht="13" thickTop="1" x14ac:dyDescent="0.25">
      <c r="B16" s="878" t="s">
        <v>172</v>
      </c>
      <c r="C16" s="879"/>
      <c r="D16" s="880"/>
      <c r="E16" s="869">
        <f>SUM(E12:E15)</f>
        <v>41.5</v>
      </c>
      <c r="F16" s="873"/>
      <c r="G16" s="869">
        <f>SUM(G12:G15)</f>
        <v>43.099999999999994</v>
      </c>
      <c r="H16" s="873"/>
      <c r="I16" s="869">
        <f>SUM(I12:I15)</f>
        <v>34</v>
      </c>
      <c r="J16" s="873"/>
      <c r="K16" s="869">
        <f>SUM(K12:K15)</f>
        <v>4</v>
      </c>
      <c r="L16" s="873"/>
      <c r="M16" s="869">
        <f>SUM(M12:M15)</f>
        <v>17</v>
      </c>
      <c r="N16" s="873"/>
      <c r="O16" s="869">
        <f>SUM(O12:O15)</f>
        <v>0</v>
      </c>
      <c r="P16" s="870"/>
      <c r="Y16" s="71" t="s">
        <v>236</v>
      </c>
      <c r="Z16" s="790" t="s">
        <v>235</v>
      </c>
      <c r="AA16" s="791"/>
      <c r="AB16" s="791"/>
      <c r="AC16" s="791"/>
      <c r="AD16" s="791"/>
      <c r="AE16" s="791"/>
      <c r="AF16" s="791"/>
    </row>
    <row r="17" spans="2:32" ht="13" thickBot="1" x14ac:dyDescent="0.3">
      <c r="B17" s="874" t="s">
        <v>150</v>
      </c>
      <c r="C17" s="848"/>
      <c r="D17" s="849"/>
      <c r="E17" s="861">
        <f>100-E16</f>
        <v>58.5</v>
      </c>
      <c r="F17" s="871"/>
      <c r="G17" s="861">
        <f>100-G16</f>
        <v>56.900000000000006</v>
      </c>
      <c r="H17" s="872"/>
      <c r="I17" s="861">
        <f>100-I16</f>
        <v>66</v>
      </c>
      <c r="J17" s="862"/>
      <c r="K17" s="861">
        <f>100-K16</f>
        <v>96</v>
      </c>
      <c r="L17" s="871"/>
      <c r="M17" s="861">
        <f>100-M16</f>
        <v>83</v>
      </c>
      <c r="N17" s="871"/>
      <c r="O17" s="861">
        <f>100-O16</f>
        <v>100</v>
      </c>
      <c r="P17" s="862"/>
      <c r="Y17" s="41"/>
      <c r="Z17" s="517"/>
      <c r="AA17" s="517"/>
      <c r="AB17" s="517"/>
      <c r="AC17" s="517"/>
      <c r="AD17" s="517"/>
      <c r="AE17" s="517"/>
      <c r="AF17" s="517"/>
    </row>
    <row r="18" spans="2:32" ht="13" thickTop="1" x14ac:dyDescent="0.25">
      <c r="B18" s="853" t="s">
        <v>140</v>
      </c>
      <c r="C18" s="854"/>
      <c r="D18" s="855"/>
      <c r="E18" s="738">
        <f>SUM(E16:E17)</f>
        <v>100</v>
      </c>
      <c r="F18" s="863"/>
      <c r="G18" s="738">
        <f>SUM(G16:G17)</f>
        <v>100</v>
      </c>
      <c r="H18" s="863"/>
      <c r="I18" s="867">
        <f>SUM(I16:I17)</f>
        <v>100</v>
      </c>
      <c r="J18" s="868"/>
      <c r="K18" s="738">
        <f>SUM(K16:K17)</f>
        <v>100</v>
      </c>
      <c r="L18" s="863"/>
      <c r="M18" s="738">
        <f>SUM(M16:M17)</f>
        <v>100</v>
      </c>
      <c r="N18" s="863"/>
      <c r="O18" s="738">
        <f>SUM(O16:O17)</f>
        <v>100</v>
      </c>
      <c r="P18" s="860"/>
      <c r="Y18" s="41"/>
      <c r="Z18" s="71" t="s">
        <v>237</v>
      </c>
      <c r="AA18" s="41"/>
      <c r="AB18" s="41"/>
      <c r="AC18" s="41"/>
      <c r="AD18" s="40"/>
      <c r="AE18" s="40"/>
      <c r="AF18" s="40"/>
    </row>
    <row r="19" spans="2:32" x14ac:dyDescent="0.25">
      <c r="B19" s="145" t="s">
        <v>330</v>
      </c>
      <c r="D19" s="21"/>
      <c r="E19" s="38"/>
      <c r="F19" s="38"/>
      <c r="G19" s="38"/>
      <c r="H19" s="38"/>
      <c r="I19" s="38"/>
      <c r="J19" s="38"/>
      <c r="K19" s="27"/>
      <c r="L19" s="8"/>
      <c r="M19" s="8"/>
      <c r="N19" s="8"/>
      <c r="O19" s="27"/>
      <c r="P19" s="27"/>
      <c r="Y19" s="41"/>
      <c r="Z19" s="41"/>
      <c r="AA19" s="41"/>
      <c r="AB19" s="41"/>
      <c r="AC19" s="41"/>
      <c r="AD19" s="41"/>
      <c r="AE19" s="41"/>
      <c r="AF19" s="41"/>
    </row>
    <row r="20" spans="2:32" ht="13" thickBot="1" x14ac:dyDescent="0.3">
      <c r="B20" s="14"/>
      <c r="E20" s="1"/>
      <c r="F20" s="1"/>
      <c r="G20" s="1"/>
      <c r="H20" s="1"/>
      <c r="I20" s="1"/>
      <c r="J20" s="1"/>
      <c r="K20" s="8"/>
      <c r="L20" s="8"/>
      <c r="M20" s="8"/>
      <c r="N20" s="8"/>
      <c r="O20" s="8"/>
      <c r="P20" s="8"/>
    </row>
    <row r="21" spans="2:32" ht="13" thickTop="1" x14ac:dyDescent="0.25">
      <c r="B21" s="764" t="s">
        <v>329</v>
      </c>
      <c r="C21" s="792"/>
      <c r="D21" s="792"/>
      <c r="E21" s="792"/>
      <c r="F21" s="792"/>
      <c r="G21" s="792"/>
      <c r="H21" s="792"/>
      <c r="I21" s="792"/>
      <c r="J21" s="792"/>
      <c r="K21" s="792"/>
      <c r="L21" s="792"/>
      <c r="M21" s="792"/>
      <c r="N21" s="858"/>
      <c r="O21" s="858"/>
      <c r="P21" s="858"/>
      <c r="Q21" s="858"/>
      <c r="R21" s="858"/>
      <c r="S21" s="858"/>
      <c r="T21" s="858"/>
      <c r="U21" s="858"/>
      <c r="V21" s="858"/>
      <c r="Y21" s="735" t="s">
        <v>350</v>
      </c>
      <c r="Z21" s="735"/>
      <c r="AA21" s="735"/>
      <c r="AB21" s="735"/>
      <c r="AC21" s="735"/>
      <c r="AD21" s="792"/>
      <c r="AE21" s="792"/>
      <c r="AF21" s="792"/>
    </row>
    <row r="22" spans="2:32" ht="13" thickBot="1" x14ac:dyDescent="0.3">
      <c r="B22" s="504"/>
      <c r="C22" s="765"/>
      <c r="D22" s="765"/>
      <c r="E22" s="765"/>
      <c r="F22" s="765"/>
      <c r="G22" s="765"/>
      <c r="H22" s="765"/>
      <c r="I22" s="765"/>
      <c r="J22" s="765"/>
      <c r="K22" s="765"/>
      <c r="L22" s="765"/>
      <c r="M22" s="765"/>
      <c r="N22" s="859"/>
      <c r="O22" s="859"/>
      <c r="P22" s="859"/>
      <c r="Q22" s="859"/>
      <c r="R22" s="859"/>
      <c r="S22" s="859"/>
      <c r="T22" s="859"/>
      <c r="U22" s="859"/>
      <c r="V22" s="859"/>
      <c r="Y22" s="504"/>
      <c r="Z22" s="504"/>
      <c r="AA22" s="504"/>
      <c r="AB22" s="504"/>
      <c r="AC22" s="504"/>
      <c r="AD22" s="765"/>
      <c r="AE22" s="765"/>
      <c r="AF22" s="765"/>
    </row>
    <row r="23" spans="2:32" ht="13" x14ac:dyDescent="0.3">
      <c r="B23" s="857" t="s">
        <v>143</v>
      </c>
      <c r="C23" s="403"/>
      <c r="D23" s="404"/>
      <c r="E23" s="744" t="s">
        <v>891</v>
      </c>
      <c r="F23" s="864"/>
      <c r="G23" s="864"/>
      <c r="H23" s="864"/>
      <c r="I23" s="864"/>
      <c r="J23" s="864"/>
      <c r="K23" s="864"/>
      <c r="L23" s="864"/>
      <c r="M23" s="864"/>
      <c r="N23" s="744" t="s">
        <v>892</v>
      </c>
      <c r="O23" s="864"/>
      <c r="P23" s="864"/>
      <c r="Q23" s="864"/>
      <c r="R23" s="864"/>
      <c r="S23" s="864"/>
      <c r="T23" s="864"/>
      <c r="U23" s="864"/>
      <c r="V23" s="864"/>
      <c r="Y23" s="503" t="s">
        <v>231</v>
      </c>
      <c r="Z23" s="793"/>
      <c r="AA23" s="797" t="s">
        <v>232</v>
      </c>
      <c r="AB23" s="798"/>
      <c r="AC23" s="797" t="s">
        <v>230</v>
      </c>
      <c r="AD23" s="801"/>
      <c r="AE23" s="801"/>
      <c r="AF23" s="801"/>
    </row>
    <row r="24" spans="2:32" x14ac:dyDescent="0.25">
      <c r="B24" s="403"/>
      <c r="C24" s="403"/>
      <c r="D24" s="404"/>
      <c r="E24" s="360" t="s">
        <v>166</v>
      </c>
      <c r="F24" s="591"/>
      <c r="G24" s="591"/>
      <c r="H24" s="591" t="s">
        <v>167</v>
      </c>
      <c r="I24" s="591"/>
      <c r="J24" s="591"/>
      <c r="K24" s="591" t="s">
        <v>168</v>
      </c>
      <c r="L24" s="591"/>
      <c r="M24" s="358"/>
      <c r="N24" s="591" t="s">
        <v>166</v>
      </c>
      <c r="O24" s="591"/>
      <c r="P24" s="591"/>
      <c r="Q24" s="591" t="s">
        <v>167</v>
      </c>
      <c r="R24" s="591"/>
      <c r="S24" s="591"/>
      <c r="T24" s="591" t="s">
        <v>168</v>
      </c>
      <c r="U24" s="591"/>
      <c r="V24" s="358"/>
      <c r="Y24" s="753"/>
      <c r="Z24" s="794"/>
      <c r="AA24" s="799"/>
      <c r="AB24" s="754"/>
      <c r="AC24" s="799"/>
      <c r="AD24" s="755"/>
      <c r="AE24" s="755"/>
      <c r="AF24" s="755"/>
    </row>
    <row r="25" spans="2:32" x14ac:dyDescent="0.25">
      <c r="B25" s="403"/>
      <c r="C25" s="403"/>
      <c r="D25" s="404"/>
      <c r="E25" s="360"/>
      <c r="F25" s="591"/>
      <c r="G25" s="591"/>
      <c r="H25" s="591"/>
      <c r="I25" s="591"/>
      <c r="J25" s="591"/>
      <c r="K25" s="591"/>
      <c r="L25" s="591"/>
      <c r="M25" s="358"/>
      <c r="N25" s="591"/>
      <c r="O25" s="591"/>
      <c r="P25" s="591"/>
      <c r="Q25" s="591"/>
      <c r="R25" s="591"/>
      <c r="S25" s="591"/>
      <c r="T25" s="591"/>
      <c r="U25" s="591"/>
      <c r="V25" s="358"/>
      <c r="Y25" s="755"/>
      <c r="Z25" s="754"/>
      <c r="AA25" s="799"/>
      <c r="AB25" s="754"/>
      <c r="AC25" s="802">
        <v>1</v>
      </c>
      <c r="AD25" s="804">
        <v>2</v>
      </c>
      <c r="AE25" s="804">
        <v>3</v>
      </c>
      <c r="AF25" s="806">
        <v>4</v>
      </c>
    </row>
    <row r="26" spans="2:32" x14ac:dyDescent="0.25">
      <c r="B26" s="403"/>
      <c r="C26" s="403"/>
      <c r="D26" s="404"/>
      <c r="E26" s="865" t="s">
        <v>173</v>
      </c>
      <c r="F26" s="850" t="s">
        <v>150</v>
      </c>
      <c r="G26" s="850" t="s">
        <v>88</v>
      </c>
      <c r="H26" s="850" t="s">
        <v>174</v>
      </c>
      <c r="I26" s="850" t="s">
        <v>150</v>
      </c>
      <c r="J26" s="850" t="s">
        <v>88</v>
      </c>
      <c r="K26" s="850" t="s">
        <v>174</v>
      </c>
      <c r="L26" s="850" t="s">
        <v>150</v>
      </c>
      <c r="M26" s="851" t="s">
        <v>88</v>
      </c>
      <c r="N26" s="850" t="s">
        <v>173</v>
      </c>
      <c r="O26" s="850" t="s">
        <v>150</v>
      </c>
      <c r="P26" s="850" t="s">
        <v>88</v>
      </c>
      <c r="Q26" s="850" t="s">
        <v>174</v>
      </c>
      <c r="R26" s="850" t="s">
        <v>150</v>
      </c>
      <c r="S26" s="850" t="s">
        <v>88</v>
      </c>
      <c r="T26" s="850" t="s">
        <v>174</v>
      </c>
      <c r="U26" s="850" t="s">
        <v>150</v>
      </c>
      <c r="V26" s="851" t="s">
        <v>88</v>
      </c>
      <c r="Y26" s="795"/>
      <c r="Z26" s="796"/>
      <c r="AA26" s="800"/>
      <c r="AB26" s="796"/>
      <c r="AC26" s="803"/>
      <c r="AD26" s="805"/>
      <c r="AE26" s="805"/>
      <c r="AF26" s="807"/>
    </row>
    <row r="27" spans="2:32" x14ac:dyDescent="0.25">
      <c r="B27" s="856" t="s">
        <v>192</v>
      </c>
      <c r="C27" s="345"/>
      <c r="D27" s="121" t="s">
        <v>190</v>
      </c>
      <c r="E27" s="866"/>
      <c r="F27" s="649"/>
      <c r="G27" s="649"/>
      <c r="H27" s="649"/>
      <c r="I27" s="649"/>
      <c r="J27" s="649"/>
      <c r="K27" s="649"/>
      <c r="L27" s="649"/>
      <c r="M27" s="852"/>
      <c r="N27" s="649"/>
      <c r="O27" s="649"/>
      <c r="P27" s="649"/>
      <c r="Q27" s="649"/>
      <c r="R27" s="649"/>
      <c r="S27" s="649"/>
      <c r="T27" s="649"/>
      <c r="U27" s="649"/>
      <c r="V27" s="852"/>
      <c r="Y27" s="826" t="s">
        <v>233</v>
      </c>
      <c r="Z27" s="809"/>
      <c r="AA27" s="808" t="s">
        <v>348</v>
      </c>
      <c r="AB27" s="809"/>
      <c r="AC27" s="810">
        <v>0.86</v>
      </c>
      <c r="AD27" s="812">
        <v>0.74</v>
      </c>
      <c r="AE27" s="813">
        <v>0.74</v>
      </c>
      <c r="AF27" s="814">
        <v>0.74</v>
      </c>
    </row>
    <row r="28" spans="2:32" ht="13" x14ac:dyDescent="0.3">
      <c r="B28" s="492" t="s">
        <v>144</v>
      </c>
      <c r="C28" s="348"/>
      <c r="D28" s="348"/>
      <c r="E28" s="348"/>
      <c r="F28" s="348"/>
      <c r="G28" s="348"/>
      <c r="H28" s="348"/>
      <c r="I28" s="348"/>
      <c r="J28" s="348"/>
      <c r="K28" s="348"/>
      <c r="L28" s="348"/>
      <c r="M28" s="348"/>
      <c r="N28" s="394" t="s">
        <v>144</v>
      </c>
      <c r="O28" s="348"/>
      <c r="P28" s="348"/>
      <c r="Q28" s="348"/>
      <c r="R28" s="348"/>
      <c r="S28" s="348"/>
      <c r="T28" s="348"/>
      <c r="U28" s="348"/>
      <c r="V28" s="348"/>
      <c r="Y28" s="795"/>
      <c r="Z28" s="796"/>
      <c r="AA28" s="800"/>
      <c r="AB28" s="796"/>
      <c r="AC28" s="811"/>
      <c r="AD28" s="812"/>
      <c r="AE28" s="812"/>
      <c r="AF28" s="556"/>
    </row>
    <row r="29" spans="2:32" x14ac:dyDescent="0.25">
      <c r="B29" s="832" t="s">
        <v>104</v>
      </c>
      <c r="C29" s="499"/>
      <c r="D29" s="433"/>
      <c r="E29" s="28">
        <v>0.8</v>
      </c>
      <c r="F29" s="28">
        <v>2.6</v>
      </c>
      <c r="G29" s="28">
        <v>1.9</v>
      </c>
      <c r="H29" s="28">
        <v>0.6</v>
      </c>
      <c r="I29" s="28">
        <v>1.4</v>
      </c>
      <c r="J29" s="28">
        <v>1</v>
      </c>
      <c r="K29" s="28">
        <v>0</v>
      </c>
      <c r="L29" s="28">
        <v>0.3</v>
      </c>
      <c r="M29" s="8">
        <v>0.2</v>
      </c>
      <c r="N29" s="132">
        <v>0.8</v>
      </c>
      <c r="O29" s="132">
        <v>2.6</v>
      </c>
      <c r="P29" s="132">
        <v>1.9</v>
      </c>
      <c r="Q29" s="132">
        <v>0.6</v>
      </c>
      <c r="R29" s="132">
        <v>1.4</v>
      </c>
      <c r="S29" s="132">
        <v>1</v>
      </c>
      <c r="T29" s="132">
        <v>0</v>
      </c>
      <c r="U29" s="132">
        <v>0.3</v>
      </c>
      <c r="V29" s="133">
        <v>0.2</v>
      </c>
      <c r="Y29" s="815" t="s">
        <v>349</v>
      </c>
      <c r="Z29" s="816"/>
      <c r="AA29" s="808" t="s">
        <v>348</v>
      </c>
      <c r="AB29" s="809"/>
      <c r="AC29" s="810">
        <v>0.86</v>
      </c>
      <c r="AD29" s="812">
        <v>0.74</v>
      </c>
      <c r="AE29" s="813">
        <v>0.74</v>
      </c>
      <c r="AF29" s="814">
        <v>0.74</v>
      </c>
    </row>
    <row r="30" spans="2:32" x14ac:dyDescent="0.25">
      <c r="B30" s="833" t="s">
        <v>105</v>
      </c>
      <c r="C30" s="403"/>
      <c r="D30" s="404"/>
      <c r="E30" s="28">
        <v>0.1</v>
      </c>
      <c r="F30" s="28">
        <v>0.1</v>
      </c>
      <c r="G30" s="28">
        <v>0.1</v>
      </c>
      <c r="H30" s="28">
        <v>0.1</v>
      </c>
      <c r="I30" s="28">
        <v>0.1</v>
      </c>
      <c r="J30" s="28">
        <v>0.1</v>
      </c>
      <c r="K30" s="28">
        <v>0.1</v>
      </c>
      <c r="L30" s="28">
        <v>0.1</v>
      </c>
      <c r="M30" s="8">
        <v>0.1</v>
      </c>
      <c r="N30" s="132">
        <v>0</v>
      </c>
      <c r="O30" s="132">
        <v>0</v>
      </c>
      <c r="P30" s="132">
        <v>0</v>
      </c>
      <c r="Q30" s="132">
        <v>0</v>
      </c>
      <c r="R30" s="132">
        <v>0</v>
      </c>
      <c r="S30" s="132">
        <v>0</v>
      </c>
      <c r="T30" s="132">
        <v>0</v>
      </c>
      <c r="U30" s="132">
        <v>0</v>
      </c>
      <c r="V30" s="134">
        <v>0</v>
      </c>
      <c r="Y30" s="817"/>
      <c r="Z30" s="818"/>
      <c r="AA30" s="800"/>
      <c r="AB30" s="796"/>
      <c r="AC30" s="811"/>
      <c r="AD30" s="812"/>
      <c r="AE30" s="812"/>
      <c r="AF30" s="556"/>
    </row>
    <row r="31" spans="2:32" ht="13" thickBot="1" x14ac:dyDescent="0.3">
      <c r="B31" s="833" t="s">
        <v>106</v>
      </c>
      <c r="C31" s="403"/>
      <c r="D31" s="404"/>
      <c r="E31" s="28">
        <v>0.1</v>
      </c>
      <c r="F31" s="28">
        <v>0.1</v>
      </c>
      <c r="G31" s="28">
        <v>0.1</v>
      </c>
      <c r="H31" s="28">
        <v>0.1</v>
      </c>
      <c r="I31" s="28">
        <v>0.1</v>
      </c>
      <c r="J31" s="28">
        <v>0.1</v>
      </c>
      <c r="K31" s="28">
        <v>0.1</v>
      </c>
      <c r="L31" s="28">
        <v>0.1</v>
      </c>
      <c r="M31" s="8">
        <v>0.1</v>
      </c>
      <c r="N31" s="132">
        <v>0</v>
      </c>
      <c r="O31" s="132">
        <v>0</v>
      </c>
      <c r="P31" s="132">
        <v>0</v>
      </c>
      <c r="Q31" s="132">
        <v>0</v>
      </c>
      <c r="R31" s="132">
        <v>0</v>
      </c>
      <c r="S31" s="132">
        <v>0</v>
      </c>
      <c r="T31" s="132">
        <v>0</v>
      </c>
      <c r="U31" s="132">
        <v>0</v>
      </c>
      <c r="V31" s="134">
        <v>0</v>
      </c>
      <c r="Y31" s="819"/>
      <c r="Z31" s="820"/>
      <c r="AA31" s="821" t="s">
        <v>234</v>
      </c>
      <c r="AB31" s="822"/>
      <c r="AC31" s="37">
        <v>0.96</v>
      </c>
      <c r="AD31" s="36">
        <v>0.92</v>
      </c>
      <c r="AE31" s="36">
        <v>0.88</v>
      </c>
      <c r="AF31" s="37">
        <v>0.85</v>
      </c>
    </row>
    <row r="32" spans="2:32" x14ac:dyDescent="0.25">
      <c r="B32" s="833" t="s">
        <v>107</v>
      </c>
      <c r="C32" s="403"/>
      <c r="D32" s="404"/>
      <c r="E32" s="28">
        <v>2.2000000000000002</v>
      </c>
      <c r="F32" s="28">
        <v>0.7</v>
      </c>
      <c r="G32" s="28">
        <v>1.3</v>
      </c>
      <c r="H32" s="28">
        <v>0.6</v>
      </c>
      <c r="I32" s="28">
        <v>0.4</v>
      </c>
      <c r="J32" s="28">
        <v>0.5</v>
      </c>
      <c r="K32" s="28">
        <v>0.3</v>
      </c>
      <c r="L32" s="28">
        <v>0.3</v>
      </c>
      <c r="M32" s="8">
        <v>0.3</v>
      </c>
      <c r="N32" s="132">
        <v>2.2000000000000002</v>
      </c>
      <c r="O32" s="132">
        <v>0.7</v>
      </c>
      <c r="P32" s="132">
        <v>1.3</v>
      </c>
      <c r="Q32" s="132">
        <v>0.6</v>
      </c>
      <c r="R32" s="132">
        <v>0.4</v>
      </c>
      <c r="S32" s="132">
        <v>0.5</v>
      </c>
      <c r="T32" s="132">
        <v>0.3</v>
      </c>
      <c r="U32" s="132">
        <v>0.3</v>
      </c>
      <c r="V32" s="134">
        <v>0.3</v>
      </c>
      <c r="Y32" s="71" t="s">
        <v>236</v>
      </c>
      <c r="Z32" s="790" t="s">
        <v>238</v>
      </c>
      <c r="AA32" s="791"/>
      <c r="AB32" s="791"/>
      <c r="AC32" s="791"/>
      <c r="AD32" s="791"/>
      <c r="AE32" s="791"/>
      <c r="AF32" s="791"/>
    </row>
    <row r="33" spans="2:32" x14ac:dyDescent="0.25">
      <c r="B33" s="833" t="s">
        <v>108</v>
      </c>
      <c r="C33" s="403"/>
      <c r="D33" s="404"/>
      <c r="E33" s="28">
        <v>24</v>
      </c>
      <c r="F33" s="28">
        <v>24.7</v>
      </c>
      <c r="G33" s="28">
        <v>24.4</v>
      </c>
      <c r="H33" s="28">
        <v>9.4</v>
      </c>
      <c r="I33" s="28">
        <v>14.4</v>
      </c>
      <c r="J33" s="28">
        <v>12.2</v>
      </c>
      <c r="K33" s="28">
        <v>3.2</v>
      </c>
      <c r="L33" s="28">
        <v>8.1</v>
      </c>
      <c r="M33" s="8">
        <v>6.4</v>
      </c>
      <c r="N33" s="132">
        <v>24.2</v>
      </c>
      <c r="O33" s="132">
        <v>24.9</v>
      </c>
      <c r="P33" s="132">
        <v>24.6</v>
      </c>
      <c r="Q33" s="132">
        <v>9.6</v>
      </c>
      <c r="R33" s="132">
        <v>14.6</v>
      </c>
      <c r="S33" s="132">
        <v>12.4</v>
      </c>
      <c r="T33" s="132">
        <v>3.4</v>
      </c>
      <c r="U33" s="132">
        <v>8.3000000000000007</v>
      </c>
      <c r="V33" s="134">
        <v>6.6</v>
      </c>
      <c r="Y33" s="26"/>
      <c r="Z33" s="517"/>
      <c r="AA33" s="517"/>
      <c r="AB33" s="517"/>
      <c r="AC33" s="517"/>
      <c r="AD33" s="517"/>
      <c r="AE33" s="517"/>
      <c r="AF33" s="517"/>
    </row>
    <row r="34" spans="2:32" ht="13" thickBot="1" x14ac:dyDescent="0.3">
      <c r="B34" s="847" t="s">
        <v>145</v>
      </c>
      <c r="C34" s="848"/>
      <c r="D34" s="849"/>
      <c r="E34" s="28">
        <v>1.1000000000000001</v>
      </c>
      <c r="F34" s="28">
        <v>2</v>
      </c>
      <c r="G34" s="28">
        <v>1.6</v>
      </c>
      <c r="H34" s="28">
        <v>0.4</v>
      </c>
      <c r="I34" s="28">
        <v>1</v>
      </c>
      <c r="J34" s="28">
        <v>0.8</v>
      </c>
      <c r="K34" s="28">
        <v>0.3</v>
      </c>
      <c r="L34" s="28">
        <v>1.8</v>
      </c>
      <c r="M34" s="8">
        <v>0.5</v>
      </c>
      <c r="N34" s="132">
        <v>1.1000000000000001</v>
      </c>
      <c r="O34" s="132">
        <v>2</v>
      </c>
      <c r="P34" s="132">
        <v>1.6</v>
      </c>
      <c r="Q34" s="132">
        <v>0.4</v>
      </c>
      <c r="R34" s="132">
        <v>1</v>
      </c>
      <c r="S34" s="132">
        <v>0.8</v>
      </c>
      <c r="T34" s="132">
        <v>0.3</v>
      </c>
      <c r="U34" s="132">
        <v>1.8</v>
      </c>
      <c r="V34" s="135">
        <v>0.5</v>
      </c>
      <c r="Y34" s="72"/>
      <c r="Z34" s="71" t="s">
        <v>237</v>
      </c>
      <c r="AA34" s="41"/>
      <c r="AB34" s="41"/>
      <c r="AC34" s="41"/>
      <c r="AD34" s="41"/>
      <c r="AE34" s="41"/>
      <c r="AF34" s="41"/>
    </row>
    <row r="35" spans="2:32" ht="13.5" thickTop="1" thickBot="1" x14ac:dyDescent="0.3">
      <c r="B35" s="834" t="s">
        <v>110</v>
      </c>
      <c r="C35" s="835"/>
      <c r="D35" s="836"/>
      <c r="E35" s="43">
        <f t="shared" ref="E35:V35" si="0">SUM(E29:E34)</f>
        <v>28.3</v>
      </c>
      <c r="F35" s="43">
        <f t="shared" si="0"/>
        <v>30.2</v>
      </c>
      <c r="G35" s="43">
        <f t="shared" si="0"/>
        <v>29.4</v>
      </c>
      <c r="H35" s="43">
        <f t="shared" si="0"/>
        <v>11.200000000000001</v>
      </c>
      <c r="I35" s="43">
        <f t="shared" si="0"/>
        <v>17.399999999999999</v>
      </c>
      <c r="J35" s="43">
        <f t="shared" si="0"/>
        <v>14.7</v>
      </c>
      <c r="K35" s="43">
        <f t="shared" si="0"/>
        <v>4</v>
      </c>
      <c r="L35" s="43">
        <f t="shared" si="0"/>
        <v>10.700000000000001</v>
      </c>
      <c r="M35" s="30">
        <f t="shared" si="0"/>
        <v>7.6000000000000005</v>
      </c>
      <c r="N35" s="43">
        <f t="shared" si="0"/>
        <v>28.3</v>
      </c>
      <c r="O35" s="43">
        <f t="shared" si="0"/>
        <v>30.2</v>
      </c>
      <c r="P35" s="43">
        <f t="shared" si="0"/>
        <v>29.400000000000002</v>
      </c>
      <c r="Q35" s="43">
        <f t="shared" si="0"/>
        <v>11.2</v>
      </c>
      <c r="R35" s="43">
        <f t="shared" si="0"/>
        <v>17.399999999999999</v>
      </c>
      <c r="S35" s="43">
        <f t="shared" si="0"/>
        <v>14.700000000000001</v>
      </c>
      <c r="T35" s="43">
        <f t="shared" si="0"/>
        <v>3.9999999999999996</v>
      </c>
      <c r="U35" s="43">
        <f t="shared" si="0"/>
        <v>10.700000000000001</v>
      </c>
      <c r="V35" s="30">
        <f t="shared" si="0"/>
        <v>7.6</v>
      </c>
    </row>
    <row r="36" spans="2:32" ht="13" x14ac:dyDescent="0.3">
      <c r="B36" s="845" t="s">
        <v>146</v>
      </c>
      <c r="C36" s="846"/>
      <c r="D36" s="846"/>
      <c r="E36" s="846"/>
      <c r="F36" s="846"/>
      <c r="G36" s="846"/>
      <c r="H36" s="846"/>
      <c r="I36" s="846"/>
      <c r="J36" s="846"/>
      <c r="K36" s="846"/>
      <c r="L36" s="846"/>
      <c r="M36" s="846"/>
      <c r="N36" s="510" t="s">
        <v>146</v>
      </c>
      <c r="O36" s="690"/>
      <c r="P36" s="690"/>
      <c r="Q36" s="690"/>
      <c r="R36" s="690"/>
      <c r="S36" s="690"/>
      <c r="T36" s="690"/>
      <c r="U36" s="690"/>
      <c r="V36" s="690"/>
    </row>
    <row r="37" spans="2:32" x14ac:dyDescent="0.25">
      <c r="B37" s="832" t="s">
        <v>112</v>
      </c>
      <c r="C37" s="499"/>
      <c r="D37" s="433"/>
      <c r="E37" s="28">
        <v>27.5</v>
      </c>
      <c r="F37" s="28">
        <v>21</v>
      </c>
      <c r="G37" s="28">
        <v>23.7</v>
      </c>
      <c r="H37" s="28">
        <v>53.2</v>
      </c>
      <c r="I37" s="28">
        <v>35.4</v>
      </c>
      <c r="J37" s="28">
        <v>43.1</v>
      </c>
      <c r="K37" s="28">
        <v>33.6</v>
      </c>
      <c r="L37" s="28">
        <v>24.2</v>
      </c>
      <c r="M37" s="42">
        <v>27.4</v>
      </c>
      <c r="N37" s="28">
        <v>27.5</v>
      </c>
      <c r="O37" s="28">
        <v>21</v>
      </c>
      <c r="P37" s="28">
        <v>23.7</v>
      </c>
      <c r="Q37" s="28">
        <v>53.2</v>
      </c>
      <c r="R37" s="28">
        <v>35.4</v>
      </c>
      <c r="S37" s="28">
        <v>43.1</v>
      </c>
      <c r="T37" s="28">
        <v>33.6</v>
      </c>
      <c r="U37" s="28">
        <v>24.2</v>
      </c>
      <c r="V37" s="42">
        <v>27.4</v>
      </c>
    </row>
    <row r="38" spans="2:32" x14ac:dyDescent="0.25">
      <c r="B38" s="833" t="s">
        <v>113</v>
      </c>
      <c r="C38" s="403"/>
      <c r="D38" s="404"/>
      <c r="E38" s="29">
        <v>8.1</v>
      </c>
      <c r="F38" s="28">
        <v>3.2</v>
      </c>
      <c r="G38" s="28">
        <v>5.2</v>
      </c>
      <c r="H38" s="28">
        <v>6</v>
      </c>
      <c r="I38" s="28">
        <v>2.5</v>
      </c>
      <c r="J38" s="28">
        <v>4</v>
      </c>
      <c r="K38" s="28">
        <v>8</v>
      </c>
      <c r="L38" s="28">
        <v>4</v>
      </c>
      <c r="M38" s="42">
        <v>5.4</v>
      </c>
      <c r="N38" s="29">
        <v>8.1</v>
      </c>
      <c r="O38" s="28">
        <v>3.2</v>
      </c>
      <c r="P38" s="28">
        <v>5.2</v>
      </c>
      <c r="Q38" s="28">
        <v>6</v>
      </c>
      <c r="R38" s="28">
        <v>2.5</v>
      </c>
      <c r="S38" s="28">
        <v>4</v>
      </c>
      <c r="T38" s="28">
        <v>8</v>
      </c>
      <c r="U38" s="28">
        <v>4</v>
      </c>
      <c r="V38" s="42">
        <v>5.4</v>
      </c>
    </row>
    <row r="39" spans="2:32" x14ac:dyDescent="0.25">
      <c r="B39" s="833" t="s">
        <v>114</v>
      </c>
      <c r="C39" s="403"/>
      <c r="D39" s="404"/>
      <c r="E39" s="28">
        <v>26</v>
      </c>
      <c r="F39" s="28">
        <v>29.2</v>
      </c>
      <c r="G39" s="28">
        <v>27.8</v>
      </c>
      <c r="H39" s="28">
        <v>21</v>
      </c>
      <c r="I39" s="28">
        <v>26.6</v>
      </c>
      <c r="J39" s="28">
        <v>24.2</v>
      </c>
      <c r="K39" s="28">
        <v>40.299999999999997</v>
      </c>
      <c r="L39" s="28">
        <v>43.8</v>
      </c>
      <c r="M39" s="42">
        <v>42.6</v>
      </c>
      <c r="N39" s="28">
        <v>26</v>
      </c>
      <c r="O39" s="28">
        <v>29.2</v>
      </c>
      <c r="P39" s="28">
        <v>27.8</v>
      </c>
      <c r="Q39" s="28">
        <v>21</v>
      </c>
      <c r="R39" s="28">
        <v>26.6</v>
      </c>
      <c r="S39" s="28">
        <v>24.2</v>
      </c>
      <c r="T39" s="28">
        <v>40.299999999999997</v>
      </c>
      <c r="U39" s="28">
        <v>43.8</v>
      </c>
      <c r="V39" s="42">
        <v>42.6</v>
      </c>
    </row>
    <row r="40" spans="2:32" x14ac:dyDescent="0.25">
      <c r="B40" s="833" t="s">
        <v>115</v>
      </c>
      <c r="C40" s="403"/>
      <c r="D40" s="404"/>
      <c r="E40" s="28">
        <v>5.0999999999999996</v>
      </c>
      <c r="F40" s="28">
        <v>13.1</v>
      </c>
      <c r="G40" s="28">
        <v>9.6999999999999993</v>
      </c>
      <c r="H40" s="28">
        <v>4.4000000000000004</v>
      </c>
      <c r="I40" s="28">
        <v>14.4</v>
      </c>
      <c r="J40" s="28">
        <v>10.1</v>
      </c>
      <c r="K40" s="28">
        <v>5.0999999999999996</v>
      </c>
      <c r="L40" s="28">
        <v>15.3</v>
      </c>
      <c r="M40" s="42">
        <v>11.8</v>
      </c>
      <c r="N40" s="28">
        <v>5.0999999999999996</v>
      </c>
      <c r="O40" s="28">
        <v>13.1</v>
      </c>
      <c r="P40" s="28">
        <v>9.6999999999999993</v>
      </c>
      <c r="Q40" s="28">
        <v>4.4000000000000004</v>
      </c>
      <c r="R40" s="28">
        <v>14.4</v>
      </c>
      <c r="S40" s="28">
        <v>10.1</v>
      </c>
      <c r="T40" s="28">
        <v>5.0999999999999996</v>
      </c>
      <c r="U40" s="28">
        <v>15.3</v>
      </c>
      <c r="V40" s="42">
        <v>11.8</v>
      </c>
    </row>
    <row r="41" spans="2:32" ht="13" thickBot="1" x14ac:dyDescent="0.3">
      <c r="B41" s="847" t="s">
        <v>116</v>
      </c>
      <c r="C41" s="848"/>
      <c r="D41" s="849"/>
      <c r="E41" s="28">
        <v>5</v>
      </c>
      <c r="F41" s="28">
        <v>3.3</v>
      </c>
      <c r="G41" s="28">
        <v>4.2</v>
      </c>
      <c r="H41" s="28">
        <v>4.2</v>
      </c>
      <c r="I41" s="28">
        <v>3.7</v>
      </c>
      <c r="J41" s="28">
        <v>3.9</v>
      </c>
      <c r="K41" s="28">
        <v>9</v>
      </c>
      <c r="L41" s="28">
        <v>2</v>
      </c>
      <c r="M41" s="42">
        <v>5.2</v>
      </c>
      <c r="N41" s="28">
        <v>5</v>
      </c>
      <c r="O41" s="28">
        <v>3.3</v>
      </c>
      <c r="P41" s="28">
        <v>4.2</v>
      </c>
      <c r="Q41" s="28">
        <v>4.2</v>
      </c>
      <c r="R41" s="28">
        <v>3.7</v>
      </c>
      <c r="S41" s="28">
        <v>3.9</v>
      </c>
      <c r="T41" s="28">
        <v>9</v>
      </c>
      <c r="U41" s="28">
        <v>2</v>
      </c>
      <c r="V41" s="42">
        <v>5.2</v>
      </c>
    </row>
    <row r="42" spans="2:32" ht="13.5" thickTop="1" thickBot="1" x14ac:dyDescent="0.3">
      <c r="B42" s="834" t="s">
        <v>147</v>
      </c>
      <c r="C42" s="835"/>
      <c r="D42" s="836"/>
      <c r="E42" s="43">
        <f t="shared" ref="E42:V42" si="1">SUM(E37:E41)</f>
        <v>71.7</v>
      </c>
      <c r="F42" s="43">
        <f t="shared" si="1"/>
        <v>69.8</v>
      </c>
      <c r="G42" s="43">
        <f t="shared" si="1"/>
        <v>70.600000000000009</v>
      </c>
      <c r="H42" s="43">
        <f t="shared" si="1"/>
        <v>88.800000000000011</v>
      </c>
      <c r="I42" s="43">
        <f t="shared" si="1"/>
        <v>82.600000000000009</v>
      </c>
      <c r="J42" s="43">
        <f t="shared" si="1"/>
        <v>85.3</v>
      </c>
      <c r="K42" s="43">
        <f t="shared" si="1"/>
        <v>96</v>
      </c>
      <c r="L42" s="43">
        <f t="shared" si="1"/>
        <v>89.3</v>
      </c>
      <c r="M42" s="30">
        <f t="shared" si="1"/>
        <v>92.4</v>
      </c>
      <c r="N42" s="43">
        <f t="shared" si="1"/>
        <v>71.7</v>
      </c>
      <c r="O42" s="43">
        <f t="shared" si="1"/>
        <v>69.8</v>
      </c>
      <c r="P42" s="43">
        <f t="shared" si="1"/>
        <v>70.600000000000009</v>
      </c>
      <c r="Q42" s="43">
        <f t="shared" si="1"/>
        <v>88.800000000000011</v>
      </c>
      <c r="R42" s="43">
        <f t="shared" si="1"/>
        <v>82.600000000000009</v>
      </c>
      <c r="S42" s="43">
        <f t="shared" si="1"/>
        <v>85.3</v>
      </c>
      <c r="T42" s="43">
        <f t="shared" si="1"/>
        <v>96</v>
      </c>
      <c r="U42" s="43">
        <f t="shared" si="1"/>
        <v>89.3</v>
      </c>
      <c r="V42" s="30">
        <f t="shared" si="1"/>
        <v>92.4</v>
      </c>
    </row>
    <row r="43" spans="2:32" ht="13" thickBot="1" x14ac:dyDescent="0.3">
      <c r="B43" s="843" t="s">
        <v>148</v>
      </c>
      <c r="C43" s="386"/>
      <c r="D43" s="844"/>
      <c r="E43" s="31">
        <f t="shared" ref="E43:V43" si="2">+E35+E42</f>
        <v>100</v>
      </c>
      <c r="F43" s="31">
        <f t="shared" si="2"/>
        <v>100</v>
      </c>
      <c r="G43" s="31">
        <f t="shared" si="2"/>
        <v>100</v>
      </c>
      <c r="H43" s="31">
        <f t="shared" si="2"/>
        <v>100.00000000000001</v>
      </c>
      <c r="I43" s="31">
        <f t="shared" si="2"/>
        <v>100</v>
      </c>
      <c r="J43" s="31">
        <f t="shared" si="2"/>
        <v>100</v>
      </c>
      <c r="K43" s="31">
        <f t="shared" si="2"/>
        <v>100</v>
      </c>
      <c r="L43" s="31">
        <f t="shared" si="2"/>
        <v>100</v>
      </c>
      <c r="M43" s="32">
        <f t="shared" si="2"/>
        <v>100</v>
      </c>
      <c r="N43" s="31">
        <f t="shared" si="2"/>
        <v>100</v>
      </c>
      <c r="O43" s="31">
        <f t="shared" si="2"/>
        <v>100</v>
      </c>
      <c r="P43" s="31">
        <f t="shared" si="2"/>
        <v>100.00000000000001</v>
      </c>
      <c r="Q43" s="31">
        <f t="shared" si="2"/>
        <v>100.00000000000001</v>
      </c>
      <c r="R43" s="31">
        <f t="shared" si="2"/>
        <v>100</v>
      </c>
      <c r="S43" s="31">
        <f t="shared" si="2"/>
        <v>100</v>
      </c>
      <c r="T43" s="31">
        <f t="shared" si="2"/>
        <v>100</v>
      </c>
      <c r="U43" s="31">
        <f t="shared" si="2"/>
        <v>100</v>
      </c>
      <c r="V43" s="32">
        <f t="shared" si="2"/>
        <v>100</v>
      </c>
    </row>
    <row r="44" spans="2:32" x14ac:dyDescent="0.25">
      <c r="B44" s="85" t="s">
        <v>330</v>
      </c>
    </row>
    <row r="46" spans="2:32" x14ac:dyDescent="0.25">
      <c r="B46" s="753" t="s">
        <v>351</v>
      </c>
      <c r="C46" s="755"/>
      <c r="D46" s="755"/>
      <c r="E46" s="755"/>
      <c r="F46" s="755"/>
      <c r="G46" s="755"/>
      <c r="H46" s="782"/>
    </row>
    <row r="47" spans="2:32" ht="13" thickBot="1" x14ac:dyDescent="0.3">
      <c r="B47" s="765"/>
      <c r="C47" s="765"/>
      <c r="D47" s="765"/>
      <c r="E47" s="765"/>
      <c r="F47" s="765"/>
      <c r="G47" s="765"/>
      <c r="H47" s="831"/>
    </row>
    <row r="48" spans="2:32" ht="32.5" customHeight="1" x14ac:dyDescent="0.3">
      <c r="B48" s="830" t="s">
        <v>239</v>
      </c>
      <c r="C48" s="387"/>
      <c r="D48" s="387"/>
      <c r="E48" s="827" t="s">
        <v>893</v>
      </c>
      <c r="F48" s="828"/>
      <c r="G48" s="828"/>
      <c r="H48" s="829"/>
    </row>
    <row r="49" spans="2:8" ht="13" x14ac:dyDescent="0.3">
      <c r="B49" s="824" t="s">
        <v>192</v>
      </c>
      <c r="C49" s="825"/>
      <c r="D49" s="129" t="s">
        <v>191</v>
      </c>
      <c r="E49" s="75" t="s">
        <v>240</v>
      </c>
      <c r="F49" s="17"/>
      <c r="G49" s="76" t="s">
        <v>142</v>
      </c>
      <c r="H49" s="48"/>
    </row>
    <row r="50" spans="2:8" x14ac:dyDescent="0.25">
      <c r="B50" s="683" t="s">
        <v>204</v>
      </c>
      <c r="C50" s="348"/>
      <c r="D50" s="366"/>
      <c r="E50" s="823">
        <v>0.26</v>
      </c>
      <c r="F50" s="512"/>
      <c r="G50" s="838">
        <v>0.3</v>
      </c>
      <c r="H50" s="839"/>
    </row>
    <row r="51" spans="2:8" x14ac:dyDescent="0.25">
      <c r="B51" s="683" t="s">
        <v>205</v>
      </c>
      <c r="C51" s="348"/>
      <c r="D51" s="366"/>
      <c r="E51" s="823">
        <v>0.24399999999999999</v>
      </c>
      <c r="F51" s="512"/>
      <c r="G51" s="838">
        <v>0.3</v>
      </c>
      <c r="H51" s="839"/>
    </row>
    <row r="52" spans="2:8" ht="13" thickBot="1" x14ac:dyDescent="0.3">
      <c r="B52" s="842" t="s">
        <v>206</v>
      </c>
      <c r="C52" s="337"/>
      <c r="D52" s="379"/>
      <c r="E52" s="837">
        <v>0.28599999999999998</v>
      </c>
      <c r="F52" s="661"/>
      <c r="G52" s="840">
        <v>0.3</v>
      </c>
      <c r="H52" s="841"/>
    </row>
    <row r="53" spans="2:8" x14ac:dyDescent="0.25">
      <c r="B53" s="85" t="s">
        <v>330</v>
      </c>
    </row>
  </sheetData>
  <mergeCells count="172">
    <mergeCell ref="B13:D13"/>
    <mergeCell ref="B12:D12"/>
    <mergeCell ref="E12:F12"/>
    <mergeCell ref="M13:N13"/>
    <mergeCell ref="B5:P6"/>
    <mergeCell ref="M11:N11"/>
    <mergeCell ref="O11:P11"/>
    <mergeCell ref="B11:D11"/>
    <mergeCell ref="E11:F11"/>
    <mergeCell ref="G11:H11"/>
    <mergeCell ref="I11:J11"/>
    <mergeCell ref="K11:L11"/>
    <mergeCell ref="B7:D9"/>
    <mergeCell ref="E7:P7"/>
    <mergeCell ref="K9:L10"/>
    <mergeCell ref="M9:N10"/>
    <mergeCell ref="B10:C10"/>
    <mergeCell ref="E8:J8"/>
    <mergeCell ref="K8:P8"/>
    <mergeCell ref="E9:F10"/>
    <mergeCell ref="G9:H10"/>
    <mergeCell ref="I9:J10"/>
    <mergeCell ref="O9:P10"/>
    <mergeCell ref="G13:H13"/>
    <mergeCell ref="I13:J13"/>
    <mergeCell ref="K13:L13"/>
    <mergeCell ref="I15:J15"/>
    <mergeCell ref="I14:J14"/>
    <mergeCell ref="E13:F13"/>
    <mergeCell ref="O13:P13"/>
    <mergeCell ref="O15:P15"/>
    <mergeCell ref="K12:L12"/>
    <mergeCell ref="M12:N12"/>
    <mergeCell ref="O12:P12"/>
    <mergeCell ref="O14:P14"/>
    <mergeCell ref="K15:L15"/>
    <mergeCell ref="M15:N15"/>
    <mergeCell ref="K14:L14"/>
    <mergeCell ref="G12:H12"/>
    <mergeCell ref="I12:J12"/>
    <mergeCell ref="M14:N14"/>
    <mergeCell ref="B14:D14"/>
    <mergeCell ref="E14:F14"/>
    <mergeCell ref="G14:H14"/>
    <mergeCell ref="E16:F16"/>
    <mergeCell ref="G16:H16"/>
    <mergeCell ref="I16:J16"/>
    <mergeCell ref="B16:D16"/>
    <mergeCell ref="E15:F15"/>
    <mergeCell ref="G15:H15"/>
    <mergeCell ref="O16:P16"/>
    <mergeCell ref="E17:F17"/>
    <mergeCell ref="G17:H17"/>
    <mergeCell ref="I17:J17"/>
    <mergeCell ref="K17:L17"/>
    <mergeCell ref="M17:N17"/>
    <mergeCell ref="K16:L16"/>
    <mergeCell ref="M16:N16"/>
    <mergeCell ref="B15:D15"/>
    <mergeCell ref="B17:D17"/>
    <mergeCell ref="B18:D18"/>
    <mergeCell ref="B27:C27"/>
    <mergeCell ref="B23:D26"/>
    <mergeCell ref="B21:V22"/>
    <mergeCell ref="Q24:S25"/>
    <mergeCell ref="O18:P18"/>
    <mergeCell ref="O17:P17"/>
    <mergeCell ref="E18:F18"/>
    <mergeCell ref="G18:H18"/>
    <mergeCell ref="T24:V25"/>
    <mergeCell ref="E24:G25"/>
    <mergeCell ref="H24:J25"/>
    <mergeCell ref="K24:M25"/>
    <mergeCell ref="E23:M23"/>
    <mergeCell ref="N23:V23"/>
    <mergeCell ref="N24:P25"/>
    <mergeCell ref="E26:E27"/>
    <mergeCell ref="I18:J18"/>
    <mergeCell ref="K18:L18"/>
    <mergeCell ref="M18:N18"/>
    <mergeCell ref="B31:D31"/>
    <mergeCell ref="B33:D33"/>
    <mergeCell ref="B34:D34"/>
    <mergeCell ref="N28:V28"/>
    <mergeCell ref="B28:M28"/>
    <mergeCell ref="U26:U27"/>
    <mergeCell ref="V26:V27"/>
    <mergeCell ref="O26:O27"/>
    <mergeCell ref="P26:P27"/>
    <mergeCell ref="F26:F27"/>
    <mergeCell ref="G26:G27"/>
    <mergeCell ref="H26:H27"/>
    <mergeCell ref="N26:N27"/>
    <mergeCell ref="Q26:Q27"/>
    <mergeCell ref="R26:R27"/>
    <mergeCell ref="S26:S27"/>
    <mergeCell ref="T26:T27"/>
    <mergeCell ref="I26:I27"/>
    <mergeCell ref="J26:J27"/>
    <mergeCell ref="K26:K27"/>
    <mergeCell ref="L26:L27"/>
    <mergeCell ref="M26:M27"/>
    <mergeCell ref="E52:F52"/>
    <mergeCell ref="G50:H50"/>
    <mergeCell ref="G51:H51"/>
    <mergeCell ref="G52:H52"/>
    <mergeCell ref="B50:D50"/>
    <mergeCell ref="B51:D51"/>
    <mergeCell ref="B52:D52"/>
    <mergeCell ref="B43:D43"/>
    <mergeCell ref="B36:M36"/>
    <mergeCell ref="B38:D38"/>
    <mergeCell ref="B39:D39"/>
    <mergeCell ref="B40:D40"/>
    <mergeCell ref="B41:D41"/>
    <mergeCell ref="B42:D42"/>
    <mergeCell ref="B37:D37"/>
    <mergeCell ref="Y5:AF6"/>
    <mergeCell ref="AC7:AF8"/>
    <mergeCell ref="AC9:AC10"/>
    <mergeCell ref="AD9:AD10"/>
    <mergeCell ref="AE9:AE10"/>
    <mergeCell ref="AE11:AE12"/>
    <mergeCell ref="E50:F50"/>
    <mergeCell ref="E51:F51"/>
    <mergeCell ref="B49:C49"/>
    <mergeCell ref="Y7:Z10"/>
    <mergeCell ref="AA7:AB10"/>
    <mergeCell ref="AF29:AF30"/>
    <mergeCell ref="AA31:AB31"/>
    <mergeCell ref="Y27:Z28"/>
    <mergeCell ref="AF9:AF10"/>
    <mergeCell ref="Y11:Z12"/>
    <mergeCell ref="E48:H48"/>
    <mergeCell ref="B48:D48"/>
    <mergeCell ref="B46:H47"/>
    <mergeCell ref="N36:V36"/>
    <mergeCell ref="B29:D29"/>
    <mergeCell ref="B30:D30"/>
    <mergeCell ref="B32:D32"/>
    <mergeCell ref="B35:D35"/>
    <mergeCell ref="AF11:AF12"/>
    <mergeCell ref="AC13:AC14"/>
    <mergeCell ref="AD13:AD14"/>
    <mergeCell ref="AE13:AE14"/>
    <mergeCell ref="AF13:AF14"/>
    <mergeCell ref="AC11:AC12"/>
    <mergeCell ref="AD11:AD12"/>
    <mergeCell ref="AA11:AB12"/>
    <mergeCell ref="Y13:Z15"/>
    <mergeCell ref="AA13:AB14"/>
    <mergeCell ref="AA15:AB15"/>
    <mergeCell ref="Z32:AF33"/>
    <mergeCell ref="Z16:AF17"/>
    <mergeCell ref="Y21:AF22"/>
    <mergeCell ref="Y23:Z26"/>
    <mergeCell ref="AA23:AB26"/>
    <mergeCell ref="AC23:AF24"/>
    <mergeCell ref="AC25:AC26"/>
    <mergeCell ref="AD25:AD26"/>
    <mergeCell ref="AE25:AE26"/>
    <mergeCell ref="AF25:AF26"/>
    <mergeCell ref="AA27:AB28"/>
    <mergeCell ref="AC27:AC28"/>
    <mergeCell ref="AD27:AD28"/>
    <mergeCell ref="AE27:AE28"/>
    <mergeCell ref="AF27:AF28"/>
    <mergeCell ref="Y29:Z31"/>
    <mergeCell ref="AA29:AB30"/>
    <mergeCell ref="AC29:AC30"/>
    <mergeCell ref="AD29:AD30"/>
    <mergeCell ref="AE29:AE30"/>
  </mergeCells>
  <dataValidations count="1">
    <dataValidation type="list" allowBlank="1" showInputMessage="1" showErrorMessage="1" sqref="D10 D27 D49" xr:uid="{00000000-0002-0000-0A00-000000000000}">
      <formula1>Local</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1:F156"/>
  <sheetViews>
    <sheetView topLeftCell="A83" zoomScale="80" zoomScaleNormal="80" workbookViewId="0">
      <selection activeCell="B59" sqref="B59"/>
    </sheetView>
  </sheetViews>
  <sheetFormatPr defaultColWidth="8.7265625" defaultRowHeight="14.5" x14ac:dyDescent="0.35"/>
  <cols>
    <col min="1" max="1" width="8.7265625" style="204"/>
    <col min="2" max="2" width="83.7265625" style="204" customWidth="1"/>
    <col min="3" max="3" width="20.26953125" style="204" customWidth="1"/>
    <col min="4" max="4" width="30" style="204" customWidth="1"/>
    <col min="5" max="5" width="14.26953125" style="204" customWidth="1"/>
    <col min="6" max="6" width="16" style="204" customWidth="1"/>
    <col min="7" max="16384" width="8.7265625" style="204"/>
  </cols>
  <sheetData>
    <row r="1" spans="2:5" ht="18.5" x14ac:dyDescent="0.45">
      <c r="B1" s="230" t="s">
        <v>770</v>
      </c>
    </row>
    <row r="2" spans="2:5" ht="18.5" x14ac:dyDescent="0.45">
      <c r="B2" s="235" t="s">
        <v>453</v>
      </c>
      <c r="C2" s="234" t="s">
        <v>769</v>
      </c>
      <c r="D2" s="218" t="s">
        <v>768</v>
      </c>
      <c r="E2" s="212"/>
    </row>
    <row r="3" spans="2:5" x14ac:dyDescent="0.35">
      <c r="B3" s="204" t="s">
        <v>767</v>
      </c>
      <c r="C3" s="204">
        <v>0</v>
      </c>
      <c r="D3" s="204">
        <v>90</v>
      </c>
    </row>
    <row r="4" spans="2:5" x14ac:dyDescent="0.35">
      <c r="B4" s="204" t="s">
        <v>766</v>
      </c>
      <c r="C4" s="204">
        <v>1</v>
      </c>
      <c r="D4" s="204">
        <v>90</v>
      </c>
    </row>
    <row r="5" spans="2:5" x14ac:dyDescent="0.35">
      <c r="B5" s="204" t="s">
        <v>765</v>
      </c>
      <c r="C5" s="204">
        <v>1.2</v>
      </c>
      <c r="D5" s="204">
        <v>90</v>
      </c>
    </row>
    <row r="6" spans="2:5" x14ac:dyDescent="0.35">
      <c r="B6" s="204" t="s">
        <v>764</v>
      </c>
      <c r="C6" s="204">
        <v>1.33</v>
      </c>
      <c r="D6" s="204">
        <v>90</v>
      </c>
    </row>
    <row r="7" spans="2:5" x14ac:dyDescent="0.35">
      <c r="B7" s="204" t="s">
        <v>763</v>
      </c>
      <c r="C7" s="204">
        <v>186.67</v>
      </c>
      <c r="D7" s="204">
        <v>90</v>
      </c>
    </row>
    <row r="8" spans="2:5" x14ac:dyDescent="0.35">
      <c r="B8" s="204" t="s">
        <v>454</v>
      </c>
      <c r="C8" s="204">
        <v>200</v>
      </c>
      <c r="D8" s="204">
        <v>90</v>
      </c>
    </row>
    <row r="9" spans="2:5" x14ac:dyDescent="0.35">
      <c r="B9" s="204" t="s">
        <v>762</v>
      </c>
      <c r="C9" s="204">
        <v>240</v>
      </c>
      <c r="D9" s="204">
        <v>90</v>
      </c>
    </row>
    <row r="10" spans="2:5" x14ac:dyDescent="0.35">
      <c r="B10" s="204" t="s">
        <v>458</v>
      </c>
      <c r="C10" s="204">
        <v>266.67</v>
      </c>
      <c r="D10" s="204">
        <v>90</v>
      </c>
    </row>
    <row r="11" spans="2:5" x14ac:dyDescent="0.35">
      <c r="B11" s="204" t="s">
        <v>761</v>
      </c>
      <c r="C11" s="204">
        <v>66.67</v>
      </c>
      <c r="D11" s="204">
        <v>90</v>
      </c>
    </row>
    <row r="12" spans="2:5" x14ac:dyDescent="0.35">
      <c r="B12" s="204" t="s">
        <v>760</v>
      </c>
      <c r="C12" s="204">
        <v>80</v>
      </c>
      <c r="D12" s="204">
        <v>90</v>
      </c>
    </row>
    <row r="14" spans="2:5" ht="18.5" x14ac:dyDescent="0.45">
      <c r="B14" s="230" t="s">
        <v>759</v>
      </c>
    </row>
    <row r="15" spans="2:5" ht="18.5" x14ac:dyDescent="0.45">
      <c r="B15" s="229" t="s">
        <v>455</v>
      </c>
      <c r="C15" s="228" t="s">
        <v>758</v>
      </c>
      <c r="D15" s="228" t="s">
        <v>757</v>
      </c>
    </row>
    <row r="16" spans="2:5" x14ac:dyDescent="0.35">
      <c r="B16" s="204" t="s">
        <v>478</v>
      </c>
      <c r="C16" s="204">
        <v>0.9</v>
      </c>
      <c r="D16" s="204">
        <v>0.9</v>
      </c>
    </row>
    <row r="17" spans="2:6" x14ac:dyDescent="0.35">
      <c r="B17" s="204" t="s">
        <v>756</v>
      </c>
      <c r="C17" s="204">
        <v>0.95</v>
      </c>
      <c r="D17" s="204">
        <v>0.95</v>
      </c>
    </row>
    <row r="18" spans="2:6" x14ac:dyDescent="0.35">
      <c r="B18" s="204" t="s">
        <v>755</v>
      </c>
      <c r="C18" s="204">
        <v>1</v>
      </c>
      <c r="D18" s="204">
        <v>1</v>
      </c>
    </row>
    <row r="19" spans="2:6" x14ac:dyDescent="0.35">
      <c r="B19" s="204" t="s">
        <v>456</v>
      </c>
      <c r="C19" s="204">
        <v>1</v>
      </c>
      <c r="D19" s="204">
        <v>1</v>
      </c>
    </row>
    <row r="20" spans="2:6" ht="18.5" x14ac:dyDescent="0.45">
      <c r="B20" s="230" t="s">
        <v>754</v>
      </c>
    </row>
    <row r="21" spans="2:6" x14ac:dyDescent="0.35">
      <c r="C21" s="897" t="s">
        <v>753</v>
      </c>
      <c r="D21" s="897"/>
      <c r="E21" s="897"/>
      <c r="F21" s="228" t="s">
        <v>752</v>
      </c>
    </row>
    <row r="22" spans="2:6" ht="85.5" customHeight="1" x14ac:dyDescent="0.45">
      <c r="B22" s="229" t="s">
        <v>751</v>
      </c>
      <c r="C22" s="233" t="s">
        <v>474</v>
      </c>
      <c r="D22" s="233" t="s">
        <v>750</v>
      </c>
      <c r="E22" s="233" t="s">
        <v>749</v>
      </c>
      <c r="F22" s="232"/>
    </row>
    <row r="23" spans="2:6" x14ac:dyDescent="0.35">
      <c r="B23" s="204" t="s">
        <v>748</v>
      </c>
      <c r="C23" s="204">
        <v>0</v>
      </c>
      <c r="D23" s="204">
        <v>0</v>
      </c>
      <c r="E23" s="204">
        <v>0</v>
      </c>
      <c r="F23" s="204">
        <v>90</v>
      </c>
    </row>
    <row r="24" spans="2:6" x14ac:dyDescent="0.35">
      <c r="B24" s="204" t="s">
        <v>747</v>
      </c>
      <c r="C24" s="204">
        <v>0.4</v>
      </c>
      <c r="D24" s="204">
        <v>0.3</v>
      </c>
      <c r="E24" s="204">
        <v>0.4</v>
      </c>
      <c r="F24" s="204">
        <v>90</v>
      </c>
    </row>
    <row r="25" spans="2:6" x14ac:dyDescent="0.35">
      <c r="B25" s="204" t="s">
        <v>746</v>
      </c>
      <c r="C25" s="204">
        <v>1</v>
      </c>
      <c r="D25" s="204">
        <v>0.95</v>
      </c>
      <c r="E25" s="204">
        <v>1</v>
      </c>
      <c r="F25" s="204">
        <v>90</v>
      </c>
    </row>
    <row r="26" spans="2:6" x14ac:dyDescent="0.35">
      <c r="B26" s="204" t="s">
        <v>745</v>
      </c>
      <c r="C26" s="204">
        <v>1.25</v>
      </c>
      <c r="D26" s="204">
        <v>1.2</v>
      </c>
      <c r="E26" s="204">
        <v>1.25</v>
      </c>
      <c r="F26" s="204">
        <v>90</v>
      </c>
    </row>
    <row r="27" spans="2:6" x14ac:dyDescent="0.35">
      <c r="B27" s="204" t="s">
        <v>744</v>
      </c>
      <c r="C27" s="204">
        <v>3.8</v>
      </c>
      <c r="D27" s="204">
        <v>1</v>
      </c>
      <c r="E27" s="204">
        <v>3.8</v>
      </c>
      <c r="F27" s="204">
        <v>90</v>
      </c>
    </row>
    <row r="28" spans="2:6" x14ac:dyDescent="0.35">
      <c r="B28" s="204" t="s">
        <v>743</v>
      </c>
      <c r="C28" s="204">
        <v>4.8</v>
      </c>
      <c r="D28" s="204">
        <v>1.25</v>
      </c>
      <c r="E28" s="204">
        <v>4.8</v>
      </c>
      <c r="F28" s="204">
        <v>90</v>
      </c>
    </row>
    <row r="29" spans="2:6" x14ac:dyDescent="0.35">
      <c r="B29" s="204" t="s">
        <v>742</v>
      </c>
      <c r="C29" s="204">
        <v>5.0999999999999996</v>
      </c>
      <c r="D29" s="204">
        <v>3.8</v>
      </c>
      <c r="E29" s="204">
        <v>5.0999999999999996</v>
      </c>
      <c r="F29" s="204">
        <v>90</v>
      </c>
    </row>
    <row r="30" spans="2:6" x14ac:dyDescent="0.35">
      <c r="B30" s="204" t="s">
        <v>476</v>
      </c>
      <c r="C30" s="204">
        <v>6.7</v>
      </c>
      <c r="D30" s="204">
        <v>4.8</v>
      </c>
      <c r="E30" s="204">
        <v>6.7</v>
      </c>
      <c r="F30" s="204">
        <v>90</v>
      </c>
    </row>
    <row r="31" spans="2:6" x14ac:dyDescent="0.35">
      <c r="B31" s="204" t="s">
        <v>741</v>
      </c>
      <c r="C31" s="204">
        <v>1.75</v>
      </c>
      <c r="F31" s="204">
        <v>90</v>
      </c>
    </row>
    <row r="32" spans="2:6" x14ac:dyDescent="0.35">
      <c r="B32" s="204" t="s">
        <v>477</v>
      </c>
      <c r="C32" s="204">
        <v>2.15</v>
      </c>
      <c r="F32" s="204">
        <v>90</v>
      </c>
    </row>
    <row r="33" spans="2:5" x14ac:dyDescent="0.35">
      <c r="C33" s="204">
        <v>2</v>
      </c>
      <c r="D33" s="204">
        <v>3</v>
      </c>
      <c r="E33" s="204">
        <v>4</v>
      </c>
    </row>
    <row r="36" spans="2:5" ht="18.5" x14ac:dyDescent="0.45">
      <c r="B36" s="230" t="s">
        <v>740</v>
      </c>
    </row>
    <row r="37" spans="2:5" ht="18.5" x14ac:dyDescent="0.45">
      <c r="B37" s="229" t="s">
        <v>479</v>
      </c>
      <c r="C37" s="228" t="s">
        <v>739</v>
      </c>
    </row>
    <row r="38" spans="2:5" x14ac:dyDescent="0.35">
      <c r="B38" s="204" t="s">
        <v>480</v>
      </c>
      <c r="C38" s="204">
        <v>1</v>
      </c>
    </row>
    <row r="39" spans="2:5" x14ac:dyDescent="0.35">
      <c r="B39" s="204" t="s">
        <v>481</v>
      </c>
      <c r="C39" s="204">
        <v>1.5</v>
      </c>
    </row>
    <row r="40" spans="2:5" x14ac:dyDescent="0.35">
      <c r="B40" s="204" t="s">
        <v>738</v>
      </c>
      <c r="C40" s="204">
        <v>1</v>
      </c>
    </row>
    <row r="42" spans="2:5" ht="18.5" x14ac:dyDescent="0.45">
      <c r="B42" s="230" t="s">
        <v>737</v>
      </c>
    </row>
    <row r="43" spans="2:5" ht="18.5" x14ac:dyDescent="0.45">
      <c r="B43" s="229" t="s">
        <v>482</v>
      </c>
      <c r="C43" s="228" t="s">
        <v>736</v>
      </c>
    </row>
    <row r="44" spans="2:5" x14ac:dyDescent="0.35">
      <c r="B44" s="204" t="s">
        <v>735</v>
      </c>
      <c r="C44" s="204">
        <v>0</v>
      </c>
    </row>
    <row r="45" spans="2:5" x14ac:dyDescent="0.35">
      <c r="B45" s="204" t="s">
        <v>734</v>
      </c>
      <c r="C45" s="204">
        <v>1</v>
      </c>
    </row>
    <row r="46" spans="2:5" x14ac:dyDescent="0.35">
      <c r="B46" s="204" t="s">
        <v>458</v>
      </c>
      <c r="C46" s="204">
        <v>1.25</v>
      </c>
    </row>
    <row r="48" spans="2:5" ht="18.5" x14ac:dyDescent="0.45">
      <c r="B48" s="230" t="s">
        <v>733</v>
      </c>
    </row>
    <row r="49" spans="2:3" ht="18.5" x14ac:dyDescent="0.45">
      <c r="B49" s="229" t="s">
        <v>441</v>
      </c>
      <c r="C49" s="228" t="s">
        <v>732</v>
      </c>
    </row>
    <row r="50" spans="2:3" x14ac:dyDescent="0.35">
      <c r="B50" s="204" t="s">
        <v>442</v>
      </c>
      <c r="C50" s="204">
        <v>1</v>
      </c>
    </row>
    <row r="51" spans="2:3" x14ac:dyDescent="0.35">
      <c r="B51" s="204" t="s">
        <v>731</v>
      </c>
      <c r="C51" s="204">
        <v>1.2</v>
      </c>
    </row>
    <row r="52" spans="2:3" x14ac:dyDescent="0.35">
      <c r="B52" s="204" t="s">
        <v>730</v>
      </c>
      <c r="C52" s="204">
        <v>1.5</v>
      </c>
    </row>
    <row r="54" spans="2:3" ht="18.5" x14ac:dyDescent="0.45">
      <c r="B54" s="230" t="s">
        <v>729</v>
      </c>
    </row>
    <row r="55" spans="2:3" ht="18.5" x14ac:dyDescent="0.45">
      <c r="B55" s="229" t="s">
        <v>443</v>
      </c>
      <c r="C55" s="228" t="s">
        <v>728</v>
      </c>
    </row>
    <row r="56" spans="2:3" x14ac:dyDescent="0.35">
      <c r="B56" s="204" t="s">
        <v>444</v>
      </c>
      <c r="C56" s="204">
        <v>1</v>
      </c>
    </row>
    <row r="57" spans="2:3" x14ac:dyDescent="0.35">
      <c r="B57" s="204" t="s">
        <v>908</v>
      </c>
      <c r="C57" s="204">
        <v>1.81</v>
      </c>
    </row>
    <row r="58" spans="2:3" x14ac:dyDescent="0.35">
      <c r="B58" s="204" t="s">
        <v>909</v>
      </c>
      <c r="C58" s="204">
        <v>3.51</v>
      </c>
    </row>
    <row r="59" spans="2:3" x14ac:dyDescent="0.35">
      <c r="B59" s="204" t="s">
        <v>727</v>
      </c>
      <c r="C59" s="204">
        <v>6.02</v>
      </c>
    </row>
    <row r="61" spans="2:3" ht="18.5" x14ac:dyDescent="0.45">
      <c r="B61" s="230" t="s">
        <v>726</v>
      </c>
    </row>
    <row r="62" spans="2:3" ht="18.5" x14ac:dyDescent="0.45">
      <c r="B62" s="229" t="s">
        <v>725</v>
      </c>
      <c r="C62" s="228" t="s">
        <v>724</v>
      </c>
    </row>
    <row r="63" spans="2:3" x14ac:dyDescent="0.35">
      <c r="B63" s="204" t="s">
        <v>480</v>
      </c>
      <c r="C63" s="204">
        <v>1</v>
      </c>
    </row>
    <row r="64" spans="2:3" x14ac:dyDescent="0.35">
      <c r="B64" s="204" t="s">
        <v>481</v>
      </c>
      <c r="C64" s="204">
        <v>1.25</v>
      </c>
    </row>
    <row r="65" spans="2:3" x14ac:dyDescent="0.35">
      <c r="B65" s="204" t="s">
        <v>446</v>
      </c>
      <c r="C65" s="204">
        <v>1</v>
      </c>
    </row>
    <row r="67" spans="2:3" ht="18.5" x14ac:dyDescent="0.45">
      <c r="B67" s="230" t="s">
        <v>723</v>
      </c>
    </row>
    <row r="68" spans="2:3" ht="18.5" x14ac:dyDescent="0.45">
      <c r="B68" s="229" t="s">
        <v>447</v>
      </c>
      <c r="C68" s="228" t="s">
        <v>722</v>
      </c>
    </row>
    <row r="69" spans="2:3" x14ac:dyDescent="0.35">
      <c r="B69" s="204" t="s">
        <v>448</v>
      </c>
      <c r="C69" s="204">
        <v>1</v>
      </c>
    </row>
    <row r="70" spans="2:3" x14ac:dyDescent="0.35">
      <c r="B70" s="204" t="s">
        <v>721</v>
      </c>
      <c r="C70" s="204">
        <v>1.2</v>
      </c>
    </row>
    <row r="71" spans="2:3" x14ac:dyDescent="0.35">
      <c r="B71" s="204" t="s">
        <v>720</v>
      </c>
      <c r="C71" s="204">
        <v>1.7</v>
      </c>
    </row>
    <row r="73" spans="2:3" ht="18.5" x14ac:dyDescent="0.45">
      <c r="B73" s="230" t="s">
        <v>719</v>
      </c>
    </row>
    <row r="74" spans="2:3" ht="18.5" x14ac:dyDescent="0.45">
      <c r="B74" s="229" t="s">
        <v>449</v>
      </c>
      <c r="C74" s="228" t="s">
        <v>718</v>
      </c>
    </row>
    <row r="75" spans="2:3" x14ac:dyDescent="0.35">
      <c r="B75" s="204" t="s">
        <v>450</v>
      </c>
      <c r="C75" s="204">
        <v>1</v>
      </c>
    </row>
    <row r="76" spans="2:3" x14ac:dyDescent="0.35">
      <c r="B76" s="204" t="s">
        <v>717</v>
      </c>
      <c r="C76" s="204">
        <v>1.2</v>
      </c>
    </row>
    <row r="78" spans="2:3" ht="18.5" x14ac:dyDescent="0.45">
      <c r="B78" s="230" t="s">
        <v>716</v>
      </c>
    </row>
    <row r="79" spans="2:3" ht="18.5" x14ac:dyDescent="0.45">
      <c r="B79" s="229" t="s">
        <v>451</v>
      </c>
      <c r="C79" s="228" t="s">
        <v>715</v>
      </c>
    </row>
    <row r="80" spans="2:3" x14ac:dyDescent="0.35">
      <c r="B80" s="204" t="s">
        <v>452</v>
      </c>
      <c r="C80" s="204">
        <v>1.25</v>
      </c>
    </row>
    <row r="81" spans="2:4" x14ac:dyDescent="0.35">
      <c r="B81" s="204" t="s">
        <v>160</v>
      </c>
      <c r="C81" s="204">
        <v>1</v>
      </c>
    </row>
    <row r="83" spans="2:4" ht="18.5" x14ac:dyDescent="0.45">
      <c r="B83" s="230" t="s">
        <v>714</v>
      </c>
    </row>
    <row r="84" spans="2:4" ht="18.5" x14ac:dyDescent="0.45">
      <c r="B84" s="229" t="s">
        <v>483</v>
      </c>
      <c r="C84" s="228" t="s">
        <v>713</v>
      </c>
    </row>
    <row r="85" spans="2:4" x14ac:dyDescent="0.35">
      <c r="B85" s="204" t="s">
        <v>458</v>
      </c>
      <c r="C85" s="204">
        <v>1</v>
      </c>
      <c r="D85" s="204">
        <v>1</v>
      </c>
    </row>
    <row r="86" spans="2:4" x14ac:dyDescent="0.35">
      <c r="B86" s="204" t="s">
        <v>707</v>
      </c>
      <c r="C86" s="204">
        <v>1.2</v>
      </c>
      <c r="D86" s="204">
        <v>2</v>
      </c>
    </row>
    <row r="87" spans="2:4" x14ac:dyDescent="0.35">
      <c r="B87" s="204" t="s">
        <v>706</v>
      </c>
      <c r="C87" s="204">
        <v>1.33</v>
      </c>
      <c r="D87" s="204">
        <v>3</v>
      </c>
    </row>
    <row r="88" spans="2:4" x14ac:dyDescent="0.35">
      <c r="B88" s="204" t="s">
        <v>712</v>
      </c>
      <c r="C88" s="204">
        <v>1</v>
      </c>
      <c r="D88" s="204">
        <v>4</v>
      </c>
    </row>
    <row r="89" spans="2:4" x14ac:dyDescent="0.35">
      <c r="B89" s="204" t="s">
        <v>711</v>
      </c>
      <c r="C89" s="204">
        <v>1</v>
      </c>
      <c r="D89" s="204">
        <v>5</v>
      </c>
    </row>
    <row r="90" spans="2:4" ht="18.5" x14ac:dyDescent="0.45">
      <c r="B90" s="231" t="s">
        <v>710</v>
      </c>
    </row>
    <row r="91" spans="2:4" ht="18.5" x14ac:dyDescent="0.45">
      <c r="B91" s="229" t="s">
        <v>709</v>
      </c>
      <c r="C91" s="228" t="s">
        <v>708</v>
      </c>
    </row>
    <row r="92" spans="2:4" x14ac:dyDescent="0.35">
      <c r="B92" s="204" t="s">
        <v>458</v>
      </c>
      <c r="C92" s="204">
        <v>1</v>
      </c>
      <c r="D92" s="204">
        <v>1</v>
      </c>
    </row>
    <row r="93" spans="2:4" x14ac:dyDescent="0.35">
      <c r="B93" s="204" t="s">
        <v>707</v>
      </c>
      <c r="C93" s="204">
        <v>1.2</v>
      </c>
      <c r="D93" s="204">
        <v>2</v>
      </c>
    </row>
    <row r="94" spans="2:4" x14ac:dyDescent="0.35">
      <c r="B94" s="204" t="s">
        <v>706</v>
      </c>
      <c r="C94" s="204">
        <v>1.33</v>
      </c>
      <c r="D94" s="204">
        <v>3</v>
      </c>
    </row>
    <row r="95" spans="2:4" ht="18.5" x14ac:dyDescent="0.45">
      <c r="B95" s="230" t="s">
        <v>705</v>
      </c>
    </row>
    <row r="96" spans="2:4" ht="18.5" x14ac:dyDescent="0.45">
      <c r="B96" s="229" t="s">
        <v>460</v>
      </c>
      <c r="C96" s="228" t="s">
        <v>704</v>
      </c>
    </row>
    <row r="97" spans="2:4" x14ac:dyDescent="0.35">
      <c r="B97" s="204" t="s">
        <v>160</v>
      </c>
      <c r="C97" s="204">
        <v>1</v>
      </c>
    </row>
    <row r="98" spans="2:4" x14ac:dyDescent="0.35">
      <c r="B98" s="204" t="s">
        <v>452</v>
      </c>
      <c r="C98" s="204">
        <v>1.25</v>
      </c>
    </row>
    <row r="100" spans="2:4" ht="18.5" x14ac:dyDescent="0.45">
      <c r="B100" s="230" t="s">
        <v>703</v>
      </c>
    </row>
    <row r="101" spans="2:4" ht="18.5" x14ac:dyDescent="0.45">
      <c r="B101" s="229" t="s">
        <v>702</v>
      </c>
      <c r="D101" s="228" t="s">
        <v>701</v>
      </c>
    </row>
    <row r="102" spans="2:4" x14ac:dyDescent="0.35">
      <c r="B102" s="204" t="s">
        <v>440</v>
      </c>
      <c r="C102" s="204">
        <v>1</v>
      </c>
    </row>
    <row r="103" spans="2:4" x14ac:dyDescent="0.35">
      <c r="B103" s="204" t="s">
        <v>577</v>
      </c>
      <c r="C103" s="204">
        <v>2</v>
      </c>
      <c r="D103" s="204">
        <v>1</v>
      </c>
    </row>
    <row r="104" spans="2:4" x14ac:dyDescent="0.35">
      <c r="B104" s="204" t="s">
        <v>700</v>
      </c>
      <c r="C104" s="204">
        <v>3</v>
      </c>
      <c r="D104" s="204">
        <v>1.8</v>
      </c>
    </row>
    <row r="105" spans="2:4" x14ac:dyDescent="0.35">
      <c r="B105" s="204" t="s">
        <v>699</v>
      </c>
      <c r="C105" s="204">
        <v>4</v>
      </c>
      <c r="D105" s="204">
        <v>2.8</v>
      </c>
    </row>
    <row r="106" spans="2:4" x14ac:dyDescent="0.35">
      <c r="B106" s="204" t="s">
        <v>698</v>
      </c>
      <c r="C106" s="204">
        <v>5</v>
      </c>
      <c r="D106" s="204">
        <v>4</v>
      </c>
    </row>
    <row r="107" spans="2:4" x14ac:dyDescent="0.35">
      <c r="B107" s="204" t="s">
        <v>697</v>
      </c>
      <c r="C107" s="204">
        <v>6</v>
      </c>
      <c r="D107" s="204">
        <v>5.2</v>
      </c>
    </row>
    <row r="109" spans="2:4" ht="18.5" x14ac:dyDescent="0.45">
      <c r="B109" s="231" t="s">
        <v>696</v>
      </c>
    </row>
    <row r="110" spans="2:4" ht="18.5" x14ac:dyDescent="0.45">
      <c r="B110" s="229" t="s">
        <v>484</v>
      </c>
      <c r="C110" s="228" t="s">
        <v>695</v>
      </c>
    </row>
    <row r="111" spans="2:4" x14ac:dyDescent="0.35">
      <c r="B111" s="204" t="s">
        <v>694</v>
      </c>
      <c r="C111" s="204">
        <v>1</v>
      </c>
    </row>
    <row r="112" spans="2:4" x14ac:dyDescent="0.35">
      <c r="B112" s="204" t="s">
        <v>693</v>
      </c>
      <c r="C112" s="204">
        <v>1</v>
      </c>
    </row>
    <row r="113" spans="2:3" x14ac:dyDescent="0.35">
      <c r="B113" s="204" t="s">
        <v>692</v>
      </c>
      <c r="C113" s="204">
        <v>3</v>
      </c>
    </row>
    <row r="114" spans="2:3" x14ac:dyDescent="0.35">
      <c r="B114" s="204" t="s">
        <v>691</v>
      </c>
      <c r="C114" s="204">
        <v>2.7</v>
      </c>
    </row>
    <row r="115" spans="2:3" x14ac:dyDescent="0.35">
      <c r="B115" s="204" t="s">
        <v>690</v>
      </c>
      <c r="C115" s="204">
        <v>2.4</v>
      </c>
    </row>
    <row r="116" spans="2:3" x14ac:dyDescent="0.35">
      <c r="B116" s="204" t="s">
        <v>485</v>
      </c>
      <c r="C116" s="204">
        <v>3</v>
      </c>
    </row>
    <row r="117" spans="2:3" x14ac:dyDescent="0.35">
      <c r="B117" s="204" t="s">
        <v>486</v>
      </c>
      <c r="C117" s="204">
        <v>2.7</v>
      </c>
    </row>
    <row r="119" spans="2:3" ht="18.5" x14ac:dyDescent="0.45">
      <c r="B119" s="230" t="s">
        <v>689</v>
      </c>
    </row>
    <row r="120" spans="2:3" ht="18.5" x14ac:dyDescent="0.45">
      <c r="B120" s="229" t="s">
        <v>688</v>
      </c>
    </row>
    <row r="121" spans="2:3" x14ac:dyDescent="0.35">
      <c r="B121" s="204" t="s">
        <v>134</v>
      </c>
      <c r="C121" s="204">
        <v>0.30599999999999999</v>
      </c>
    </row>
    <row r="122" spans="2:3" x14ac:dyDescent="0.35">
      <c r="B122" s="204" t="s">
        <v>687</v>
      </c>
      <c r="C122" s="204">
        <v>0.22600000000000001</v>
      </c>
    </row>
    <row r="123" spans="2:3" x14ac:dyDescent="0.35">
      <c r="B123" s="204" t="s">
        <v>686</v>
      </c>
      <c r="C123" s="204">
        <v>0.24199999999999999</v>
      </c>
    </row>
    <row r="124" spans="2:3" x14ac:dyDescent="0.35">
      <c r="B124" s="204" t="s">
        <v>685</v>
      </c>
      <c r="C124" s="204">
        <v>0.22600000000000001</v>
      </c>
    </row>
    <row r="126" spans="2:3" ht="18.5" x14ac:dyDescent="0.45">
      <c r="B126" s="230" t="s">
        <v>684</v>
      </c>
    </row>
    <row r="127" spans="2:3" ht="18.5" x14ac:dyDescent="0.45">
      <c r="B127" s="229" t="s">
        <v>683</v>
      </c>
      <c r="C127" s="228" t="s">
        <v>682</v>
      </c>
    </row>
    <row r="128" spans="2:3" x14ac:dyDescent="0.35">
      <c r="B128" s="227" t="s">
        <v>681</v>
      </c>
      <c r="C128" s="204">
        <v>1.7000000000000001E-2</v>
      </c>
    </row>
    <row r="129" spans="2:3" x14ac:dyDescent="0.35">
      <c r="B129" s="227">
        <v>25</v>
      </c>
      <c r="C129" s="204">
        <v>5.0999999999999997E-2</v>
      </c>
    </row>
    <row r="130" spans="2:3" x14ac:dyDescent="0.35">
      <c r="B130" s="227">
        <v>30</v>
      </c>
      <c r="C130" s="204">
        <v>0.105</v>
      </c>
    </row>
    <row r="131" spans="2:3" x14ac:dyDescent="0.35">
      <c r="B131" s="227">
        <v>35</v>
      </c>
      <c r="C131" s="204">
        <v>0.183</v>
      </c>
    </row>
    <row r="132" spans="2:3" x14ac:dyDescent="0.35">
      <c r="B132" s="227">
        <v>40</v>
      </c>
      <c r="C132" s="204">
        <v>0.28999999999999998</v>
      </c>
    </row>
    <row r="133" spans="2:3" x14ac:dyDescent="0.35">
      <c r="B133" s="227">
        <v>45</v>
      </c>
      <c r="C133" s="204">
        <v>0.42899999999999999</v>
      </c>
    </row>
    <row r="134" spans="2:3" x14ac:dyDescent="0.35">
      <c r="B134" s="227">
        <v>50</v>
      </c>
      <c r="C134" s="204">
        <v>0.53600000000000003</v>
      </c>
    </row>
    <row r="135" spans="2:3" x14ac:dyDescent="0.35">
      <c r="B135" s="227">
        <v>55</v>
      </c>
      <c r="C135" s="204">
        <v>0.59</v>
      </c>
    </row>
    <row r="136" spans="2:3" x14ac:dyDescent="0.35">
      <c r="B136" s="227">
        <v>60</v>
      </c>
      <c r="C136" s="204">
        <v>0.64300000000000002</v>
      </c>
    </row>
    <row r="137" spans="2:3" x14ac:dyDescent="0.35">
      <c r="B137" s="227">
        <v>65</v>
      </c>
      <c r="C137" s="204">
        <v>0.69699999999999995</v>
      </c>
    </row>
    <row r="138" spans="2:3" x14ac:dyDescent="0.35">
      <c r="B138" s="227">
        <v>70</v>
      </c>
      <c r="C138" s="204">
        <v>0.751</v>
      </c>
    </row>
    <row r="139" spans="2:3" x14ac:dyDescent="0.35">
      <c r="B139" s="227">
        <v>75</v>
      </c>
      <c r="C139" s="204">
        <v>0.80400000000000005</v>
      </c>
    </row>
    <row r="140" spans="2:3" x14ac:dyDescent="0.35">
      <c r="B140" s="227">
        <v>80</v>
      </c>
      <c r="C140" s="204">
        <v>0.85799999999999998</v>
      </c>
    </row>
    <row r="141" spans="2:3" x14ac:dyDescent="0.35">
      <c r="B141" s="227">
        <v>85</v>
      </c>
      <c r="C141" s="204">
        <v>0.91200000000000003</v>
      </c>
    </row>
    <row r="142" spans="2:3" x14ac:dyDescent="0.35">
      <c r="B142" s="227" t="s">
        <v>680</v>
      </c>
      <c r="C142" s="204">
        <v>0.96599999999999997</v>
      </c>
    </row>
    <row r="144" spans="2:3" ht="18.5" x14ac:dyDescent="0.45">
      <c r="B144" s="230" t="s">
        <v>679</v>
      </c>
    </row>
    <row r="145" spans="2:3" ht="18.5" x14ac:dyDescent="0.45">
      <c r="B145" s="229" t="s">
        <v>678</v>
      </c>
      <c r="C145" s="228" t="s">
        <v>677</v>
      </c>
    </row>
    <row r="146" spans="2:3" x14ac:dyDescent="0.35">
      <c r="B146" s="227" t="s">
        <v>458</v>
      </c>
      <c r="C146" s="204">
        <v>0</v>
      </c>
    </row>
    <row r="147" spans="2:3" x14ac:dyDescent="0.35">
      <c r="B147" s="227" t="s">
        <v>676</v>
      </c>
      <c r="C147" s="204">
        <v>1E-3</v>
      </c>
    </row>
    <row r="148" spans="2:3" x14ac:dyDescent="0.35">
      <c r="B148" s="227" t="s">
        <v>472</v>
      </c>
      <c r="C148" s="204">
        <v>2E-3</v>
      </c>
    </row>
    <row r="149" spans="2:3" x14ac:dyDescent="0.35">
      <c r="B149" s="227" t="s">
        <v>471</v>
      </c>
      <c r="C149" s="204">
        <v>2E-3</v>
      </c>
    </row>
    <row r="150" spans="2:3" x14ac:dyDescent="0.35">
      <c r="B150" s="227" t="s">
        <v>675</v>
      </c>
      <c r="C150" s="204">
        <v>3.0000000000000001E-3</v>
      </c>
    </row>
    <row r="151" spans="2:3" x14ac:dyDescent="0.35">
      <c r="B151" s="227" t="s">
        <v>435</v>
      </c>
      <c r="C151" s="204">
        <v>4.0000000000000001E-3</v>
      </c>
    </row>
    <row r="152" spans="2:3" x14ac:dyDescent="0.35">
      <c r="B152" s="227" t="s">
        <v>437</v>
      </c>
      <c r="C152" s="204">
        <v>5.0000000000000001E-3</v>
      </c>
    </row>
    <row r="153" spans="2:3" x14ac:dyDescent="0.35">
      <c r="B153" s="227" t="s">
        <v>674</v>
      </c>
      <c r="C153" s="204">
        <v>6.0000000000000001E-3</v>
      </c>
    </row>
    <row r="154" spans="2:3" x14ac:dyDescent="0.35">
      <c r="B154" s="227" t="s">
        <v>673</v>
      </c>
      <c r="C154" s="204">
        <v>6.0000000000000001E-3</v>
      </c>
    </row>
    <row r="155" spans="2:3" x14ac:dyDescent="0.35">
      <c r="B155" s="227" t="s">
        <v>672</v>
      </c>
      <c r="C155" s="204">
        <v>7.0000000000000001E-3</v>
      </c>
    </row>
    <row r="156" spans="2:3" x14ac:dyDescent="0.35">
      <c r="B156" s="227" t="s">
        <v>671</v>
      </c>
      <c r="C156" s="204">
        <v>8.9999999999999993E-3</v>
      </c>
    </row>
  </sheetData>
  <mergeCells count="1">
    <mergeCell ref="C21:E21"/>
  </mergeCells>
  <pageMargins left="0.7" right="0.7" top="0.75" bottom="0.75"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2:D99"/>
  <sheetViews>
    <sheetView topLeftCell="A26" zoomScaleNormal="100" workbookViewId="0">
      <selection activeCell="B25" sqref="B25"/>
    </sheetView>
  </sheetViews>
  <sheetFormatPr defaultColWidth="8.7265625" defaultRowHeight="14.5" x14ac:dyDescent="0.35"/>
  <cols>
    <col min="1" max="1" width="8.7265625" style="204"/>
    <col min="2" max="2" width="56.7265625" style="204" customWidth="1"/>
    <col min="3" max="3" width="19.453125" style="204" customWidth="1"/>
    <col min="4" max="4" width="16.453125" style="204" customWidth="1"/>
    <col min="5" max="16384" width="8.7265625" style="204"/>
  </cols>
  <sheetData>
    <row r="2" spans="2:4" ht="18.5" x14ac:dyDescent="0.45">
      <c r="B2" s="230" t="s">
        <v>804</v>
      </c>
    </row>
    <row r="3" spans="2:4" ht="18.5" x14ac:dyDescent="0.45">
      <c r="B3" s="229" t="s">
        <v>461</v>
      </c>
      <c r="C3" s="228" t="s">
        <v>803</v>
      </c>
      <c r="D3" s="228" t="s">
        <v>802</v>
      </c>
    </row>
    <row r="4" spans="2:4" x14ac:dyDescent="0.35">
      <c r="B4" s="204" t="s">
        <v>801</v>
      </c>
      <c r="C4" s="204">
        <v>0</v>
      </c>
      <c r="D4" s="204">
        <v>0</v>
      </c>
    </row>
    <row r="5" spans="2:4" x14ac:dyDescent="0.35">
      <c r="B5" s="204" t="s">
        <v>462</v>
      </c>
      <c r="C5" s="204">
        <v>1</v>
      </c>
      <c r="D5" s="204">
        <v>90</v>
      </c>
    </row>
    <row r="6" spans="2:4" x14ac:dyDescent="0.35">
      <c r="B6" s="204" t="s">
        <v>800</v>
      </c>
      <c r="C6" s="204">
        <v>120</v>
      </c>
      <c r="D6" s="204">
        <v>90</v>
      </c>
    </row>
    <row r="7" spans="2:4" x14ac:dyDescent="0.35">
      <c r="B7" s="204" t="s">
        <v>458</v>
      </c>
      <c r="C7" s="204">
        <v>200</v>
      </c>
      <c r="D7" s="204">
        <v>90</v>
      </c>
    </row>
    <row r="8" spans="2:4" x14ac:dyDescent="0.35">
      <c r="B8" s="204" t="s">
        <v>799</v>
      </c>
      <c r="C8" s="204">
        <v>170</v>
      </c>
      <c r="D8" s="204">
        <v>90</v>
      </c>
    </row>
    <row r="9" spans="2:4" x14ac:dyDescent="0.35">
      <c r="B9" s="204" t="s">
        <v>798</v>
      </c>
      <c r="C9" s="204">
        <v>190</v>
      </c>
      <c r="D9" s="204">
        <v>90</v>
      </c>
    </row>
    <row r="10" spans="2:4" x14ac:dyDescent="0.35">
      <c r="B10" s="204" t="s">
        <v>763</v>
      </c>
      <c r="C10" s="204">
        <v>160</v>
      </c>
      <c r="D10" s="204">
        <v>90</v>
      </c>
    </row>
    <row r="11" spans="2:4" x14ac:dyDescent="0.35">
      <c r="B11" s="204" t="s">
        <v>454</v>
      </c>
      <c r="C11" s="204">
        <v>170</v>
      </c>
      <c r="D11" s="204">
        <v>90</v>
      </c>
    </row>
    <row r="12" spans="2:4" x14ac:dyDescent="0.35">
      <c r="B12" s="204" t="s">
        <v>762</v>
      </c>
      <c r="C12" s="204">
        <v>180</v>
      </c>
      <c r="D12" s="204">
        <v>90</v>
      </c>
    </row>
    <row r="14" spans="2:4" ht="18.5" x14ac:dyDescent="0.45">
      <c r="B14" s="230" t="s">
        <v>797</v>
      </c>
    </row>
    <row r="15" spans="2:4" ht="18.5" x14ac:dyDescent="0.45">
      <c r="B15" s="229" t="s">
        <v>441</v>
      </c>
      <c r="C15" s="228" t="s">
        <v>796</v>
      </c>
    </row>
    <row r="16" spans="2:4" x14ac:dyDescent="0.35">
      <c r="B16" s="204" t="s">
        <v>442</v>
      </c>
      <c r="C16" s="204">
        <v>1</v>
      </c>
    </row>
    <row r="17" spans="2:3" x14ac:dyDescent="0.35">
      <c r="B17" s="204" t="s">
        <v>731</v>
      </c>
      <c r="C17" s="204">
        <v>1.2</v>
      </c>
    </row>
    <row r="18" spans="2:3" x14ac:dyDescent="0.35">
      <c r="B18" s="204" t="s">
        <v>730</v>
      </c>
      <c r="C18" s="204">
        <v>1.5</v>
      </c>
    </row>
    <row r="20" spans="2:3" ht="18.5" x14ac:dyDescent="0.45">
      <c r="B20" s="230" t="s">
        <v>795</v>
      </c>
    </row>
    <row r="21" spans="2:3" ht="18.5" x14ac:dyDescent="0.45">
      <c r="B21" s="229" t="s">
        <v>443</v>
      </c>
      <c r="C21" s="228" t="s">
        <v>794</v>
      </c>
    </row>
    <row r="22" spans="2:3" x14ac:dyDescent="0.35">
      <c r="B22" s="204" t="s">
        <v>444</v>
      </c>
      <c r="C22" s="204">
        <v>1</v>
      </c>
    </row>
    <row r="23" spans="2:3" x14ac:dyDescent="0.35">
      <c r="B23" s="204" t="s">
        <v>908</v>
      </c>
      <c r="C23" s="204">
        <v>1.81</v>
      </c>
    </row>
    <row r="24" spans="2:3" x14ac:dyDescent="0.35">
      <c r="B24" s="204" t="s">
        <v>909</v>
      </c>
      <c r="C24" s="204">
        <v>3.51</v>
      </c>
    </row>
    <row r="25" spans="2:3" x14ac:dyDescent="0.35">
      <c r="B25" s="204" t="s">
        <v>727</v>
      </c>
      <c r="C25" s="204">
        <v>6.02</v>
      </c>
    </row>
    <row r="27" spans="2:3" ht="18.5" x14ac:dyDescent="0.45">
      <c r="B27" s="230" t="s">
        <v>793</v>
      </c>
    </row>
    <row r="28" spans="2:3" ht="18.5" x14ac:dyDescent="0.45">
      <c r="B28" s="229" t="s">
        <v>792</v>
      </c>
      <c r="C28" s="228" t="s">
        <v>791</v>
      </c>
    </row>
    <row r="29" spans="2:3" x14ac:dyDescent="0.35">
      <c r="B29" s="204" t="s">
        <v>480</v>
      </c>
      <c r="C29" s="204">
        <v>1</v>
      </c>
    </row>
    <row r="30" spans="2:3" x14ac:dyDescent="0.35">
      <c r="B30" s="204" t="s">
        <v>481</v>
      </c>
      <c r="C30" s="204">
        <v>1.4</v>
      </c>
    </row>
    <row r="31" spans="2:3" x14ac:dyDescent="0.35">
      <c r="B31" s="204" t="s">
        <v>446</v>
      </c>
      <c r="C31" s="204">
        <v>1</v>
      </c>
    </row>
    <row r="33" spans="2:3" ht="18.5" x14ac:dyDescent="0.45">
      <c r="B33" s="230" t="s">
        <v>790</v>
      </c>
    </row>
    <row r="34" spans="2:3" ht="18.5" x14ac:dyDescent="0.45">
      <c r="B34" s="229" t="s">
        <v>447</v>
      </c>
      <c r="C34" s="228" t="s">
        <v>789</v>
      </c>
    </row>
    <row r="35" spans="2:3" x14ac:dyDescent="0.35">
      <c r="B35" s="204" t="s">
        <v>448</v>
      </c>
      <c r="C35" s="204">
        <v>1</v>
      </c>
    </row>
    <row r="36" spans="2:3" x14ac:dyDescent="0.35">
      <c r="B36" s="204" t="s">
        <v>721</v>
      </c>
      <c r="C36" s="204">
        <v>1.2</v>
      </c>
    </row>
    <row r="37" spans="2:3" x14ac:dyDescent="0.35">
      <c r="B37" s="204" t="s">
        <v>720</v>
      </c>
      <c r="C37" s="204">
        <v>1.7</v>
      </c>
    </row>
    <row r="39" spans="2:3" ht="18.5" x14ac:dyDescent="0.45">
      <c r="B39" s="231" t="s">
        <v>788</v>
      </c>
    </row>
    <row r="40" spans="2:3" ht="18.5" x14ac:dyDescent="0.45">
      <c r="B40" s="229" t="s">
        <v>787</v>
      </c>
      <c r="C40" s="228" t="s">
        <v>786</v>
      </c>
    </row>
    <row r="41" spans="2:3" x14ac:dyDescent="0.35">
      <c r="B41" s="204" t="s">
        <v>450</v>
      </c>
      <c r="C41" s="204">
        <v>1</v>
      </c>
    </row>
    <row r="42" spans="2:3" x14ac:dyDescent="0.35">
      <c r="B42" s="204" t="s">
        <v>717</v>
      </c>
      <c r="C42" s="204">
        <v>1.2</v>
      </c>
    </row>
    <row r="44" spans="2:3" ht="18.5" x14ac:dyDescent="0.45">
      <c r="B44" s="230" t="s">
        <v>785</v>
      </c>
    </row>
    <row r="45" spans="2:3" ht="18.5" x14ac:dyDescent="0.45">
      <c r="B45" s="229" t="s">
        <v>451</v>
      </c>
      <c r="C45" s="228" t="s">
        <v>784</v>
      </c>
    </row>
    <row r="46" spans="2:3" x14ac:dyDescent="0.35">
      <c r="B46" s="204" t="s">
        <v>452</v>
      </c>
      <c r="C46" s="204">
        <v>1.25</v>
      </c>
    </row>
    <row r="47" spans="2:3" x14ac:dyDescent="0.35">
      <c r="B47" s="204" t="s">
        <v>160</v>
      </c>
      <c r="C47" s="204">
        <v>1</v>
      </c>
    </row>
    <row r="49" spans="2:3" ht="18.5" x14ac:dyDescent="0.45">
      <c r="B49" s="230" t="s">
        <v>783</v>
      </c>
    </row>
    <row r="50" spans="2:3" ht="18.5" x14ac:dyDescent="0.45">
      <c r="B50" s="229" t="s">
        <v>483</v>
      </c>
      <c r="C50" s="228" t="s">
        <v>782</v>
      </c>
    </row>
    <row r="51" spans="2:3" x14ac:dyDescent="0.35">
      <c r="B51" s="204" t="s">
        <v>458</v>
      </c>
      <c r="C51" s="204">
        <v>1</v>
      </c>
    </row>
    <row r="52" spans="2:3" x14ac:dyDescent="0.35">
      <c r="B52" s="204" t="s">
        <v>707</v>
      </c>
      <c r="C52" s="204">
        <v>1.2</v>
      </c>
    </row>
    <row r="53" spans="2:3" x14ac:dyDescent="0.35">
      <c r="B53" s="204" t="s">
        <v>706</v>
      </c>
      <c r="C53" s="204">
        <v>1.33</v>
      </c>
    </row>
    <row r="54" spans="2:3" x14ac:dyDescent="0.35">
      <c r="B54" s="204" t="s">
        <v>781</v>
      </c>
      <c r="C54" s="204">
        <v>1</v>
      </c>
    </row>
    <row r="55" spans="2:3" x14ac:dyDescent="0.35">
      <c r="B55" s="204" t="s">
        <v>780</v>
      </c>
      <c r="C55" s="204">
        <v>1</v>
      </c>
    </row>
    <row r="57" spans="2:3" ht="18.5" x14ac:dyDescent="0.45">
      <c r="B57" s="230" t="s">
        <v>779</v>
      </c>
    </row>
    <row r="58" spans="2:3" ht="18.5" x14ac:dyDescent="0.45">
      <c r="B58" s="229" t="s">
        <v>460</v>
      </c>
      <c r="C58" s="228" t="s">
        <v>778</v>
      </c>
    </row>
    <row r="59" spans="2:3" x14ac:dyDescent="0.35">
      <c r="B59" s="204" t="s">
        <v>160</v>
      </c>
      <c r="C59" s="204">
        <v>1</v>
      </c>
    </row>
    <row r="60" spans="2:3" x14ac:dyDescent="0.35">
      <c r="B60" s="204" t="s">
        <v>452</v>
      </c>
      <c r="C60" s="204">
        <v>1.25</v>
      </c>
    </row>
    <row r="62" spans="2:3" ht="18.5" x14ac:dyDescent="0.45">
      <c r="B62" s="230" t="s">
        <v>777</v>
      </c>
    </row>
    <row r="63" spans="2:3" x14ac:dyDescent="0.35">
      <c r="B63" s="204" t="s">
        <v>776</v>
      </c>
    </row>
    <row r="64" spans="2:3" x14ac:dyDescent="0.35">
      <c r="B64" s="204" t="s">
        <v>134</v>
      </c>
      <c r="C64" s="204">
        <v>4.4999999999999998E-2</v>
      </c>
    </row>
    <row r="65" spans="2:3" x14ac:dyDescent="0.35">
      <c r="B65" s="204" t="s">
        <v>687</v>
      </c>
      <c r="C65" s="204">
        <v>0.315</v>
      </c>
    </row>
    <row r="66" spans="2:3" x14ac:dyDescent="0.35">
      <c r="B66" s="204" t="s">
        <v>686</v>
      </c>
      <c r="C66" s="204">
        <v>0.44700000000000001</v>
      </c>
    </row>
    <row r="67" spans="2:3" x14ac:dyDescent="0.35">
      <c r="B67" s="204" t="s">
        <v>685</v>
      </c>
      <c r="C67" s="204">
        <v>0.193</v>
      </c>
    </row>
    <row r="69" spans="2:3" ht="18.5" x14ac:dyDescent="0.45">
      <c r="B69" s="230" t="s">
        <v>775</v>
      </c>
    </row>
    <row r="70" spans="2:3" ht="18.5" x14ac:dyDescent="0.45">
      <c r="B70" s="229" t="s">
        <v>683</v>
      </c>
      <c r="C70" s="228" t="s">
        <v>774</v>
      </c>
    </row>
    <row r="71" spans="2:3" x14ac:dyDescent="0.35">
      <c r="B71" s="227" t="s">
        <v>681</v>
      </c>
      <c r="C71" s="204">
        <v>1.0999999999999999E-2</v>
      </c>
    </row>
    <row r="72" spans="2:3" x14ac:dyDescent="0.35">
      <c r="B72" s="204">
        <v>25</v>
      </c>
      <c r="C72" s="204">
        <v>3.1E-2</v>
      </c>
    </row>
    <row r="73" spans="2:3" x14ac:dyDescent="0.35">
      <c r="B73" s="204">
        <v>30</v>
      </c>
      <c r="C73" s="204">
        <v>6.4000000000000001E-2</v>
      </c>
    </row>
    <row r="74" spans="2:3" x14ac:dyDescent="0.35">
      <c r="B74" s="204">
        <v>35</v>
      </c>
      <c r="C74" s="204">
        <v>0.112</v>
      </c>
    </row>
    <row r="75" spans="2:3" x14ac:dyDescent="0.35">
      <c r="B75" s="204">
        <v>40</v>
      </c>
      <c r="C75" s="204">
        <v>0.17799999999999999</v>
      </c>
    </row>
    <row r="76" spans="2:3" x14ac:dyDescent="0.35">
      <c r="B76" s="204">
        <v>45</v>
      </c>
      <c r="C76" s="204">
        <v>0.26400000000000001</v>
      </c>
    </row>
    <row r="77" spans="2:3" x14ac:dyDescent="0.35">
      <c r="B77" s="204">
        <v>50</v>
      </c>
      <c r="C77" s="204">
        <v>0.372</v>
      </c>
    </row>
    <row r="78" spans="2:3" x14ac:dyDescent="0.35">
      <c r="B78" s="204">
        <v>55</v>
      </c>
      <c r="C78" s="204">
        <v>0.505</v>
      </c>
    </row>
    <row r="79" spans="2:3" x14ac:dyDescent="0.35">
      <c r="B79" s="204">
        <v>60</v>
      </c>
      <c r="C79" s="204">
        <v>0.64300000000000002</v>
      </c>
    </row>
    <row r="80" spans="2:3" x14ac:dyDescent="0.35">
      <c r="B80" s="204">
        <v>65</v>
      </c>
      <c r="C80" s="204">
        <v>0.69699999999999995</v>
      </c>
    </row>
    <row r="81" spans="2:3" x14ac:dyDescent="0.35">
      <c r="B81" s="204">
        <v>70</v>
      </c>
      <c r="C81" s="204">
        <v>0.751</v>
      </c>
    </row>
    <row r="82" spans="2:3" x14ac:dyDescent="0.35">
      <c r="B82" s="204">
        <v>75</v>
      </c>
      <c r="C82" s="204">
        <v>0.80400000000000005</v>
      </c>
    </row>
    <row r="83" spans="2:3" x14ac:dyDescent="0.35">
      <c r="B83" s="204">
        <v>80</v>
      </c>
      <c r="C83" s="204">
        <v>0.85799999999999998</v>
      </c>
    </row>
    <row r="84" spans="2:3" x14ac:dyDescent="0.35">
      <c r="B84" s="204">
        <v>85</v>
      </c>
      <c r="C84" s="204">
        <v>0.91200000000000003</v>
      </c>
    </row>
    <row r="85" spans="2:3" x14ac:dyDescent="0.35">
      <c r="B85" s="227" t="s">
        <v>680</v>
      </c>
      <c r="C85" s="204">
        <v>0.96599999999999997</v>
      </c>
    </row>
    <row r="87" spans="2:3" ht="18.5" x14ac:dyDescent="0.45">
      <c r="B87" s="230" t="s">
        <v>773</v>
      </c>
    </row>
    <row r="88" spans="2:3" ht="18.5" x14ac:dyDescent="0.45">
      <c r="B88" s="229" t="s">
        <v>772</v>
      </c>
      <c r="C88" s="228" t="s">
        <v>771</v>
      </c>
    </row>
    <row r="89" spans="2:3" x14ac:dyDescent="0.35">
      <c r="B89" s="204" t="s">
        <v>458</v>
      </c>
      <c r="C89" s="204">
        <v>0</v>
      </c>
    </row>
    <row r="90" spans="2:3" x14ac:dyDescent="0.35">
      <c r="B90" s="204" t="s">
        <v>676</v>
      </c>
      <c r="C90" s="204">
        <v>1E-3</v>
      </c>
    </row>
    <row r="91" spans="2:3" x14ac:dyDescent="0.35">
      <c r="B91" s="204" t="s">
        <v>472</v>
      </c>
      <c r="C91" s="204">
        <v>2E-3</v>
      </c>
    </row>
    <row r="92" spans="2:3" x14ac:dyDescent="0.35">
      <c r="B92" s="204" t="s">
        <v>471</v>
      </c>
      <c r="C92" s="204">
        <v>2E-3</v>
      </c>
    </row>
    <row r="93" spans="2:3" x14ac:dyDescent="0.35">
      <c r="B93" s="204" t="s">
        <v>675</v>
      </c>
      <c r="C93" s="204">
        <v>3.0000000000000001E-3</v>
      </c>
    </row>
    <row r="94" spans="2:3" x14ac:dyDescent="0.35">
      <c r="B94" s="204" t="s">
        <v>435</v>
      </c>
      <c r="C94" s="204">
        <v>4.0000000000000001E-3</v>
      </c>
    </row>
    <row r="95" spans="2:3" x14ac:dyDescent="0.35">
      <c r="B95" s="204" t="s">
        <v>437</v>
      </c>
      <c r="C95" s="204">
        <v>5.0000000000000001E-3</v>
      </c>
    </row>
    <row r="96" spans="2:3" x14ac:dyDescent="0.35">
      <c r="B96" s="204" t="s">
        <v>674</v>
      </c>
      <c r="C96" s="204">
        <v>6.0000000000000001E-3</v>
      </c>
    </row>
    <row r="97" spans="2:3" x14ac:dyDescent="0.35">
      <c r="B97" s="204" t="s">
        <v>673</v>
      </c>
      <c r="C97" s="204">
        <v>6.0000000000000001E-3</v>
      </c>
    </row>
    <row r="98" spans="2:3" x14ac:dyDescent="0.35">
      <c r="B98" s="204" t="s">
        <v>672</v>
      </c>
      <c r="C98" s="204">
        <v>7.0000000000000001E-3</v>
      </c>
    </row>
    <row r="99" spans="2:3" x14ac:dyDescent="0.35">
      <c r="B99" s="204" t="s">
        <v>671</v>
      </c>
      <c r="C99" s="204">
        <v>8.9999999999999993E-3</v>
      </c>
    </row>
  </sheetData>
  <pageMargins left="0.7" right="0.7" top="0.75" bottom="0.75" header="0.51180555555555496" footer="0.51180555555555496"/>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1:N112"/>
  <sheetViews>
    <sheetView topLeftCell="A71" zoomScale="80" zoomScaleNormal="80" workbookViewId="0">
      <selection activeCell="A37" sqref="A37"/>
    </sheetView>
  </sheetViews>
  <sheetFormatPr defaultColWidth="8.7265625" defaultRowHeight="14.5" x14ac:dyDescent="0.35"/>
  <cols>
    <col min="1" max="1" width="8.7265625" style="204"/>
    <col min="2" max="2" width="82.453125" style="204" customWidth="1"/>
    <col min="3" max="3" width="15.1796875" style="204" customWidth="1"/>
    <col min="4" max="4" width="14.7265625" style="204" customWidth="1"/>
    <col min="5" max="5" width="14.453125" style="204" customWidth="1"/>
    <col min="6" max="6" width="13.453125" style="204" customWidth="1"/>
    <col min="7" max="16384" width="8.7265625" style="204"/>
  </cols>
  <sheetData>
    <row r="1" spans="2:3" ht="18.5" x14ac:dyDescent="0.45">
      <c r="B1" s="230" t="s">
        <v>684</v>
      </c>
    </row>
    <row r="2" spans="2:3" ht="18.5" x14ac:dyDescent="0.45">
      <c r="B2" s="229" t="s">
        <v>683</v>
      </c>
      <c r="C2" s="228" t="s">
        <v>682</v>
      </c>
    </row>
    <row r="3" spans="2:3" x14ac:dyDescent="0.35">
      <c r="B3" s="227" t="s">
        <v>681</v>
      </c>
      <c r="C3" s="204">
        <v>1.7000000000000001E-2</v>
      </c>
    </row>
    <row r="4" spans="2:3" x14ac:dyDescent="0.35">
      <c r="B4" s="204">
        <v>25</v>
      </c>
      <c r="C4" s="204">
        <v>5.0999999999999997E-2</v>
      </c>
    </row>
    <row r="5" spans="2:3" x14ac:dyDescent="0.35">
      <c r="B5" s="204">
        <v>30</v>
      </c>
      <c r="C5" s="204">
        <v>0.105</v>
      </c>
    </row>
    <row r="6" spans="2:3" x14ac:dyDescent="0.35">
      <c r="B6" s="204">
        <v>35</v>
      </c>
      <c r="C6" s="204">
        <v>0.183</v>
      </c>
    </row>
    <row r="7" spans="2:3" x14ac:dyDescent="0.35">
      <c r="B7" s="204">
        <v>40</v>
      </c>
      <c r="C7" s="204">
        <v>0.28999999999999998</v>
      </c>
    </row>
    <row r="8" spans="2:3" x14ac:dyDescent="0.35">
      <c r="B8" s="204">
        <v>45</v>
      </c>
      <c r="C8" s="204">
        <v>0.42899999999999999</v>
      </c>
    </row>
    <row r="9" spans="2:3" x14ac:dyDescent="0.35">
      <c r="B9" s="204">
        <v>50</v>
      </c>
      <c r="C9" s="204">
        <v>0.53600000000000003</v>
      </c>
    </row>
    <row r="10" spans="2:3" x14ac:dyDescent="0.35">
      <c r="B10" s="204">
        <v>55</v>
      </c>
      <c r="C10" s="204">
        <v>0.59</v>
      </c>
    </row>
    <row r="11" spans="2:3" x14ac:dyDescent="0.35">
      <c r="B11" s="204">
        <v>60</v>
      </c>
      <c r="C11" s="204">
        <v>0.64300000000000002</v>
      </c>
    </row>
    <row r="12" spans="2:3" x14ac:dyDescent="0.35">
      <c r="B12" s="204">
        <v>65</v>
      </c>
      <c r="C12" s="204">
        <v>0.69699999999999995</v>
      </c>
    </row>
    <row r="13" spans="2:3" x14ac:dyDescent="0.35">
      <c r="B13" s="204">
        <v>70</v>
      </c>
      <c r="C13" s="204">
        <v>0.751</v>
      </c>
    </row>
    <row r="14" spans="2:3" x14ac:dyDescent="0.35">
      <c r="B14" s="204">
        <v>75</v>
      </c>
      <c r="C14" s="204">
        <v>0.80400000000000005</v>
      </c>
    </row>
    <row r="15" spans="2:3" x14ac:dyDescent="0.35">
      <c r="B15" s="204">
        <v>80</v>
      </c>
      <c r="C15" s="204">
        <v>0.85799999999999998</v>
      </c>
    </row>
    <row r="16" spans="2:3" x14ac:dyDescent="0.35">
      <c r="B16" s="204">
        <v>85</v>
      </c>
      <c r="C16" s="204">
        <v>0.91200000000000003</v>
      </c>
    </row>
    <row r="17" spans="2:6" x14ac:dyDescent="0.35">
      <c r="B17" s="227" t="s">
        <v>680</v>
      </c>
      <c r="C17" s="204">
        <v>0.96599999999999997</v>
      </c>
    </row>
    <row r="18" spans="2:6" ht="18.5" x14ac:dyDescent="0.45">
      <c r="B18" s="230" t="s">
        <v>759</v>
      </c>
    </row>
    <row r="19" spans="2:6" ht="18.5" x14ac:dyDescent="0.45">
      <c r="B19" s="229" t="s">
        <v>455</v>
      </c>
      <c r="C19" s="228" t="s">
        <v>820</v>
      </c>
    </row>
    <row r="20" spans="2:6" x14ac:dyDescent="0.35">
      <c r="B20" s="204" t="s">
        <v>478</v>
      </c>
      <c r="C20" s="204">
        <v>0.9</v>
      </c>
    </row>
    <row r="21" spans="2:6" x14ac:dyDescent="0.35">
      <c r="B21" s="204" t="s">
        <v>756</v>
      </c>
      <c r="C21" s="204">
        <v>0.95</v>
      </c>
    </row>
    <row r="22" spans="2:6" x14ac:dyDescent="0.35">
      <c r="B22" s="204" t="s">
        <v>755</v>
      </c>
      <c r="C22" s="204">
        <v>1</v>
      </c>
    </row>
    <row r="23" spans="2:6" x14ac:dyDescent="0.35">
      <c r="B23" s="204" t="s">
        <v>456</v>
      </c>
      <c r="C23" s="204">
        <v>1</v>
      </c>
    </row>
    <row r="25" spans="2:6" ht="18.5" x14ac:dyDescent="0.45">
      <c r="B25" s="230" t="s">
        <v>754</v>
      </c>
    </row>
    <row r="26" spans="2:6" x14ac:dyDescent="0.35">
      <c r="C26" s="897" t="s">
        <v>819</v>
      </c>
      <c r="D26" s="897"/>
      <c r="E26" s="897"/>
      <c r="F26" s="228" t="s">
        <v>818</v>
      </c>
    </row>
    <row r="27" spans="2:6" ht="59" x14ac:dyDescent="0.45">
      <c r="B27" s="229" t="s">
        <v>751</v>
      </c>
      <c r="C27" s="233" t="s">
        <v>474</v>
      </c>
      <c r="D27" s="233" t="s">
        <v>750</v>
      </c>
      <c r="E27" s="233" t="s">
        <v>749</v>
      </c>
      <c r="F27" s="232"/>
    </row>
    <row r="28" spans="2:6" x14ac:dyDescent="0.35">
      <c r="B28" s="204" t="s">
        <v>748</v>
      </c>
      <c r="C28" s="204">
        <v>0</v>
      </c>
      <c r="D28" s="204">
        <v>0</v>
      </c>
      <c r="E28" s="204">
        <v>0</v>
      </c>
      <c r="F28" s="204">
        <v>90</v>
      </c>
    </row>
    <row r="29" spans="2:6" x14ac:dyDescent="0.35">
      <c r="B29" s="204" t="s">
        <v>747</v>
      </c>
      <c r="C29" s="204">
        <v>0.4</v>
      </c>
      <c r="D29" s="204">
        <v>0.3</v>
      </c>
      <c r="E29" s="204">
        <v>0.4</v>
      </c>
      <c r="F29" s="204">
        <v>90</v>
      </c>
    </row>
    <row r="30" spans="2:6" x14ac:dyDescent="0.35">
      <c r="B30" s="204" t="s">
        <v>746</v>
      </c>
      <c r="C30" s="204">
        <v>1</v>
      </c>
      <c r="D30" s="204">
        <v>0.95</v>
      </c>
      <c r="E30" s="204">
        <v>1</v>
      </c>
      <c r="F30" s="204">
        <v>90</v>
      </c>
    </row>
    <row r="31" spans="2:6" x14ac:dyDescent="0.35">
      <c r="B31" s="204" t="s">
        <v>745</v>
      </c>
      <c r="C31" s="204">
        <v>1.25</v>
      </c>
      <c r="D31" s="204">
        <v>1.2</v>
      </c>
      <c r="E31" s="204">
        <v>1.25</v>
      </c>
      <c r="F31" s="204">
        <v>90</v>
      </c>
    </row>
    <row r="32" spans="2:6" x14ac:dyDescent="0.35">
      <c r="B32" s="204" t="s">
        <v>741</v>
      </c>
      <c r="C32" s="204">
        <v>1.75</v>
      </c>
      <c r="D32" s="204">
        <v>0</v>
      </c>
      <c r="E32" s="204">
        <v>0</v>
      </c>
      <c r="F32" s="204">
        <v>90</v>
      </c>
    </row>
    <row r="33" spans="2:6" x14ac:dyDescent="0.35">
      <c r="B33" s="204" t="s">
        <v>477</v>
      </c>
      <c r="C33" s="204">
        <v>2.15</v>
      </c>
      <c r="D33" s="204">
        <v>0</v>
      </c>
      <c r="E33" s="204">
        <v>0</v>
      </c>
      <c r="F33" s="204">
        <v>90</v>
      </c>
    </row>
    <row r="34" spans="2:6" x14ac:dyDescent="0.35">
      <c r="B34" s="204" t="s">
        <v>744</v>
      </c>
      <c r="C34" s="204">
        <v>3.8</v>
      </c>
      <c r="D34" s="204">
        <v>1</v>
      </c>
      <c r="E34" s="204">
        <v>3.8</v>
      </c>
      <c r="F34" s="204">
        <v>90</v>
      </c>
    </row>
    <row r="35" spans="2:6" x14ac:dyDescent="0.35">
      <c r="B35" s="204" t="s">
        <v>743</v>
      </c>
      <c r="C35" s="204">
        <v>4.8</v>
      </c>
      <c r="D35" s="204">
        <v>1.25</v>
      </c>
      <c r="E35" s="204">
        <v>4.8</v>
      </c>
      <c r="F35" s="204">
        <v>90</v>
      </c>
    </row>
    <row r="36" spans="2:6" x14ac:dyDescent="0.35">
      <c r="B36" s="204" t="s">
        <v>742</v>
      </c>
      <c r="C36" s="204">
        <v>5.0999999999999996</v>
      </c>
      <c r="D36" s="204">
        <v>3.8</v>
      </c>
      <c r="E36" s="204">
        <v>5.0999999999999996</v>
      </c>
      <c r="F36" s="204">
        <v>90</v>
      </c>
    </row>
    <row r="37" spans="2:6" x14ac:dyDescent="0.35">
      <c r="B37" s="204" t="s">
        <v>476</v>
      </c>
      <c r="C37" s="204">
        <v>6.7</v>
      </c>
      <c r="D37" s="204">
        <v>4.8</v>
      </c>
      <c r="E37" s="204">
        <v>6.7</v>
      </c>
      <c r="F37" s="204">
        <v>90</v>
      </c>
    </row>
    <row r="38" spans="2:6" x14ac:dyDescent="0.35">
      <c r="C38" s="236">
        <v>2</v>
      </c>
      <c r="D38" s="236">
        <v>3</v>
      </c>
      <c r="E38" s="236">
        <v>4</v>
      </c>
    </row>
    <row r="39" spans="2:6" ht="18.5" x14ac:dyDescent="0.45">
      <c r="B39" s="230" t="s">
        <v>740</v>
      </c>
    </row>
    <row r="40" spans="2:6" ht="18.5" x14ac:dyDescent="0.45">
      <c r="B40" s="229" t="s">
        <v>479</v>
      </c>
      <c r="C40" s="228" t="s">
        <v>817</v>
      </c>
    </row>
    <row r="41" spans="2:6" x14ac:dyDescent="0.35">
      <c r="B41" s="204" t="s">
        <v>480</v>
      </c>
      <c r="C41" s="204">
        <v>1</v>
      </c>
    </row>
    <row r="42" spans="2:6" x14ac:dyDescent="0.35">
      <c r="B42" s="204" t="s">
        <v>481</v>
      </c>
      <c r="C42" s="204">
        <v>1.5</v>
      </c>
    </row>
    <row r="43" spans="2:6" x14ac:dyDescent="0.35">
      <c r="B43" s="204" t="s">
        <v>738</v>
      </c>
      <c r="C43" s="204">
        <v>1</v>
      </c>
    </row>
    <row r="45" spans="2:6" ht="18.5" x14ac:dyDescent="0.45">
      <c r="B45" s="230" t="s">
        <v>737</v>
      </c>
    </row>
    <row r="46" spans="2:6" ht="18.5" x14ac:dyDescent="0.45">
      <c r="B46" s="229" t="s">
        <v>482</v>
      </c>
      <c r="C46" s="228" t="s">
        <v>816</v>
      </c>
    </row>
    <row r="47" spans="2:6" x14ac:dyDescent="0.35">
      <c r="B47" s="204" t="s">
        <v>735</v>
      </c>
      <c r="C47" s="204">
        <v>0</v>
      </c>
    </row>
    <row r="48" spans="2:6" x14ac:dyDescent="0.35">
      <c r="B48" s="204" t="s">
        <v>734</v>
      </c>
      <c r="C48" s="204">
        <v>1</v>
      </c>
    </row>
    <row r="49" spans="2:4" x14ac:dyDescent="0.35">
      <c r="B49" s="204" t="s">
        <v>458</v>
      </c>
      <c r="C49" s="204">
        <v>1.25</v>
      </c>
    </row>
    <row r="51" spans="2:4" ht="18.5" x14ac:dyDescent="0.45">
      <c r="B51" s="231" t="s">
        <v>710</v>
      </c>
    </row>
    <row r="52" spans="2:4" ht="18.5" x14ac:dyDescent="0.45">
      <c r="B52" s="229" t="s">
        <v>483</v>
      </c>
      <c r="C52" s="228" t="s">
        <v>815</v>
      </c>
    </row>
    <row r="53" spans="2:4" x14ac:dyDescent="0.35">
      <c r="B53" s="204" t="s">
        <v>458</v>
      </c>
      <c r="C53" s="204">
        <v>1</v>
      </c>
    </row>
    <row r="54" spans="2:4" x14ac:dyDescent="0.35">
      <c r="B54" s="204" t="s">
        <v>707</v>
      </c>
      <c r="C54" s="204">
        <v>1.2</v>
      </c>
    </row>
    <row r="55" spans="2:4" x14ac:dyDescent="0.35">
      <c r="B55" s="204" t="s">
        <v>706</v>
      </c>
      <c r="C55" s="204">
        <v>1.33</v>
      </c>
    </row>
    <row r="57" spans="2:4" ht="18.5" x14ac:dyDescent="0.45">
      <c r="B57" s="230" t="s">
        <v>705</v>
      </c>
    </row>
    <row r="58" spans="2:4" ht="18.5" x14ac:dyDescent="0.45">
      <c r="B58" s="229" t="s">
        <v>460</v>
      </c>
      <c r="C58" s="228" t="s">
        <v>814</v>
      </c>
    </row>
    <row r="59" spans="2:4" x14ac:dyDescent="0.35">
      <c r="B59" s="204" t="s">
        <v>160</v>
      </c>
      <c r="C59" s="204">
        <v>1</v>
      </c>
    </row>
    <row r="60" spans="2:4" x14ac:dyDescent="0.35">
      <c r="B60" s="204" t="s">
        <v>452</v>
      </c>
      <c r="C60" s="204">
        <v>1.25</v>
      </c>
    </row>
    <row r="62" spans="2:4" ht="18.5" x14ac:dyDescent="0.45">
      <c r="B62" s="230" t="s">
        <v>703</v>
      </c>
    </row>
    <row r="63" spans="2:4" ht="18.5" x14ac:dyDescent="0.45">
      <c r="B63" s="229" t="s">
        <v>702</v>
      </c>
      <c r="D63" s="228" t="s">
        <v>813</v>
      </c>
    </row>
    <row r="64" spans="2:4" x14ac:dyDescent="0.35">
      <c r="B64" s="204" t="s">
        <v>577</v>
      </c>
      <c r="C64" s="204">
        <v>2</v>
      </c>
      <c r="D64" s="204">
        <v>1</v>
      </c>
    </row>
    <row r="65" spans="2:8" x14ac:dyDescent="0.35">
      <c r="B65" s="204" t="s">
        <v>700</v>
      </c>
      <c r="C65" s="204">
        <v>3</v>
      </c>
      <c r="D65" s="204">
        <v>1.8</v>
      </c>
    </row>
    <row r="66" spans="2:8" x14ac:dyDescent="0.35">
      <c r="B66" s="204" t="s">
        <v>699</v>
      </c>
      <c r="C66" s="204">
        <v>4</v>
      </c>
      <c r="D66" s="204">
        <v>2.8</v>
      </c>
    </row>
    <row r="67" spans="2:8" x14ac:dyDescent="0.35">
      <c r="B67" s="204" t="s">
        <v>698</v>
      </c>
      <c r="C67" s="204">
        <v>5</v>
      </c>
      <c r="D67" s="204">
        <v>4</v>
      </c>
    </row>
    <row r="68" spans="2:8" x14ac:dyDescent="0.35">
      <c r="B68" s="204" t="s">
        <v>697</v>
      </c>
      <c r="C68" s="204">
        <v>6</v>
      </c>
      <c r="D68" s="204">
        <v>5.2</v>
      </c>
    </row>
    <row r="70" spans="2:8" ht="18.5" x14ac:dyDescent="0.45">
      <c r="B70" s="231" t="s">
        <v>696</v>
      </c>
    </row>
    <row r="71" spans="2:8" ht="18.5" x14ac:dyDescent="0.45">
      <c r="B71" s="229" t="s">
        <v>484</v>
      </c>
      <c r="C71" s="228" t="s">
        <v>812</v>
      </c>
    </row>
    <row r="72" spans="2:8" x14ac:dyDescent="0.35">
      <c r="B72" s="204" t="s">
        <v>694</v>
      </c>
      <c r="C72" s="204">
        <v>1</v>
      </c>
    </row>
    <row r="73" spans="2:8" x14ac:dyDescent="0.35">
      <c r="B73" s="204" t="s">
        <v>693</v>
      </c>
      <c r="C73" s="204">
        <v>1</v>
      </c>
    </row>
    <row r="74" spans="2:8" x14ac:dyDescent="0.35">
      <c r="B74" s="204" t="s">
        <v>692</v>
      </c>
      <c r="C74" s="204">
        <v>3</v>
      </c>
    </row>
    <row r="75" spans="2:8" ht="18.5" x14ac:dyDescent="0.45">
      <c r="B75" s="204" t="s">
        <v>691</v>
      </c>
      <c r="C75" s="204">
        <v>2.7</v>
      </c>
      <c r="H75" s="229"/>
    </row>
    <row r="76" spans="2:8" x14ac:dyDescent="0.35">
      <c r="B76" s="204" t="s">
        <v>690</v>
      </c>
      <c r="C76" s="204">
        <v>2.4</v>
      </c>
    </row>
    <row r="77" spans="2:8" x14ac:dyDescent="0.35">
      <c r="B77" s="204" t="s">
        <v>485</v>
      </c>
      <c r="C77" s="204">
        <v>3</v>
      </c>
    </row>
    <row r="78" spans="2:8" x14ac:dyDescent="0.35">
      <c r="B78" s="204" t="s">
        <v>486</v>
      </c>
      <c r="C78" s="204">
        <v>2.7</v>
      </c>
    </row>
    <row r="80" spans="2:8" ht="18.5" x14ac:dyDescent="0.45">
      <c r="B80" s="230" t="s">
        <v>811</v>
      </c>
    </row>
    <row r="81" spans="2:14" ht="18.5" x14ac:dyDescent="0.45">
      <c r="B81" s="229" t="s">
        <v>231</v>
      </c>
      <c r="C81" s="228" t="s">
        <v>810</v>
      </c>
      <c r="D81" s="228" t="s">
        <v>809</v>
      </c>
    </row>
    <row r="82" spans="2:14" x14ac:dyDescent="0.35">
      <c r="B82" s="204" t="s">
        <v>666</v>
      </c>
      <c r="C82" s="204">
        <v>1.1000000000000001</v>
      </c>
      <c r="D82" s="204">
        <v>1.67E-3</v>
      </c>
    </row>
    <row r="83" spans="2:14" x14ac:dyDescent="0.35">
      <c r="B83" s="204" t="s">
        <v>665</v>
      </c>
      <c r="C83" s="204">
        <v>1.1000000000000001</v>
      </c>
      <c r="D83" s="204">
        <v>1.67E-3</v>
      </c>
    </row>
    <row r="84" spans="2:14" x14ac:dyDescent="0.35">
      <c r="B84" s="204" t="s">
        <v>664</v>
      </c>
      <c r="C84" s="204">
        <v>1.1000000000000001</v>
      </c>
      <c r="D84" s="204">
        <v>1.67E-3</v>
      </c>
    </row>
    <row r="85" spans="2:14" x14ac:dyDescent="0.35">
      <c r="B85" s="204" t="s">
        <v>662</v>
      </c>
      <c r="C85" s="204">
        <v>1.1000000000000001</v>
      </c>
      <c r="D85" s="204">
        <v>1.67E-3</v>
      </c>
    </row>
    <row r="86" spans="2:14" x14ac:dyDescent="0.35">
      <c r="B86" s="204" t="s">
        <v>661</v>
      </c>
      <c r="C86" s="204">
        <v>1.2</v>
      </c>
      <c r="D86" s="204">
        <v>3.6600000000000001E-3</v>
      </c>
    </row>
    <row r="87" spans="2:14" x14ac:dyDescent="0.35">
      <c r="B87" s="204" t="s">
        <v>660</v>
      </c>
      <c r="C87" s="204">
        <v>1.2</v>
      </c>
      <c r="D87" s="204">
        <v>3.6600000000000001E-3</v>
      </c>
    </row>
    <row r="88" spans="2:14" x14ac:dyDescent="0.35">
      <c r="B88" s="204" t="s">
        <v>659</v>
      </c>
      <c r="C88" s="204">
        <v>1.2</v>
      </c>
      <c r="D88" s="204">
        <v>3.6600000000000001E-3</v>
      </c>
    </row>
    <row r="89" spans="2:14" x14ac:dyDescent="0.35">
      <c r="B89" s="204" t="s">
        <v>585</v>
      </c>
      <c r="C89" s="204">
        <v>1.2</v>
      </c>
      <c r="D89" s="204">
        <v>3.6600000000000001E-3</v>
      </c>
    </row>
    <row r="93" spans="2:14" ht="21" x14ac:dyDescent="0.5">
      <c r="B93" s="230" t="s">
        <v>808</v>
      </c>
      <c r="I93" s="277"/>
      <c r="J93" s="277"/>
      <c r="K93" s="277"/>
      <c r="L93" s="277"/>
      <c r="M93" s="277"/>
      <c r="N93" s="277"/>
    </row>
    <row r="94" spans="2:14" ht="18.5" x14ac:dyDescent="0.45">
      <c r="B94" s="229" t="s">
        <v>688</v>
      </c>
      <c r="C94" s="228" t="s">
        <v>807</v>
      </c>
      <c r="D94" s="228" t="s">
        <v>806</v>
      </c>
    </row>
    <row r="95" spans="2:14" x14ac:dyDescent="0.35">
      <c r="B95" s="204" t="s">
        <v>134</v>
      </c>
      <c r="C95" s="204">
        <v>0.125</v>
      </c>
      <c r="D95" s="204">
        <v>7.5999999999999998E-2</v>
      </c>
    </row>
    <row r="96" spans="2:14" x14ac:dyDescent="0.35">
      <c r="B96" s="204" t="s">
        <v>687</v>
      </c>
      <c r="C96" s="204">
        <v>0.375</v>
      </c>
      <c r="D96" s="204">
        <v>0.154</v>
      </c>
    </row>
    <row r="97" spans="2:4" x14ac:dyDescent="0.35">
      <c r="B97" s="204" t="s">
        <v>686</v>
      </c>
      <c r="C97" s="204">
        <v>0.25</v>
      </c>
      <c r="D97" s="204">
        <v>0.46200000000000002</v>
      </c>
    </row>
    <row r="98" spans="2:4" x14ac:dyDescent="0.35">
      <c r="B98" s="204" t="s">
        <v>685</v>
      </c>
      <c r="C98" s="204">
        <v>0.25</v>
      </c>
      <c r="D98" s="204">
        <v>0.308</v>
      </c>
    </row>
    <row r="100" spans="2:4" ht="18.5" x14ac:dyDescent="0.45">
      <c r="B100" s="230" t="s">
        <v>679</v>
      </c>
    </row>
    <row r="101" spans="2:4" ht="18.5" x14ac:dyDescent="0.45">
      <c r="B101" s="229" t="s">
        <v>805</v>
      </c>
      <c r="C101" s="228" t="s">
        <v>677</v>
      </c>
    </row>
    <row r="102" spans="2:4" x14ac:dyDescent="0.35">
      <c r="B102" s="227" t="s">
        <v>458</v>
      </c>
      <c r="C102" s="204">
        <v>0</v>
      </c>
    </row>
    <row r="103" spans="2:4" x14ac:dyDescent="0.35">
      <c r="B103" s="227" t="s">
        <v>676</v>
      </c>
      <c r="C103" s="204">
        <v>1E-3</v>
      </c>
    </row>
    <row r="104" spans="2:4" x14ac:dyDescent="0.35">
      <c r="B104" s="227" t="s">
        <v>472</v>
      </c>
      <c r="C104" s="204">
        <v>2E-3</v>
      </c>
    </row>
    <row r="105" spans="2:4" x14ac:dyDescent="0.35">
      <c r="B105" s="227" t="s">
        <v>471</v>
      </c>
      <c r="C105" s="204">
        <v>2E-3</v>
      </c>
    </row>
    <row r="106" spans="2:4" x14ac:dyDescent="0.35">
      <c r="B106" s="227" t="s">
        <v>675</v>
      </c>
      <c r="C106" s="204">
        <v>3.0000000000000001E-3</v>
      </c>
    </row>
    <row r="107" spans="2:4" x14ac:dyDescent="0.35">
      <c r="B107" s="227" t="s">
        <v>435</v>
      </c>
      <c r="C107" s="204">
        <v>4.0000000000000001E-3</v>
      </c>
    </row>
    <row r="108" spans="2:4" x14ac:dyDescent="0.35">
      <c r="B108" s="227" t="s">
        <v>437</v>
      </c>
      <c r="C108" s="204">
        <v>5.0000000000000001E-3</v>
      </c>
    </row>
    <row r="109" spans="2:4" x14ac:dyDescent="0.35">
      <c r="B109" s="227" t="s">
        <v>674</v>
      </c>
      <c r="C109" s="204">
        <v>6.0000000000000001E-3</v>
      </c>
    </row>
    <row r="110" spans="2:4" x14ac:dyDescent="0.35">
      <c r="B110" s="227" t="s">
        <v>673</v>
      </c>
      <c r="C110" s="204">
        <v>6.0000000000000001E-3</v>
      </c>
    </row>
    <row r="111" spans="2:4" x14ac:dyDescent="0.35">
      <c r="B111" s="227" t="s">
        <v>672</v>
      </c>
      <c r="C111" s="204">
        <v>7.0000000000000001E-3</v>
      </c>
    </row>
    <row r="112" spans="2:4" x14ac:dyDescent="0.35">
      <c r="B112" s="227" t="s">
        <v>671</v>
      </c>
      <c r="C112" s="204">
        <v>8.9999999999999993E-3</v>
      </c>
    </row>
  </sheetData>
  <mergeCells count="1">
    <mergeCell ref="C26:E26"/>
  </mergeCells>
  <pageMargins left="0.7" right="0.7" top="0.75" bottom="0.75" header="0.51180555555555496" footer="0.51180555555555496"/>
  <pageSetup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2:J103"/>
  <sheetViews>
    <sheetView zoomScale="110" zoomScaleNormal="110" workbookViewId="0">
      <selection activeCell="L8" sqref="L8"/>
    </sheetView>
  </sheetViews>
  <sheetFormatPr defaultColWidth="8.7265625" defaultRowHeight="14.5" x14ac:dyDescent="0.35"/>
  <cols>
    <col min="1" max="1" width="8.7265625" style="204"/>
    <col min="2" max="2" width="73.1796875" style="204" customWidth="1"/>
    <col min="3" max="3" width="26.453125" style="204" customWidth="1"/>
    <col min="4" max="4" width="11.81640625" style="204" customWidth="1"/>
    <col min="5" max="16384" width="8.7265625" style="204"/>
  </cols>
  <sheetData>
    <row r="2" spans="2:3" ht="18.5" x14ac:dyDescent="0.45">
      <c r="B2" s="230" t="s">
        <v>847</v>
      </c>
    </row>
    <row r="3" spans="2:3" ht="18.5" x14ac:dyDescent="0.45">
      <c r="B3" s="229" t="s">
        <v>461</v>
      </c>
      <c r="C3" s="228" t="s">
        <v>846</v>
      </c>
    </row>
    <row r="4" spans="2:3" x14ac:dyDescent="0.35">
      <c r="B4" s="204" t="s">
        <v>801</v>
      </c>
      <c r="C4" s="204">
        <v>1</v>
      </c>
    </row>
    <row r="5" spans="2:3" x14ac:dyDescent="0.35">
      <c r="B5" s="204" t="s">
        <v>462</v>
      </c>
      <c r="C5" s="204">
        <v>1</v>
      </c>
    </row>
    <row r="6" spans="2:3" x14ac:dyDescent="0.35">
      <c r="B6" s="204" t="s">
        <v>800</v>
      </c>
      <c r="C6" s="204">
        <v>1</v>
      </c>
    </row>
    <row r="7" spans="2:3" x14ac:dyDescent="0.35">
      <c r="B7" s="204" t="s">
        <v>458</v>
      </c>
      <c r="C7" s="204">
        <v>1.2</v>
      </c>
    </row>
    <row r="8" spans="2:3" x14ac:dyDescent="0.35">
      <c r="B8" s="204" t="s">
        <v>799</v>
      </c>
      <c r="C8" s="204">
        <v>1.2</v>
      </c>
    </row>
    <row r="9" spans="2:3" x14ac:dyDescent="0.35">
      <c r="B9" s="204" t="s">
        <v>798</v>
      </c>
      <c r="C9" s="204">
        <v>1</v>
      </c>
    </row>
    <row r="10" spans="2:3" x14ac:dyDescent="0.35">
      <c r="B10" s="204" t="s">
        <v>763</v>
      </c>
      <c r="C10" s="204">
        <v>1.2</v>
      </c>
    </row>
    <row r="11" spans="2:3" x14ac:dyDescent="0.35">
      <c r="B11" s="204" t="s">
        <v>454</v>
      </c>
      <c r="C11" s="204">
        <v>1.2</v>
      </c>
    </row>
    <row r="12" spans="2:3" x14ac:dyDescent="0.35">
      <c r="B12" s="204" t="s">
        <v>762</v>
      </c>
      <c r="C12" s="204">
        <v>1.2</v>
      </c>
    </row>
    <row r="14" spans="2:3" ht="18.5" x14ac:dyDescent="0.45">
      <c r="B14" s="230" t="s">
        <v>845</v>
      </c>
    </row>
    <row r="15" spans="2:3" ht="18.5" x14ac:dyDescent="0.45">
      <c r="B15" s="229" t="s">
        <v>844</v>
      </c>
      <c r="C15" s="228" t="s">
        <v>843</v>
      </c>
    </row>
    <row r="16" spans="2:3" x14ac:dyDescent="0.35">
      <c r="B16" s="204" t="s">
        <v>842</v>
      </c>
      <c r="C16" s="204">
        <v>0</v>
      </c>
    </row>
    <row r="17" spans="2:5" x14ac:dyDescent="0.35">
      <c r="B17" s="204" t="s">
        <v>841</v>
      </c>
      <c r="C17" s="204">
        <v>0.15</v>
      </c>
    </row>
    <row r="18" spans="2:5" x14ac:dyDescent="0.35">
      <c r="B18" s="204" t="s">
        <v>840</v>
      </c>
      <c r="C18" s="204">
        <v>0.19</v>
      </c>
    </row>
    <row r="19" spans="2:5" x14ac:dyDescent="0.35">
      <c r="B19" s="204" t="s">
        <v>839</v>
      </c>
      <c r="C19" s="204">
        <v>0.56999999999999995</v>
      </c>
    </row>
    <row r="20" spans="2:5" x14ac:dyDescent="0.35">
      <c r="B20" s="204" t="s">
        <v>838</v>
      </c>
      <c r="C20" s="204">
        <v>0.72</v>
      </c>
    </row>
    <row r="21" spans="2:5" x14ac:dyDescent="0.35">
      <c r="B21" s="204" t="s">
        <v>837</v>
      </c>
      <c r="C21" s="204">
        <v>0.76</v>
      </c>
    </row>
    <row r="22" spans="2:5" x14ac:dyDescent="0.35">
      <c r="B22" s="204" t="s">
        <v>566</v>
      </c>
      <c r="C22" s="204">
        <v>1</v>
      </c>
    </row>
    <row r="24" spans="2:5" ht="18.5" x14ac:dyDescent="0.45">
      <c r="B24" s="230" t="s">
        <v>836</v>
      </c>
    </row>
    <row r="25" spans="2:5" ht="18.5" x14ac:dyDescent="0.45">
      <c r="B25" s="229" t="s">
        <v>231</v>
      </c>
      <c r="C25" s="228" t="s">
        <v>835</v>
      </c>
      <c r="D25" s="228" t="s">
        <v>834</v>
      </c>
      <c r="E25" s="204" t="s">
        <v>833</v>
      </c>
    </row>
    <row r="26" spans="2:5" x14ac:dyDescent="0.35">
      <c r="B26" s="204" t="s">
        <v>666</v>
      </c>
      <c r="C26" s="204">
        <v>45</v>
      </c>
      <c r="D26" s="204">
        <v>45</v>
      </c>
      <c r="E26" s="204">
        <v>3.5200000000000002E-2</v>
      </c>
    </row>
    <row r="27" spans="2:5" x14ac:dyDescent="0.35">
      <c r="B27" s="204" t="s">
        <v>665</v>
      </c>
      <c r="C27" s="204">
        <v>55</v>
      </c>
      <c r="D27" s="204">
        <v>45</v>
      </c>
      <c r="E27" s="204">
        <v>3.5200000000000002E-2</v>
      </c>
    </row>
    <row r="28" spans="2:5" x14ac:dyDescent="0.35">
      <c r="B28" s="204" t="s">
        <v>664</v>
      </c>
      <c r="C28" s="204">
        <v>30</v>
      </c>
      <c r="D28" s="204">
        <v>45</v>
      </c>
      <c r="E28" s="204">
        <v>3.5200000000000002E-2</v>
      </c>
    </row>
    <row r="29" spans="2:5" x14ac:dyDescent="0.35">
      <c r="B29" s="204" t="s">
        <v>662</v>
      </c>
      <c r="C29" s="204">
        <v>40</v>
      </c>
      <c r="D29" s="204">
        <v>45</v>
      </c>
      <c r="E29" s="204">
        <v>3.5200000000000002E-2</v>
      </c>
    </row>
    <row r="30" spans="2:5" x14ac:dyDescent="0.35">
      <c r="B30" s="204" t="s">
        <v>661</v>
      </c>
      <c r="C30" s="204">
        <v>55</v>
      </c>
      <c r="D30" s="204">
        <v>50</v>
      </c>
      <c r="E30" s="204">
        <v>4.24E-2</v>
      </c>
    </row>
    <row r="31" spans="2:5" x14ac:dyDescent="0.35">
      <c r="B31" s="204" t="s">
        <v>660</v>
      </c>
      <c r="C31" s="204">
        <v>80</v>
      </c>
      <c r="D31" s="204">
        <v>50</v>
      </c>
      <c r="E31" s="204">
        <v>4.24E-2</v>
      </c>
    </row>
    <row r="32" spans="2:5" x14ac:dyDescent="0.35">
      <c r="B32" s="204" t="s">
        <v>659</v>
      </c>
      <c r="C32" s="204">
        <v>35</v>
      </c>
      <c r="D32" s="204">
        <v>50</v>
      </c>
      <c r="E32" s="204">
        <v>4.24E-2</v>
      </c>
    </row>
    <row r="33" spans="2:5" x14ac:dyDescent="0.35">
      <c r="B33" s="204" t="s">
        <v>585</v>
      </c>
      <c r="C33" s="204">
        <v>50</v>
      </c>
      <c r="D33" s="204">
        <v>50</v>
      </c>
      <c r="E33" s="204">
        <v>4.24E-2</v>
      </c>
    </row>
    <row r="37" spans="2:5" ht="18.5" x14ac:dyDescent="0.45">
      <c r="B37" s="230" t="s">
        <v>832</v>
      </c>
    </row>
    <row r="38" spans="2:5" ht="18.5" x14ac:dyDescent="0.45">
      <c r="B38" s="229" t="s">
        <v>831</v>
      </c>
      <c r="C38" s="228" t="s">
        <v>830</v>
      </c>
    </row>
    <row r="39" spans="2:5" x14ac:dyDescent="0.35">
      <c r="B39" s="204" t="s">
        <v>480</v>
      </c>
      <c r="C39" s="204">
        <v>1</v>
      </c>
    </row>
    <row r="40" spans="2:5" x14ac:dyDescent="0.35">
      <c r="B40" s="204" t="s">
        <v>481</v>
      </c>
      <c r="C40" s="204">
        <v>1.2</v>
      </c>
    </row>
    <row r="41" spans="2:5" x14ac:dyDescent="0.35">
      <c r="B41" s="204" t="s">
        <v>829</v>
      </c>
      <c r="C41" s="204">
        <v>1</v>
      </c>
    </row>
    <row r="43" spans="2:5" ht="18.5" x14ac:dyDescent="0.45">
      <c r="B43" s="230" t="s">
        <v>828</v>
      </c>
    </row>
    <row r="44" spans="2:5" ht="18.5" x14ac:dyDescent="0.45">
      <c r="B44" s="229" t="s">
        <v>564</v>
      </c>
      <c r="C44" s="228" t="s">
        <v>827</v>
      </c>
    </row>
    <row r="45" spans="2:5" x14ac:dyDescent="0.35">
      <c r="B45" s="204" t="s">
        <v>452</v>
      </c>
      <c r="C45" s="204">
        <v>1.2</v>
      </c>
    </row>
    <row r="46" spans="2:5" x14ac:dyDescent="0.35">
      <c r="B46" s="204" t="s">
        <v>160</v>
      </c>
      <c r="C46" s="204">
        <v>1</v>
      </c>
    </row>
    <row r="48" spans="2:5" ht="18.5" x14ac:dyDescent="0.45">
      <c r="B48" s="230" t="s">
        <v>779</v>
      </c>
    </row>
    <row r="49" spans="2:10" ht="18.5" x14ac:dyDescent="0.45">
      <c r="B49" s="229" t="s">
        <v>460</v>
      </c>
      <c r="C49" s="228" t="s">
        <v>826</v>
      </c>
    </row>
    <row r="50" spans="2:10" x14ac:dyDescent="0.35">
      <c r="B50" s="204" t="s">
        <v>160</v>
      </c>
      <c r="C50" s="204">
        <v>1</v>
      </c>
    </row>
    <row r="51" spans="2:10" x14ac:dyDescent="0.35">
      <c r="B51" s="204" t="s">
        <v>452</v>
      </c>
      <c r="C51" s="204">
        <v>1.25</v>
      </c>
    </row>
    <row r="53" spans="2:10" ht="21" x14ac:dyDescent="0.5">
      <c r="B53" s="230" t="s">
        <v>825</v>
      </c>
      <c r="J53" s="277"/>
    </row>
    <row r="54" spans="2:10" ht="18.5" x14ac:dyDescent="0.45">
      <c r="B54" s="229" t="s">
        <v>776</v>
      </c>
      <c r="C54" s="228" t="s">
        <v>824</v>
      </c>
      <c r="D54" s="228" t="s">
        <v>823</v>
      </c>
    </row>
    <row r="55" spans="2:10" x14ac:dyDescent="0.35">
      <c r="B55" s="204" t="s">
        <v>134</v>
      </c>
      <c r="C55" s="204">
        <v>7.6999999999999999E-2</v>
      </c>
      <c r="D55" s="204">
        <v>8.3000000000000004E-2</v>
      </c>
    </row>
    <row r="56" spans="2:10" x14ac:dyDescent="0.35">
      <c r="B56" s="204" t="s">
        <v>687</v>
      </c>
      <c r="C56" s="204">
        <v>7.6999999999999999E-2</v>
      </c>
      <c r="D56" s="204">
        <v>0.16700000000000001</v>
      </c>
    </row>
    <row r="57" spans="2:10" x14ac:dyDescent="0.35">
      <c r="B57" s="204" t="s">
        <v>686</v>
      </c>
      <c r="C57" s="204">
        <v>0.76900000000000002</v>
      </c>
      <c r="D57" s="204">
        <v>0.58299999999999996</v>
      </c>
    </row>
    <row r="58" spans="2:10" x14ac:dyDescent="0.35">
      <c r="B58" s="204" t="s">
        <v>685</v>
      </c>
      <c r="C58" s="204">
        <v>7.6999999999999999E-2</v>
      </c>
      <c r="D58" s="204">
        <v>0.16700000000000001</v>
      </c>
    </row>
    <row r="60" spans="2:10" ht="18.5" x14ac:dyDescent="0.45">
      <c r="B60" s="230" t="s">
        <v>775</v>
      </c>
    </row>
    <row r="61" spans="2:10" ht="18.5" x14ac:dyDescent="0.45">
      <c r="B61" s="229" t="s">
        <v>683</v>
      </c>
      <c r="C61" s="228" t="s">
        <v>822</v>
      </c>
    </row>
    <row r="62" spans="2:10" x14ac:dyDescent="0.35">
      <c r="B62" s="227" t="s">
        <v>681</v>
      </c>
      <c r="C62" s="204">
        <v>1.0999999999999999E-2</v>
      </c>
    </row>
    <row r="63" spans="2:10" x14ac:dyDescent="0.35">
      <c r="B63" s="204">
        <v>25</v>
      </c>
      <c r="C63" s="204">
        <v>3.1E-2</v>
      </c>
    </row>
    <row r="64" spans="2:10" x14ac:dyDescent="0.35">
      <c r="B64" s="204">
        <v>30</v>
      </c>
      <c r="C64" s="204">
        <v>6.4000000000000001E-2</v>
      </c>
    </row>
    <row r="65" spans="2:3" x14ac:dyDescent="0.35">
      <c r="B65" s="204">
        <v>35</v>
      </c>
      <c r="C65" s="204">
        <v>0.112</v>
      </c>
    </row>
    <row r="66" spans="2:3" x14ac:dyDescent="0.35">
      <c r="B66" s="204">
        <v>40</v>
      </c>
      <c r="C66" s="204">
        <v>0.17799999999999999</v>
      </c>
    </row>
    <row r="67" spans="2:3" x14ac:dyDescent="0.35">
      <c r="B67" s="204">
        <v>45</v>
      </c>
      <c r="C67" s="204">
        <v>0.26400000000000001</v>
      </c>
    </row>
    <row r="68" spans="2:3" x14ac:dyDescent="0.35">
      <c r="B68" s="204">
        <v>50</v>
      </c>
      <c r="C68" s="204">
        <v>0.372</v>
      </c>
    </row>
    <row r="69" spans="2:3" x14ac:dyDescent="0.35">
      <c r="B69" s="204">
        <v>55</v>
      </c>
      <c r="C69" s="204">
        <v>0.505</v>
      </c>
    </row>
    <row r="70" spans="2:3" x14ac:dyDescent="0.35">
      <c r="B70" s="204">
        <v>60</v>
      </c>
      <c r="C70" s="204">
        <v>0.64300000000000002</v>
      </c>
    </row>
    <row r="71" spans="2:3" x14ac:dyDescent="0.35">
      <c r="B71" s="204">
        <v>65</v>
      </c>
      <c r="C71" s="204">
        <v>0.69699999999999995</v>
      </c>
    </row>
    <row r="72" spans="2:3" x14ac:dyDescent="0.35">
      <c r="B72" s="204">
        <v>70</v>
      </c>
      <c r="C72" s="204">
        <v>0.751</v>
      </c>
    </row>
    <row r="73" spans="2:3" x14ac:dyDescent="0.35">
      <c r="B73" s="204">
        <v>75</v>
      </c>
      <c r="C73" s="204">
        <v>0.80400000000000005</v>
      </c>
    </row>
    <row r="74" spans="2:3" x14ac:dyDescent="0.35">
      <c r="B74" s="204">
        <v>80</v>
      </c>
      <c r="C74" s="204">
        <v>0.85799999999999998</v>
      </c>
    </row>
    <row r="75" spans="2:3" x14ac:dyDescent="0.35">
      <c r="B75" s="204">
        <v>85</v>
      </c>
      <c r="C75" s="204">
        <v>0.91200000000000003</v>
      </c>
    </row>
    <row r="76" spans="2:3" x14ac:dyDescent="0.35">
      <c r="B76" s="227" t="s">
        <v>680</v>
      </c>
      <c r="C76" s="204">
        <v>0.96599999999999997</v>
      </c>
    </row>
    <row r="78" spans="2:3" ht="18.5" x14ac:dyDescent="0.45">
      <c r="B78" s="230"/>
    </row>
    <row r="79" spans="2:3" ht="18.5" x14ac:dyDescent="0.45">
      <c r="B79" s="229"/>
      <c r="C79" s="228"/>
    </row>
    <row r="91" spans="2:3" ht="18.5" x14ac:dyDescent="0.45">
      <c r="B91" s="230" t="s">
        <v>773</v>
      </c>
    </row>
    <row r="92" spans="2:3" ht="18.5" x14ac:dyDescent="0.45">
      <c r="B92" s="229" t="s">
        <v>907</v>
      </c>
      <c r="C92" s="228" t="s">
        <v>821</v>
      </c>
    </row>
    <row r="93" spans="2:3" x14ac:dyDescent="0.35">
      <c r="B93" s="227" t="s">
        <v>458</v>
      </c>
      <c r="C93" s="204">
        <v>0</v>
      </c>
    </row>
    <row r="94" spans="2:3" x14ac:dyDescent="0.35">
      <c r="B94" s="227" t="s">
        <v>676</v>
      </c>
      <c r="C94" s="204">
        <v>1E-3</v>
      </c>
    </row>
    <row r="95" spans="2:3" x14ac:dyDescent="0.35">
      <c r="B95" s="227" t="s">
        <v>472</v>
      </c>
      <c r="C95" s="204">
        <v>2E-3</v>
      </c>
    </row>
    <row r="96" spans="2:3" x14ac:dyDescent="0.35">
      <c r="B96" s="227" t="s">
        <v>471</v>
      </c>
      <c r="C96" s="204">
        <v>2E-3</v>
      </c>
    </row>
    <row r="97" spans="2:3" x14ac:dyDescent="0.35">
      <c r="B97" s="227" t="s">
        <v>675</v>
      </c>
      <c r="C97" s="204">
        <v>3.0000000000000001E-3</v>
      </c>
    </row>
    <row r="98" spans="2:3" x14ac:dyDescent="0.35">
      <c r="B98" s="227" t="s">
        <v>435</v>
      </c>
      <c r="C98" s="204">
        <v>4.0000000000000001E-3</v>
      </c>
    </row>
    <row r="99" spans="2:3" x14ac:dyDescent="0.35">
      <c r="B99" s="227" t="s">
        <v>437</v>
      </c>
      <c r="C99" s="204">
        <v>5.0000000000000001E-3</v>
      </c>
    </row>
    <row r="100" spans="2:3" x14ac:dyDescent="0.35">
      <c r="B100" s="227" t="s">
        <v>674</v>
      </c>
      <c r="C100" s="204">
        <v>6.0000000000000001E-3</v>
      </c>
    </row>
    <row r="101" spans="2:3" x14ac:dyDescent="0.35">
      <c r="B101" s="227" t="s">
        <v>673</v>
      </c>
      <c r="C101" s="204">
        <v>6.0000000000000001E-3</v>
      </c>
    </row>
    <row r="102" spans="2:3" x14ac:dyDescent="0.35">
      <c r="B102" s="227" t="s">
        <v>672</v>
      </c>
      <c r="C102" s="204">
        <v>7.0000000000000001E-3</v>
      </c>
    </row>
    <row r="103" spans="2:3" x14ac:dyDescent="0.35">
      <c r="B103" s="227" t="s">
        <v>671</v>
      </c>
      <c r="C103" s="204">
        <v>8.9999999999999993E-3</v>
      </c>
    </row>
  </sheetData>
  <pageMargins left="0.7" right="0.7" top="0.75" bottom="0.75" header="0.51180555555555496" footer="0.51180555555555496"/>
  <pageSetup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Q35" sqref="Q35"/>
    </sheetView>
  </sheetViews>
  <sheetFormatPr defaultColWidth="8.7265625" defaultRowHeight="14.5" x14ac:dyDescent="0.35"/>
  <cols>
    <col min="1" max="16384" width="8.7265625" style="203"/>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B3:L47"/>
  <sheetViews>
    <sheetView workbookViewId="0"/>
  </sheetViews>
  <sheetFormatPr defaultRowHeight="12.5" x14ac:dyDescent="0.25"/>
  <cols>
    <col min="2" max="2" width="11.453125" bestFit="1" customWidth="1"/>
    <col min="4" max="4" width="15.26953125" bestFit="1" customWidth="1"/>
    <col min="6" max="6" width="12.7265625" bestFit="1" customWidth="1"/>
    <col min="8" max="8" width="12.7265625" bestFit="1" customWidth="1"/>
    <col min="10" max="10" width="15" customWidth="1"/>
    <col min="12" max="12" width="10.7265625" customWidth="1"/>
  </cols>
  <sheetData>
    <row r="3" spans="2:12" ht="13" x14ac:dyDescent="0.3">
      <c r="B3" s="15" t="s">
        <v>128</v>
      </c>
      <c r="D3" s="15" t="s">
        <v>152</v>
      </c>
      <c r="F3" s="9" t="s">
        <v>153</v>
      </c>
    </row>
    <row r="4" spans="2:12" x14ac:dyDescent="0.25">
      <c r="B4" s="26">
        <v>9</v>
      </c>
      <c r="D4" s="26">
        <v>0</v>
      </c>
      <c r="F4" s="1">
        <v>1</v>
      </c>
    </row>
    <row r="5" spans="2:12" x14ac:dyDescent="0.25">
      <c r="B5" s="26">
        <v>9.5</v>
      </c>
      <c r="D5" s="26">
        <v>1</v>
      </c>
      <c r="F5" s="1">
        <v>2</v>
      </c>
    </row>
    <row r="6" spans="2:12" x14ac:dyDescent="0.25">
      <c r="B6" s="26">
        <v>10</v>
      </c>
      <c r="D6" s="26">
        <v>2</v>
      </c>
      <c r="F6" s="1">
        <v>3</v>
      </c>
    </row>
    <row r="7" spans="2:12" x14ac:dyDescent="0.25">
      <c r="B7" s="26">
        <v>10.5</v>
      </c>
      <c r="D7" s="26">
        <v>3</v>
      </c>
      <c r="F7" s="1">
        <v>4</v>
      </c>
    </row>
    <row r="8" spans="2:12" x14ac:dyDescent="0.25">
      <c r="B8" s="26">
        <v>11</v>
      </c>
      <c r="D8" s="26">
        <v>4</v>
      </c>
      <c r="F8" s="1">
        <v>5</v>
      </c>
    </row>
    <row r="9" spans="2:12" x14ac:dyDescent="0.25">
      <c r="B9" s="26">
        <v>11.5</v>
      </c>
      <c r="D9" s="26">
        <v>5</v>
      </c>
      <c r="F9" s="1">
        <v>6</v>
      </c>
    </row>
    <row r="10" spans="2:12" x14ac:dyDescent="0.25">
      <c r="B10" s="26">
        <v>12</v>
      </c>
      <c r="D10" s="26">
        <v>6</v>
      </c>
      <c r="F10" s="1">
        <v>7</v>
      </c>
    </row>
    <row r="11" spans="2:12" x14ac:dyDescent="0.25">
      <c r="D11" s="26">
        <v>7</v>
      </c>
    </row>
    <row r="12" spans="2:12" x14ac:dyDescent="0.25">
      <c r="D12" s="26">
        <v>8</v>
      </c>
    </row>
    <row r="15" spans="2:12" ht="13" x14ac:dyDescent="0.3">
      <c r="H15" s="9" t="s">
        <v>161</v>
      </c>
      <c r="J15" s="9" t="s">
        <v>163</v>
      </c>
      <c r="L15" s="9" t="s">
        <v>189</v>
      </c>
    </row>
    <row r="16" spans="2:12" ht="13" x14ac:dyDescent="0.3">
      <c r="D16" s="9" t="s">
        <v>127</v>
      </c>
      <c r="F16" s="9" t="s">
        <v>158</v>
      </c>
      <c r="H16" s="9" t="s">
        <v>162</v>
      </c>
      <c r="J16" s="9" t="s">
        <v>164</v>
      </c>
      <c r="L16" s="50" t="s">
        <v>190</v>
      </c>
    </row>
    <row r="17" spans="4:12" x14ac:dyDescent="0.25">
      <c r="D17" s="26" t="s">
        <v>154</v>
      </c>
      <c r="F17" s="26" t="s">
        <v>159</v>
      </c>
      <c r="H17" s="26" t="s">
        <v>159</v>
      </c>
      <c r="J17" s="26" t="s">
        <v>159</v>
      </c>
      <c r="L17" s="50" t="s">
        <v>191</v>
      </c>
    </row>
    <row r="18" spans="4:12" x14ac:dyDescent="0.25">
      <c r="D18" s="26" t="s">
        <v>155</v>
      </c>
      <c r="F18" s="26" t="s">
        <v>160</v>
      </c>
      <c r="H18" s="26" t="s">
        <v>160</v>
      </c>
      <c r="J18" s="26" t="s">
        <v>179</v>
      </c>
    </row>
    <row r="19" spans="4:12" x14ac:dyDescent="0.25">
      <c r="D19" s="50" t="s">
        <v>156</v>
      </c>
      <c r="F19" s="46" t="s">
        <v>312</v>
      </c>
      <c r="J19" s="26" t="s">
        <v>180</v>
      </c>
    </row>
    <row r="20" spans="4:12" x14ac:dyDescent="0.25">
      <c r="D20" s="26" t="s">
        <v>157</v>
      </c>
    </row>
    <row r="22" spans="4:12" ht="13" x14ac:dyDescent="0.3">
      <c r="F22" s="9" t="s">
        <v>129</v>
      </c>
      <c r="H22" s="9" t="s">
        <v>130</v>
      </c>
      <c r="J22" s="9" t="s">
        <v>165</v>
      </c>
    </row>
    <row r="23" spans="4:12" x14ac:dyDescent="0.25">
      <c r="F23" s="26" t="s">
        <v>159</v>
      </c>
      <c r="H23" s="26" t="s">
        <v>159</v>
      </c>
      <c r="J23" s="26" t="s">
        <v>159</v>
      </c>
    </row>
    <row r="24" spans="4:12" x14ac:dyDescent="0.25">
      <c r="F24" s="26" t="s">
        <v>160</v>
      </c>
      <c r="H24" s="26" t="s">
        <v>160</v>
      </c>
      <c r="J24" s="26" t="s">
        <v>160</v>
      </c>
    </row>
    <row r="28" spans="4:12" ht="13" x14ac:dyDescent="0.3">
      <c r="D28" s="50" t="s">
        <v>203</v>
      </c>
      <c r="F28" s="50" t="s">
        <v>207</v>
      </c>
      <c r="H28" s="50" t="s">
        <v>208</v>
      </c>
      <c r="J28" s="50" t="s">
        <v>209</v>
      </c>
      <c r="L28" s="9" t="s">
        <v>227</v>
      </c>
    </row>
    <row r="29" spans="4:12" x14ac:dyDescent="0.25">
      <c r="D29" s="50" t="s">
        <v>204</v>
      </c>
      <c r="F29" s="1">
        <v>0</v>
      </c>
      <c r="H29" s="1">
        <v>0</v>
      </c>
      <c r="J29" s="50" t="s">
        <v>159</v>
      </c>
      <c r="L29" s="50" t="s">
        <v>190</v>
      </c>
    </row>
    <row r="30" spans="4:12" x14ac:dyDescent="0.25">
      <c r="D30" s="50" t="s">
        <v>205</v>
      </c>
      <c r="F30" s="1">
        <v>1</v>
      </c>
      <c r="H30" s="1">
        <v>1</v>
      </c>
      <c r="J30" s="50" t="s">
        <v>160</v>
      </c>
      <c r="L30" s="50" t="s">
        <v>191</v>
      </c>
    </row>
    <row r="31" spans="4:12" x14ac:dyDescent="0.25">
      <c r="D31" s="50" t="s">
        <v>206</v>
      </c>
      <c r="F31" s="1">
        <v>2</v>
      </c>
      <c r="H31" s="1">
        <v>2</v>
      </c>
    </row>
    <row r="32" spans="4:12" x14ac:dyDescent="0.25">
      <c r="F32" s="1">
        <v>3</v>
      </c>
      <c r="H32" s="1">
        <v>3</v>
      </c>
    </row>
    <row r="33" spans="4:12" x14ac:dyDescent="0.25">
      <c r="F33" s="1">
        <v>4</v>
      </c>
      <c r="H33" s="1">
        <v>4</v>
      </c>
    </row>
    <row r="36" spans="4:12" ht="13" x14ac:dyDescent="0.3">
      <c r="D36" s="9" t="s">
        <v>247</v>
      </c>
      <c r="F36" s="9" t="s">
        <v>250</v>
      </c>
      <c r="H36" s="9" t="s">
        <v>251</v>
      </c>
      <c r="J36" s="9" t="s">
        <v>257</v>
      </c>
      <c r="L36" s="9" t="s">
        <v>258</v>
      </c>
    </row>
    <row r="37" spans="4:12" x14ac:dyDescent="0.25">
      <c r="D37" s="1">
        <v>10</v>
      </c>
      <c r="F37" s="50" t="s">
        <v>248</v>
      </c>
      <c r="H37" s="50" t="s">
        <v>252</v>
      </c>
      <c r="J37" s="26">
        <v>0</v>
      </c>
      <c r="L37" s="1">
        <v>0</v>
      </c>
    </row>
    <row r="38" spans="4:12" x14ac:dyDescent="0.25">
      <c r="D38" s="1">
        <v>20</v>
      </c>
      <c r="F38" s="50" t="s">
        <v>249</v>
      </c>
      <c r="H38" s="83" t="s">
        <v>253</v>
      </c>
      <c r="J38" s="26">
        <v>1</v>
      </c>
      <c r="L38" s="1">
        <v>1</v>
      </c>
    </row>
    <row r="39" spans="4:12" x14ac:dyDescent="0.25">
      <c r="D39" s="1">
        <v>30</v>
      </c>
      <c r="F39" s="1"/>
      <c r="H39" s="84" t="s">
        <v>254</v>
      </c>
      <c r="J39" s="26">
        <v>2</v>
      </c>
      <c r="L39" s="1">
        <v>2</v>
      </c>
    </row>
    <row r="40" spans="4:12" x14ac:dyDescent="0.25">
      <c r="D40" s="1">
        <v>40</v>
      </c>
      <c r="F40" s="1"/>
      <c r="H40" s="84" t="s">
        <v>255</v>
      </c>
      <c r="J40" s="26">
        <v>3</v>
      </c>
    </row>
    <row r="41" spans="4:12" x14ac:dyDescent="0.25">
      <c r="D41" s="1">
        <v>50</v>
      </c>
      <c r="F41" s="1"/>
      <c r="H41" s="84" t="s">
        <v>256</v>
      </c>
      <c r="J41" s="26">
        <v>4</v>
      </c>
    </row>
    <row r="42" spans="4:12" x14ac:dyDescent="0.25">
      <c r="D42" s="1">
        <v>60</v>
      </c>
      <c r="F42" s="1"/>
      <c r="J42" s="26">
        <v>5</v>
      </c>
    </row>
    <row r="43" spans="4:12" x14ac:dyDescent="0.25">
      <c r="D43" s="1">
        <v>70</v>
      </c>
      <c r="F43" s="1"/>
      <c r="J43" s="26">
        <v>6</v>
      </c>
    </row>
    <row r="44" spans="4:12" x14ac:dyDescent="0.25">
      <c r="D44" s="1">
        <v>80</v>
      </c>
      <c r="F44" s="1"/>
      <c r="J44" s="26">
        <v>7</v>
      </c>
    </row>
    <row r="45" spans="4:12" x14ac:dyDescent="0.25">
      <c r="D45" s="1">
        <v>90</v>
      </c>
      <c r="F45" s="1"/>
      <c r="J45" s="26">
        <v>8</v>
      </c>
    </row>
    <row r="46" spans="4:12" x14ac:dyDescent="0.25">
      <c r="D46" s="1">
        <v>100</v>
      </c>
      <c r="J46" s="50">
        <v>9</v>
      </c>
    </row>
    <row r="47" spans="4:12" x14ac:dyDescent="0.25">
      <c r="J47" s="50">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S153"/>
  <sheetViews>
    <sheetView showGridLines="0" zoomScaleNormal="100" workbookViewId="0">
      <selection activeCell="B7" sqref="B7"/>
    </sheetView>
  </sheetViews>
  <sheetFormatPr defaultRowHeight="12.5" x14ac:dyDescent="0.25"/>
  <cols>
    <col min="4" max="4" width="14.7265625" customWidth="1"/>
  </cols>
  <sheetData>
    <row r="2" spans="2:19" ht="13" x14ac:dyDescent="0.3">
      <c r="B2" s="328" t="s">
        <v>355</v>
      </c>
      <c r="C2" s="328"/>
      <c r="D2" s="328"/>
      <c r="E2" s="328"/>
      <c r="F2" s="328"/>
      <c r="G2" s="328"/>
      <c r="H2" s="328"/>
      <c r="I2" s="328"/>
      <c r="J2" s="328"/>
      <c r="K2" s="328"/>
      <c r="L2" s="328"/>
      <c r="M2" s="328"/>
      <c r="N2" s="328"/>
      <c r="O2" s="328"/>
      <c r="P2" s="328"/>
    </row>
    <row r="3" spans="2:19" ht="13" x14ac:dyDescent="0.3">
      <c r="B3" s="9"/>
      <c r="C3" s="9"/>
      <c r="D3" s="9"/>
      <c r="E3" s="9"/>
      <c r="F3" s="9"/>
      <c r="G3" s="9"/>
      <c r="H3" s="9"/>
      <c r="I3" s="9"/>
      <c r="J3" s="9"/>
      <c r="K3" s="9"/>
      <c r="L3" s="9"/>
      <c r="M3" s="9"/>
      <c r="N3" s="9"/>
      <c r="O3" s="9"/>
      <c r="P3" s="9"/>
    </row>
    <row r="4" spans="2:19" ht="15.5" x14ac:dyDescent="0.35">
      <c r="B4" s="264" t="s">
        <v>885</v>
      </c>
      <c r="C4" s="265"/>
      <c r="D4" s="266"/>
      <c r="E4" s="266"/>
      <c r="F4" s="266"/>
      <c r="G4" s="266"/>
      <c r="H4" s="266"/>
      <c r="I4" s="266"/>
      <c r="J4" s="266"/>
      <c r="K4" s="266"/>
      <c r="L4" s="266"/>
      <c r="M4" s="266"/>
      <c r="N4" s="266"/>
      <c r="O4" s="266"/>
      <c r="P4" s="266"/>
      <c r="Q4" s="265"/>
    </row>
    <row r="6" spans="2:19" ht="76" customHeight="1" x14ac:dyDescent="0.25">
      <c r="B6" s="310" t="s">
        <v>924</v>
      </c>
      <c r="C6" s="310"/>
      <c r="D6" s="310"/>
      <c r="E6" s="310"/>
      <c r="F6" s="310"/>
      <c r="G6" s="310"/>
      <c r="H6" s="310"/>
      <c r="I6" s="310"/>
      <c r="J6" s="310"/>
      <c r="K6" s="310"/>
      <c r="L6" s="310"/>
      <c r="M6" s="310"/>
      <c r="N6" s="310"/>
      <c r="O6" s="310"/>
      <c r="P6" s="310"/>
      <c r="Q6" s="310"/>
    </row>
    <row r="8" spans="2:19" ht="13" x14ac:dyDescent="0.3">
      <c r="B8" s="86" t="s">
        <v>259</v>
      </c>
      <c r="K8" s="86" t="s">
        <v>260</v>
      </c>
    </row>
    <row r="10" spans="2:19" ht="13.15" customHeight="1" x14ac:dyDescent="0.25">
      <c r="B10" s="312" t="s">
        <v>411</v>
      </c>
      <c r="C10" s="312"/>
      <c r="D10" s="312"/>
      <c r="E10" s="312"/>
      <c r="F10" s="312"/>
      <c r="G10" s="312"/>
      <c r="H10" s="312"/>
      <c r="I10" s="312"/>
      <c r="K10" s="312" t="s">
        <v>412</v>
      </c>
      <c r="L10" s="312"/>
      <c r="M10" s="312"/>
      <c r="N10" s="312"/>
      <c r="O10" s="312"/>
      <c r="P10" s="312"/>
      <c r="Q10" s="46"/>
      <c r="S10" s="46"/>
    </row>
    <row r="11" spans="2:19" x14ac:dyDescent="0.25">
      <c r="B11" s="312"/>
      <c r="C11" s="312"/>
      <c r="D11" s="312"/>
      <c r="E11" s="312"/>
      <c r="F11" s="312"/>
      <c r="G11" s="312"/>
      <c r="H11" s="312"/>
      <c r="I11" s="312"/>
      <c r="K11" s="312"/>
      <c r="L11" s="312"/>
      <c r="M11" s="312"/>
      <c r="N11" s="312"/>
      <c r="O11" s="312"/>
      <c r="P11" s="312"/>
      <c r="Q11" s="46"/>
      <c r="S11" s="46"/>
    </row>
    <row r="12" spans="2:19" x14ac:dyDescent="0.25">
      <c r="B12" s="312"/>
      <c r="C12" s="312"/>
      <c r="D12" s="312"/>
      <c r="E12" s="312"/>
      <c r="F12" s="312"/>
      <c r="G12" s="312"/>
      <c r="H12" s="312"/>
      <c r="I12" s="312"/>
      <c r="K12" s="312"/>
      <c r="L12" s="312"/>
      <c r="M12" s="312"/>
      <c r="N12" s="312"/>
      <c r="O12" s="312"/>
      <c r="P12" s="312"/>
      <c r="Q12" s="46"/>
      <c r="S12" s="46"/>
    </row>
    <row r="13" spans="2:19" x14ac:dyDescent="0.25">
      <c r="B13" s="312"/>
      <c r="C13" s="312"/>
      <c r="D13" s="312"/>
      <c r="E13" s="312"/>
      <c r="F13" s="312"/>
      <c r="G13" s="312"/>
      <c r="H13" s="312"/>
      <c r="I13" s="312"/>
      <c r="K13" s="312"/>
      <c r="L13" s="312"/>
      <c r="M13" s="312"/>
      <c r="N13" s="312"/>
      <c r="O13" s="312"/>
      <c r="P13" s="312"/>
      <c r="Q13" s="46"/>
      <c r="S13" s="46"/>
    </row>
    <row r="14" spans="2:19" x14ac:dyDescent="0.25">
      <c r="B14" s="312"/>
      <c r="C14" s="312"/>
      <c r="D14" s="312"/>
      <c r="E14" s="312"/>
      <c r="F14" s="312"/>
      <c r="G14" s="312"/>
      <c r="H14" s="312"/>
      <c r="I14" s="312"/>
      <c r="K14" s="312"/>
      <c r="L14" s="312"/>
      <c r="M14" s="312"/>
      <c r="N14" s="312"/>
      <c r="O14" s="312"/>
      <c r="P14" s="312"/>
      <c r="Q14" s="46"/>
      <c r="S14" s="46"/>
    </row>
    <row r="15" spans="2:19" x14ac:dyDescent="0.25">
      <c r="B15" s="312"/>
      <c r="C15" s="312"/>
      <c r="D15" s="312"/>
      <c r="E15" s="312"/>
      <c r="F15" s="312"/>
      <c r="G15" s="312"/>
      <c r="H15" s="312"/>
      <c r="I15" s="312"/>
      <c r="K15" s="312"/>
      <c r="L15" s="312"/>
      <c r="M15" s="312"/>
      <c r="N15" s="312"/>
      <c r="O15" s="312"/>
      <c r="P15" s="312"/>
      <c r="Q15" s="46"/>
    </row>
    <row r="17" spans="2:18" ht="13.15" customHeight="1" x14ac:dyDescent="0.3">
      <c r="B17" s="313" t="s">
        <v>419</v>
      </c>
      <c r="C17" s="313"/>
      <c r="D17" s="313"/>
      <c r="E17" s="313"/>
      <c r="F17" s="313"/>
      <c r="G17" s="313"/>
      <c r="H17" s="313"/>
      <c r="I17" s="313"/>
      <c r="K17" s="86" t="s">
        <v>261</v>
      </c>
      <c r="M17" s="86" t="s">
        <v>262</v>
      </c>
      <c r="R17" s="46"/>
    </row>
    <row r="18" spans="2:18" x14ac:dyDescent="0.25">
      <c r="B18" s="313"/>
      <c r="C18" s="313"/>
      <c r="D18" s="313"/>
      <c r="E18" s="313"/>
      <c r="F18" s="313"/>
      <c r="G18" s="313"/>
      <c r="H18" s="313"/>
      <c r="I18" s="313"/>
      <c r="R18" s="46"/>
    </row>
    <row r="19" spans="2:18" x14ac:dyDescent="0.25">
      <c r="B19" s="313"/>
      <c r="C19" s="313"/>
      <c r="D19" s="313"/>
      <c r="E19" s="313"/>
      <c r="F19" s="313"/>
      <c r="G19" s="313"/>
      <c r="H19" s="313"/>
      <c r="I19" s="313"/>
      <c r="K19" s="123"/>
      <c r="M19" s="313" t="s">
        <v>415</v>
      </c>
      <c r="N19" s="313"/>
      <c r="O19" s="313"/>
      <c r="P19" s="313"/>
      <c r="R19" s="46"/>
    </row>
    <row r="20" spans="2:18" x14ac:dyDescent="0.25">
      <c r="B20" s="313"/>
      <c r="C20" s="313"/>
      <c r="D20" s="313"/>
      <c r="E20" s="313"/>
      <c r="F20" s="313"/>
      <c r="G20" s="313"/>
      <c r="H20" s="313"/>
      <c r="I20" s="313"/>
      <c r="K20" s="124"/>
      <c r="M20" s="313"/>
      <c r="N20" s="313"/>
      <c r="O20" s="313"/>
      <c r="P20" s="313"/>
      <c r="R20" s="46"/>
    </row>
    <row r="21" spans="2:18" x14ac:dyDescent="0.25">
      <c r="B21" s="313"/>
      <c r="C21" s="313"/>
      <c r="D21" s="313"/>
      <c r="E21" s="313"/>
      <c r="F21" s="313"/>
      <c r="G21" s="313"/>
      <c r="H21" s="313"/>
      <c r="I21" s="313"/>
      <c r="R21" s="46"/>
    </row>
    <row r="22" spans="2:18" x14ac:dyDescent="0.25">
      <c r="B22" s="313"/>
      <c r="C22" s="313"/>
      <c r="D22" s="313"/>
      <c r="E22" s="313"/>
      <c r="F22" s="313"/>
      <c r="G22" s="313"/>
      <c r="H22" s="313"/>
      <c r="I22" s="313"/>
      <c r="K22" s="125"/>
      <c r="M22" s="312" t="s">
        <v>414</v>
      </c>
      <c r="N22" s="312"/>
      <c r="O22" s="312"/>
      <c r="P22" s="312"/>
      <c r="R22" s="46"/>
    </row>
    <row r="23" spans="2:18" x14ac:dyDescent="0.25">
      <c r="B23" s="313"/>
      <c r="C23" s="313"/>
      <c r="D23" s="313"/>
      <c r="E23" s="313"/>
      <c r="F23" s="313"/>
      <c r="G23" s="313"/>
      <c r="H23" s="313"/>
      <c r="I23" s="313"/>
      <c r="K23" s="126"/>
      <c r="M23" s="312"/>
      <c r="N23" s="312"/>
      <c r="O23" s="312"/>
      <c r="P23" s="312"/>
      <c r="R23" s="46"/>
    </row>
    <row r="24" spans="2:18" x14ac:dyDescent="0.25">
      <c r="B24" s="313"/>
      <c r="C24" s="313"/>
      <c r="D24" s="313"/>
      <c r="E24" s="313"/>
      <c r="F24" s="313"/>
      <c r="G24" s="313"/>
      <c r="H24" s="313"/>
      <c r="I24" s="313"/>
      <c r="M24" s="312"/>
      <c r="N24" s="312"/>
      <c r="O24" s="312"/>
      <c r="P24" s="312"/>
    </row>
    <row r="26" spans="2:18" x14ac:dyDescent="0.25">
      <c r="B26" s="46" t="s">
        <v>263</v>
      </c>
      <c r="K26" s="127"/>
      <c r="M26" s="313" t="s">
        <v>413</v>
      </c>
      <c r="N26" s="313"/>
      <c r="O26" s="313"/>
      <c r="P26" s="313"/>
      <c r="R26" s="46"/>
    </row>
    <row r="27" spans="2:18" x14ac:dyDescent="0.25">
      <c r="K27" s="128"/>
      <c r="M27" s="313"/>
      <c r="N27" s="313"/>
      <c r="O27" s="313"/>
      <c r="P27" s="313"/>
      <c r="R27" s="46"/>
    </row>
    <row r="28" spans="2:18" ht="13" x14ac:dyDescent="0.3">
      <c r="B28" s="86" t="s">
        <v>264</v>
      </c>
      <c r="E28" s="87" t="s">
        <v>265</v>
      </c>
      <c r="M28" s="313"/>
      <c r="N28" s="313"/>
      <c r="O28" s="313"/>
      <c r="P28" s="313"/>
      <c r="R28" s="46"/>
    </row>
    <row r="29" spans="2:18" x14ac:dyDescent="0.25">
      <c r="M29" s="313"/>
      <c r="N29" s="313"/>
      <c r="O29" s="313"/>
      <c r="P29" s="313"/>
      <c r="R29" s="46"/>
    </row>
    <row r="30" spans="2:18" x14ac:dyDescent="0.25">
      <c r="B30" s="46" t="s">
        <v>266</v>
      </c>
      <c r="E30" s="312" t="s">
        <v>416</v>
      </c>
      <c r="F30" s="312"/>
      <c r="G30" s="312"/>
      <c r="H30" s="312"/>
      <c r="I30" s="312"/>
      <c r="M30" s="313"/>
      <c r="N30" s="313"/>
      <c r="O30" s="313"/>
      <c r="P30" s="313"/>
      <c r="R30" s="46"/>
    </row>
    <row r="31" spans="2:18" x14ac:dyDescent="0.25">
      <c r="E31" s="312"/>
      <c r="F31" s="312"/>
      <c r="G31" s="312"/>
      <c r="H31" s="312"/>
      <c r="I31" s="312"/>
      <c r="M31" s="313"/>
      <c r="N31" s="313"/>
      <c r="O31" s="313"/>
      <c r="P31" s="313"/>
      <c r="R31" s="46"/>
    </row>
    <row r="32" spans="2:18" x14ac:dyDescent="0.25">
      <c r="E32" s="312"/>
      <c r="F32" s="312"/>
      <c r="G32" s="312"/>
      <c r="H32" s="312"/>
      <c r="I32" s="312"/>
      <c r="M32" s="313"/>
      <c r="N32" s="313"/>
      <c r="O32" s="313"/>
      <c r="P32" s="313"/>
      <c r="R32" s="46"/>
    </row>
    <row r="33" spans="2:18" x14ac:dyDescent="0.25">
      <c r="M33" s="313"/>
      <c r="N33" s="313"/>
      <c r="O33" s="313"/>
      <c r="P33" s="313"/>
      <c r="R33" s="46"/>
    </row>
    <row r="34" spans="2:18" x14ac:dyDescent="0.25">
      <c r="B34" s="46" t="s">
        <v>420</v>
      </c>
      <c r="E34" s="313" t="s">
        <v>900</v>
      </c>
      <c r="F34" s="313"/>
      <c r="G34" s="313"/>
      <c r="H34" s="313"/>
      <c r="I34" s="313"/>
      <c r="M34" s="313"/>
      <c r="N34" s="313"/>
      <c r="O34" s="313"/>
      <c r="P34" s="313"/>
      <c r="R34" s="46"/>
    </row>
    <row r="35" spans="2:18" x14ac:dyDescent="0.25">
      <c r="E35" s="313"/>
      <c r="F35" s="313"/>
      <c r="G35" s="313"/>
      <c r="H35" s="313"/>
      <c r="I35" s="313"/>
      <c r="M35" s="313"/>
      <c r="N35" s="313"/>
      <c r="O35" s="313"/>
      <c r="P35" s="313"/>
      <c r="R35" s="46"/>
    </row>
    <row r="36" spans="2:18" x14ac:dyDescent="0.25">
      <c r="E36" s="313"/>
      <c r="F36" s="313"/>
      <c r="G36" s="313"/>
      <c r="H36" s="313"/>
      <c r="I36" s="313"/>
      <c r="M36" s="313"/>
      <c r="N36" s="313"/>
      <c r="O36" s="313"/>
      <c r="P36" s="313"/>
      <c r="R36" s="46"/>
    </row>
    <row r="37" spans="2:18" x14ac:dyDescent="0.25">
      <c r="E37" s="313"/>
      <c r="F37" s="313"/>
      <c r="G37" s="313"/>
      <c r="H37" s="313"/>
      <c r="I37" s="313"/>
      <c r="M37" s="313"/>
      <c r="N37" s="313"/>
      <c r="O37" s="313"/>
      <c r="P37" s="313"/>
      <c r="R37" s="46"/>
    </row>
    <row r="38" spans="2:18" x14ac:dyDescent="0.25">
      <c r="E38" s="313"/>
      <c r="F38" s="313"/>
      <c r="G38" s="313"/>
      <c r="H38" s="313"/>
      <c r="I38" s="313"/>
      <c r="M38" s="313"/>
      <c r="N38" s="313"/>
      <c r="O38" s="313"/>
      <c r="P38" s="313"/>
    </row>
    <row r="39" spans="2:18" x14ac:dyDescent="0.25">
      <c r="E39" s="260"/>
      <c r="F39" s="260"/>
      <c r="G39" s="260"/>
      <c r="H39" s="260"/>
      <c r="I39" s="260"/>
      <c r="M39" s="260"/>
      <c r="N39" s="260"/>
      <c r="O39" s="260"/>
      <c r="P39" s="260"/>
    </row>
    <row r="40" spans="2:18" ht="12.65" customHeight="1" x14ac:dyDescent="0.25">
      <c r="B40" s="261" t="s">
        <v>863</v>
      </c>
      <c r="C40" s="261"/>
      <c r="D40" s="261"/>
      <c r="E40" s="311" t="s">
        <v>874</v>
      </c>
      <c r="F40" s="311"/>
      <c r="G40" s="311"/>
      <c r="H40" s="311"/>
      <c r="I40" s="311"/>
      <c r="M40" s="260"/>
      <c r="N40" s="260"/>
      <c r="O40" s="260"/>
      <c r="P40" s="260"/>
    </row>
    <row r="41" spans="2:18" x14ac:dyDescent="0.25">
      <c r="B41" s="261"/>
      <c r="C41" s="261"/>
      <c r="D41" s="261"/>
      <c r="E41" s="311"/>
      <c r="F41" s="311"/>
      <c r="G41" s="311"/>
      <c r="H41" s="311"/>
      <c r="I41" s="311"/>
      <c r="M41" s="260"/>
      <c r="N41" s="260"/>
      <c r="O41" s="260"/>
      <c r="P41" s="260"/>
    </row>
    <row r="42" spans="2:18" x14ac:dyDescent="0.25">
      <c r="B42" s="261"/>
      <c r="C42" s="261"/>
      <c r="D42" s="261"/>
      <c r="E42" s="311"/>
      <c r="F42" s="311"/>
      <c r="G42" s="311"/>
      <c r="H42" s="311"/>
      <c r="I42" s="311"/>
      <c r="M42" s="260"/>
      <c r="N42" s="260"/>
      <c r="O42" s="260"/>
      <c r="P42" s="260"/>
    </row>
    <row r="43" spans="2:18" x14ac:dyDescent="0.25">
      <c r="B43" s="261"/>
      <c r="C43" s="261"/>
      <c r="D43" s="261"/>
      <c r="E43" s="311"/>
      <c r="F43" s="311"/>
      <c r="G43" s="311"/>
      <c r="H43" s="311"/>
      <c r="I43" s="311"/>
      <c r="M43" s="260"/>
      <c r="N43" s="260"/>
      <c r="O43" s="260"/>
      <c r="P43" s="260"/>
    </row>
    <row r="44" spans="2:18" ht="40.5" customHeight="1" x14ac:dyDescent="0.25">
      <c r="B44" s="261"/>
      <c r="C44" s="261"/>
      <c r="D44" s="261"/>
      <c r="E44" s="311"/>
      <c r="F44" s="311"/>
      <c r="G44" s="311"/>
      <c r="H44" s="311"/>
      <c r="I44" s="311"/>
      <c r="M44" s="260"/>
      <c r="N44" s="260"/>
      <c r="O44" s="260"/>
      <c r="P44" s="260"/>
    </row>
    <row r="45" spans="2:18" x14ac:dyDescent="0.25">
      <c r="E45" s="260"/>
      <c r="F45" s="260"/>
      <c r="G45" s="260"/>
      <c r="H45" s="260"/>
      <c r="I45" s="260"/>
      <c r="M45" s="260"/>
      <c r="N45" s="260"/>
      <c r="O45" s="260"/>
      <c r="P45" s="260"/>
    </row>
    <row r="47" spans="2:18" x14ac:dyDescent="0.25">
      <c r="B47" s="46" t="s">
        <v>421</v>
      </c>
      <c r="E47" s="313" t="s">
        <v>901</v>
      </c>
      <c r="F47" s="313"/>
      <c r="G47" s="313"/>
      <c r="H47" s="313"/>
      <c r="I47" s="313"/>
    </row>
    <row r="48" spans="2:18" x14ac:dyDescent="0.25">
      <c r="E48" s="313"/>
      <c r="F48" s="313"/>
      <c r="G48" s="313"/>
      <c r="H48" s="313"/>
      <c r="I48" s="313"/>
      <c r="K48" s="155" t="s">
        <v>367</v>
      </c>
      <c r="L48" s="155"/>
    </row>
    <row r="49" spans="2:14" x14ac:dyDescent="0.25">
      <c r="E49" s="313"/>
      <c r="F49" s="313"/>
      <c r="G49" s="313"/>
      <c r="H49" s="313"/>
      <c r="I49" s="313"/>
      <c r="L49" t="s">
        <v>368</v>
      </c>
      <c r="M49" s="155"/>
    </row>
    <row r="50" spans="2:14" x14ac:dyDescent="0.25">
      <c r="E50" s="313"/>
      <c r="F50" s="313"/>
      <c r="G50" s="313"/>
      <c r="H50" s="313"/>
      <c r="I50" s="313"/>
      <c r="L50" t="s">
        <v>370</v>
      </c>
    </row>
    <row r="51" spans="2:14" ht="29.5" customHeight="1" x14ac:dyDescent="0.25">
      <c r="E51" s="313"/>
      <c r="F51" s="313"/>
      <c r="G51" s="313"/>
      <c r="H51" s="313"/>
      <c r="I51" s="313"/>
      <c r="L51" t="s">
        <v>371</v>
      </c>
    </row>
    <row r="52" spans="2:14" x14ac:dyDescent="0.25">
      <c r="E52" s="260"/>
      <c r="F52" s="260"/>
      <c r="G52" s="260"/>
      <c r="H52" s="260"/>
      <c r="I52" s="260"/>
      <c r="L52" t="s">
        <v>372</v>
      </c>
    </row>
    <row r="53" spans="2:14" x14ac:dyDescent="0.25">
      <c r="B53" s="261" t="s">
        <v>864</v>
      </c>
      <c r="C53" s="261"/>
      <c r="D53" s="261"/>
      <c r="E53" s="311" t="s">
        <v>873</v>
      </c>
      <c r="F53" s="311"/>
      <c r="G53" s="311"/>
      <c r="H53" s="311"/>
      <c r="I53" s="311"/>
    </row>
    <row r="54" spans="2:14" x14ac:dyDescent="0.25">
      <c r="B54" s="261"/>
      <c r="C54" s="261"/>
      <c r="D54" s="261"/>
      <c r="E54" s="311"/>
      <c r="F54" s="311"/>
      <c r="G54" s="311"/>
      <c r="H54" s="311"/>
      <c r="I54" s="311"/>
      <c r="L54" t="s">
        <v>373</v>
      </c>
    </row>
    <row r="55" spans="2:14" ht="15" customHeight="1" x14ac:dyDescent="0.25">
      <c r="B55" s="261"/>
      <c r="C55" s="261"/>
      <c r="D55" s="261"/>
      <c r="E55" s="311"/>
      <c r="F55" s="311"/>
      <c r="G55" s="311"/>
      <c r="H55" s="311"/>
      <c r="I55" s="311"/>
      <c r="L55" t="s">
        <v>374</v>
      </c>
    </row>
    <row r="56" spans="2:14" ht="17.149999999999999" customHeight="1" x14ac:dyDescent="0.25">
      <c r="B56" s="261"/>
      <c r="C56" s="261"/>
      <c r="D56" s="261"/>
      <c r="E56" s="311"/>
      <c r="F56" s="311"/>
      <c r="G56" s="311"/>
      <c r="H56" s="311"/>
      <c r="I56" s="311"/>
    </row>
    <row r="57" spans="2:14" ht="45" customHeight="1" x14ac:dyDescent="0.25">
      <c r="B57" s="261"/>
      <c r="C57" s="261"/>
      <c r="D57" s="261"/>
      <c r="E57" s="311"/>
      <c r="F57" s="311"/>
      <c r="G57" s="311"/>
      <c r="H57" s="311"/>
      <c r="I57" s="311"/>
      <c r="K57" s="155" t="s">
        <v>382</v>
      </c>
    </row>
    <row r="58" spans="2:14" ht="18" customHeight="1" x14ac:dyDescent="0.25">
      <c r="E58" s="260"/>
      <c r="F58" s="260"/>
      <c r="G58" s="260"/>
      <c r="H58" s="260"/>
      <c r="I58" s="260"/>
      <c r="L58" s="261" t="s">
        <v>922</v>
      </c>
      <c r="M58" s="261"/>
      <c r="N58" s="261"/>
    </row>
    <row r="59" spans="2:14" x14ac:dyDescent="0.25">
      <c r="E59" s="260"/>
      <c r="F59" s="260"/>
      <c r="G59" s="260"/>
      <c r="H59" s="260"/>
      <c r="I59" s="260"/>
      <c r="L59" s="261" t="s">
        <v>884</v>
      </c>
      <c r="M59" s="261"/>
      <c r="N59" s="261"/>
    </row>
    <row r="60" spans="2:14" x14ac:dyDescent="0.25">
      <c r="B60" s="46" t="s">
        <v>422</v>
      </c>
      <c r="E60" s="313" t="s">
        <v>912</v>
      </c>
      <c r="F60" s="313"/>
      <c r="G60" s="313"/>
      <c r="H60" s="313"/>
      <c r="I60" s="313"/>
    </row>
    <row r="61" spans="2:14" x14ac:dyDescent="0.25">
      <c r="E61" s="313"/>
      <c r="F61" s="313"/>
      <c r="G61" s="313"/>
      <c r="H61" s="313"/>
      <c r="I61" s="313"/>
    </row>
    <row r="62" spans="2:14" x14ac:dyDescent="0.25">
      <c r="E62" s="313"/>
      <c r="F62" s="313"/>
      <c r="G62" s="313"/>
      <c r="H62" s="313"/>
      <c r="I62" s="313"/>
      <c r="K62" s="155" t="s">
        <v>428</v>
      </c>
    </row>
    <row r="63" spans="2:14" x14ac:dyDescent="0.25">
      <c r="E63" s="313"/>
      <c r="F63" s="313"/>
      <c r="G63" s="313"/>
      <c r="H63" s="313"/>
      <c r="I63" s="313"/>
      <c r="L63" s="202" t="s">
        <v>429</v>
      </c>
    </row>
    <row r="64" spans="2:14" x14ac:dyDescent="0.25">
      <c r="E64" s="313"/>
      <c r="F64" s="313"/>
      <c r="G64" s="313"/>
      <c r="H64" s="313"/>
      <c r="I64" s="313"/>
    </row>
    <row r="65" spans="2:9" x14ac:dyDescent="0.25">
      <c r="E65" s="313"/>
      <c r="F65" s="313"/>
      <c r="G65" s="313"/>
      <c r="H65" s="313"/>
      <c r="I65" s="313"/>
    </row>
    <row r="66" spans="2:9" ht="54.75" customHeight="1" x14ac:dyDescent="0.25">
      <c r="E66" s="313"/>
      <c r="F66" s="313"/>
      <c r="G66" s="313"/>
      <c r="H66" s="313"/>
      <c r="I66" s="313"/>
    </row>
    <row r="68" spans="2:9" x14ac:dyDescent="0.25">
      <c r="B68" s="46" t="s">
        <v>423</v>
      </c>
      <c r="E68" s="313" t="s">
        <v>911</v>
      </c>
      <c r="F68" s="312"/>
      <c r="G68" s="312"/>
      <c r="H68" s="312"/>
      <c r="I68" s="312"/>
    </row>
    <row r="69" spans="2:9" x14ac:dyDescent="0.25">
      <c r="E69" s="312"/>
      <c r="F69" s="312"/>
      <c r="G69" s="312"/>
      <c r="H69" s="312"/>
      <c r="I69" s="312"/>
    </row>
    <row r="70" spans="2:9" x14ac:dyDescent="0.25">
      <c r="E70" s="312"/>
      <c r="F70" s="312"/>
      <c r="G70" s="312"/>
      <c r="H70" s="312"/>
      <c r="I70" s="312"/>
    </row>
    <row r="71" spans="2:9" x14ac:dyDescent="0.25">
      <c r="E71" s="312"/>
      <c r="F71" s="312"/>
      <c r="G71" s="312"/>
      <c r="H71" s="312"/>
      <c r="I71" s="312"/>
    </row>
    <row r="72" spans="2:9" x14ac:dyDescent="0.25">
      <c r="E72" s="312"/>
      <c r="F72" s="312"/>
      <c r="G72" s="312"/>
      <c r="H72" s="312"/>
      <c r="I72" s="312"/>
    </row>
    <row r="73" spans="2:9" x14ac:dyDescent="0.25">
      <c r="E73" s="312"/>
      <c r="F73" s="312"/>
      <c r="G73" s="312"/>
      <c r="H73" s="312"/>
      <c r="I73" s="312"/>
    </row>
    <row r="74" spans="2:9" x14ac:dyDescent="0.25">
      <c r="E74" s="312"/>
      <c r="F74" s="312"/>
      <c r="G74" s="312"/>
      <c r="H74" s="312"/>
      <c r="I74" s="312"/>
    </row>
    <row r="75" spans="2:9" ht="51.65" customHeight="1" x14ac:dyDescent="0.25">
      <c r="E75" s="312"/>
      <c r="F75" s="312"/>
      <c r="G75" s="312"/>
      <c r="H75" s="312"/>
      <c r="I75" s="312"/>
    </row>
    <row r="76" spans="2:9" ht="31.5" customHeight="1" x14ac:dyDescent="0.25">
      <c r="E76" s="259"/>
      <c r="F76" s="259"/>
      <c r="G76" s="259"/>
      <c r="H76" s="259"/>
      <c r="I76" s="259"/>
    </row>
    <row r="77" spans="2:9" ht="12.65" customHeight="1" x14ac:dyDescent="0.25">
      <c r="B77" s="261" t="s">
        <v>869</v>
      </c>
      <c r="C77" s="261"/>
      <c r="D77" s="261"/>
      <c r="E77" s="311" t="s">
        <v>872</v>
      </c>
      <c r="F77" s="311"/>
      <c r="G77" s="311"/>
      <c r="H77" s="311"/>
      <c r="I77" s="311"/>
    </row>
    <row r="78" spans="2:9" ht="12.65" customHeight="1" x14ac:dyDescent="0.25">
      <c r="B78" s="261"/>
      <c r="C78" s="261"/>
      <c r="D78" s="261"/>
      <c r="E78" s="311"/>
      <c r="F78" s="311"/>
      <c r="G78" s="311"/>
      <c r="H78" s="311"/>
      <c r="I78" s="311"/>
    </row>
    <row r="79" spans="2:9" x14ac:dyDescent="0.25">
      <c r="B79" s="261"/>
      <c r="C79" s="261"/>
      <c r="D79" s="261"/>
      <c r="E79" s="311"/>
      <c r="F79" s="311"/>
      <c r="G79" s="311"/>
      <c r="H79" s="311"/>
      <c r="I79" s="311"/>
    </row>
    <row r="80" spans="2:9" x14ac:dyDescent="0.25">
      <c r="B80" s="261"/>
      <c r="C80" s="261"/>
      <c r="D80" s="261"/>
      <c r="E80" s="311"/>
      <c r="F80" s="311"/>
      <c r="G80" s="311"/>
      <c r="H80" s="311"/>
      <c r="I80" s="311"/>
    </row>
    <row r="81" spans="2:9" ht="47.15" customHeight="1" x14ac:dyDescent="0.25">
      <c r="B81" s="261"/>
      <c r="C81" s="261"/>
      <c r="D81" s="261"/>
      <c r="E81" s="311"/>
      <c r="F81" s="311"/>
      <c r="G81" s="311"/>
      <c r="H81" s="311"/>
      <c r="I81" s="311"/>
    </row>
    <row r="82" spans="2:9" x14ac:dyDescent="0.25">
      <c r="E82" s="259"/>
      <c r="F82" s="259"/>
      <c r="G82" s="259"/>
      <c r="H82" s="259"/>
      <c r="I82" s="259"/>
    </row>
    <row r="83" spans="2:9" x14ac:dyDescent="0.25">
      <c r="E83" s="259"/>
      <c r="F83" s="259"/>
      <c r="G83" s="259"/>
      <c r="H83" s="259"/>
      <c r="I83" s="259"/>
    </row>
    <row r="84" spans="2:9" x14ac:dyDescent="0.25">
      <c r="B84" s="261" t="s">
        <v>870</v>
      </c>
      <c r="C84" s="261"/>
      <c r="D84" s="261"/>
      <c r="E84" s="311" t="s">
        <v>871</v>
      </c>
      <c r="F84" s="311"/>
      <c r="G84" s="311"/>
      <c r="H84" s="311"/>
      <c r="I84" s="311"/>
    </row>
    <row r="85" spans="2:9" x14ac:dyDescent="0.25">
      <c r="B85" s="261"/>
      <c r="C85" s="261"/>
      <c r="D85" s="261"/>
      <c r="E85" s="311"/>
      <c r="F85" s="311"/>
      <c r="G85" s="311"/>
      <c r="H85" s="311"/>
      <c r="I85" s="311"/>
    </row>
    <row r="86" spans="2:9" x14ac:dyDescent="0.25">
      <c r="B86" s="261"/>
      <c r="C86" s="261"/>
      <c r="D86" s="261"/>
      <c r="E86" s="311"/>
      <c r="F86" s="311"/>
      <c r="G86" s="311"/>
      <c r="H86" s="311"/>
      <c r="I86" s="311"/>
    </row>
    <row r="87" spans="2:9" x14ac:dyDescent="0.25">
      <c r="B87" s="261"/>
      <c r="C87" s="261"/>
      <c r="D87" s="261"/>
      <c r="E87" s="311"/>
      <c r="F87" s="311"/>
      <c r="G87" s="311"/>
      <c r="H87" s="311"/>
      <c r="I87" s="311"/>
    </row>
    <row r="88" spans="2:9" ht="43" customHeight="1" x14ac:dyDescent="0.25">
      <c r="B88" s="261"/>
      <c r="C88" s="261"/>
      <c r="D88" s="261"/>
      <c r="E88" s="311"/>
      <c r="F88" s="311"/>
      <c r="G88" s="311"/>
      <c r="H88" s="311"/>
      <c r="I88" s="311"/>
    </row>
    <row r="89" spans="2:9" x14ac:dyDescent="0.25">
      <c r="E89" s="259"/>
      <c r="F89" s="259"/>
      <c r="G89" s="259"/>
      <c r="H89" s="259"/>
      <c r="I89" s="259"/>
    </row>
    <row r="90" spans="2:9" x14ac:dyDescent="0.25">
      <c r="E90" s="259"/>
      <c r="F90" s="259"/>
      <c r="G90" s="259"/>
      <c r="H90" s="259"/>
      <c r="I90" s="259"/>
    </row>
    <row r="92" spans="2:9" x14ac:dyDescent="0.25">
      <c r="B92" s="46" t="s">
        <v>410</v>
      </c>
      <c r="E92" s="312" t="s">
        <v>424</v>
      </c>
      <c r="F92" s="312"/>
      <c r="G92" s="312"/>
      <c r="H92" s="312"/>
      <c r="I92" s="312"/>
    </row>
    <row r="93" spans="2:9" x14ac:dyDescent="0.25">
      <c r="E93" s="312"/>
      <c r="F93" s="312"/>
      <c r="G93" s="312"/>
      <c r="H93" s="312"/>
      <c r="I93" s="312"/>
    </row>
    <row r="94" spans="2:9" x14ac:dyDescent="0.25">
      <c r="E94" s="312"/>
      <c r="F94" s="312"/>
      <c r="G94" s="312"/>
      <c r="H94" s="312"/>
      <c r="I94" s="312"/>
    </row>
    <row r="95" spans="2:9" x14ac:dyDescent="0.25">
      <c r="E95" s="312"/>
      <c r="F95" s="312"/>
      <c r="G95" s="312"/>
      <c r="H95" s="312"/>
      <c r="I95" s="312"/>
    </row>
    <row r="96" spans="2:9" x14ac:dyDescent="0.25">
      <c r="E96" s="312"/>
      <c r="F96" s="312"/>
      <c r="G96" s="312"/>
      <c r="H96" s="312"/>
      <c r="I96" s="312"/>
    </row>
    <row r="97" spans="2:9" x14ac:dyDescent="0.25">
      <c r="E97" s="312"/>
      <c r="F97" s="312"/>
      <c r="G97" s="312"/>
      <c r="H97" s="312"/>
      <c r="I97" s="312"/>
    </row>
    <row r="99" spans="2:9" x14ac:dyDescent="0.25">
      <c r="B99" s="46" t="s">
        <v>418</v>
      </c>
      <c r="E99" s="312" t="s">
        <v>425</v>
      </c>
      <c r="F99" s="312"/>
      <c r="G99" s="312"/>
      <c r="H99" s="312"/>
      <c r="I99" s="312"/>
    </row>
    <row r="100" spans="2:9" x14ac:dyDescent="0.25">
      <c r="B100" s="46"/>
      <c r="E100" s="312"/>
      <c r="F100" s="312"/>
      <c r="G100" s="312"/>
      <c r="H100" s="312"/>
      <c r="I100" s="312"/>
    </row>
    <row r="101" spans="2:9" x14ac:dyDescent="0.25">
      <c r="B101" s="46"/>
      <c r="E101" s="312"/>
      <c r="F101" s="312"/>
      <c r="G101" s="312"/>
      <c r="H101" s="312"/>
      <c r="I101" s="312"/>
    </row>
    <row r="102" spans="2:9" x14ac:dyDescent="0.25">
      <c r="B102" s="46"/>
      <c r="E102" s="312"/>
      <c r="F102" s="312"/>
      <c r="G102" s="312"/>
      <c r="H102" s="312"/>
      <c r="I102" s="312"/>
    </row>
    <row r="103" spans="2:9" x14ac:dyDescent="0.25">
      <c r="B103" s="46"/>
      <c r="E103" s="312"/>
      <c r="F103" s="312"/>
      <c r="G103" s="312"/>
      <c r="H103" s="312"/>
      <c r="I103" s="312"/>
    </row>
    <row r="104" spans="2:9" x14ac:dyDescent="0.25">
      <c r="B104" s="46"/>
      <c r="E104" s="312"/>
      <c r="F104" s="312"/>
      <c r="G104" s="312"/>
      <c r="H104" s="312"/>
      <c r="I104" s="312"/>
    </row>
    <row r="108" spans="2:9" x14ac:dyDescent="0.25">
      <c r="B108" s="261" t="s">
        <v>875</v>
      </c>
      <c r="C108" s="261"/>
      <c r="D108" s="261"/>
      <c r="E108" s="311" t="s">
        <v>876</v>
      </c>
      <c r="F108" s="311"/>
      <c r="G108" s="311"/>
      <c r="H108" s="311"/>
      <c r="I108" s="311"/>
    </row>
    <row r="109" spans="2:9" x14ac:dyDescent="0.25">
      <c r="B109" s="261"/>
      <c r="C109" s="261"/>
      <c r="D109" s="261"/>
      <c r="E109" s="311"/>
      <c r="F109" s="311"/>
      <c r="G109" s="311"/>
      <c r="H109" s="311"/>
      <c r="I109" s="311"/>
    </row>
    <row r="110" spans="2:9" x14ac:dyDescent="0.25">
      <c r="B110" s="261"/>
      <c r="C110" s="261"/>
      <c r="D110" s="261"/>
      <c r="E110" s="311"/>
      <c r="F110" s="311"/>
      <c r="G110" s="311"/>
      <c r="H110" s="311"/>
      <c r="I110" s="311"/>
    </row>
    <row r="111" spans="2:9" x14ac:dyDescent="0.25">
      <c r="B111" s="261"/>
      <c r="C111" s="261"/>
      <c r="D111" s="261"/>
      <c r="E111" s="311"/>
      <c r="F111" s="311"/>
      <c r="G111" s="311"/>
      <c r="H111" s="311"/>
      <c r="I111" s="311"/>
    </row>
    <row r="112" spans="2:9" x14ac:dyDescent="0.25">
      <c r="B112" s="261"/>
      <c r="C112" s="261"/>
      <c r="D112" s="261"/>
      <c r="E112" s="311"/>
      <c r="F112" s="311"/>
      <c r="G112" s="311"/>
      <c r="H112" s="311"/>
      <c r="I112" s="311"/>
    </row>
    <row r="113" spans="2:9" x14ac:dyDescent="0.25">
      <c r="B113" s="261"/>
      <c r="C113" s="261"/>
      <c r="D113" s="261"/>
      <c r="E113" s="311"/>
      <c r="F113" s="311"/>
      <c r="G113" s="311"/>
      <c r="H113" s="311"/>
      <c r="I113" s="311"/>
    </row>
    <row r="114" spans="2:9" x14ac:dyDescent="0.25">
      <c r="B114" s="261"/>
      <c r="C114" s="261"/>
      <c r="D114" s="261"/>
      <c r="E114" s="263"/>
      <c r="F114" s="263"/>
      <c r="G114" s="263"/>
      <c r="H114" s="263"/>
      <c r="I114" s="263"/>
    </row>
    <row r="115" spans="2:9" ht="12.65" customHeight="1" x14ac:dyDescent="0.25">
      <c r="B115" s="261" t="s">
        <v>877</v>
      </c>
      <c r="C115" s="261"/>
      <c r="D115" s="261"/>
      <c r="E115" s="311" t="s">
        <v>878</v>
      </c>
      <c r="F115" s="311"/>
      <c r="G115" s="311"/>
      <c r="H115" s="311"/>
      <c r="I115" s="311"/>
    </row>
    <row r="116" spans="2:9" x14ac:dyDescent="0.25">
      <c r="B116" s="261"/>
      <c r="C116" s="261"/>
      <c r="D116" s="261"/>
      <c r="E116" s="311"/>
      <c r="F116" s="311"/>
      <c r="G116" s="311"/>
      <c r="H116" s="311"/>
      <c r="I116" s="311"/>
    </row>
    <row r="117" spans="2:9" x14ac:dyDescent="0.25">
      <c r="B117" s="261"/>
      <c r="C117" s="261"/>
      <c r="D117" s="261"/>
      <c r="E117" s="311"/>
      <c r="F117" s="311"/>
      <c r="G117" s="311"/>
      <c r="H117" s="311"/>
      <c r="I117" s="311"/>
    </row>
    <row r="118" spans="2:9" x14ac:dyDescent="0.25">
      <c r="B118" s="261"/>
      <c r="C118" s="261"/>
      <c r="D118" s="261"/>
      <c r="E118" s="311"/>
      <c r="F118" s="311"/>
      <c r="G118" s="311"/>
      <c r="H118" s="311"/>
      <c r="I118" s="311"/>
    </row>
    <row r="121" spans="2:9" x14ac:dyDescent="0.25">
      <c r="B121" s="261" t="s">
        <v>879</v>
      </c>
      <c r="C121" s="261"/>
      <c r="D121" s="261"/>
      <c r="E121" s="311" t="s">
        <v>880</v>
      </c>
      <c r="F121" s="311"/>
      <c r="G121" s="311"/>
      <c r="H121" s="311"/>
      <c r="I121" s="311"/>
    </row>
    <row r="122" spans="2:9" x14ac:dyDescent="0.25">
      <c r="B122" s="261"/>
      <c r="C122" s="261"/>
      <c r="D122" s="261"/>
      <c r="E122" s="311"/>
      <c r="F122" s="311"/>
      <c r="G122" s="311"/>
      <c r="H122" s="311"/>
      <c r="I122" s="311"/>
    </row>
    <row r="123" spans="2:9" x14ac:dyDescent="0.25">
      <c r="B123" s="261"/>
      <c r="C123" s="261"/>
      <c r="D123" s="261"/>
      <c r="E123" s="311"/>
      <c r="F123" s="311"/>
      <c r="G123" s="311"/>
      <c r="H123" s="311"/>
      <c r="I123" s="311"/>
    </row>
    <row r="124" spans="2:9" x14ac:dyDescent="0.25">
      <c r="B124" s="261"/>
      <c r="C124" s="261"/>
      <c r="D124" s="261"/>
      <c r="E124" s="311"/>
      <c r="F124" s="311"/>
      <c r="G124" s="311"/>
      <c r="H124" s="311"/>
      <c r="I124" s="311"/>
    </row>
    <row r="125" spans="2:9" x14ac:dyDescent="0.25">
      <c r="B125" s="261"/>
      <c r="C125" s="261"/>
      <c r="D125" s="261"/>
      <c r="E125" s="311"/>
      <c r="F125" s="311"/>
      <c r="G125" s="311"/>
      <c r="H125" s="311"/>
      <c r="I125" s="311"/>
    </row>
    <row r="126" spans="2:9" x14ac:dyDescent="0.25">
      <c r="B126" s="261"/>
      <c r="C126" s="261"/>
      <c r="D126" s="261"/>
      <c r="E126" s="311"/>
      <c r="F126" s="311"/>
      <c r="G126" s="311"/>
      <c r="H126" s="311"/>
      <c r="I126" s="311"/>
    </row>
    <row r="127" spans="2:9" x14ac:dyDescent="0.25">
      <c r="B127" s="261"/>
      <c r="C127" s="261"/>
      <c r="D127" s="261"/>
      <c r="E127" s="263"/>
      <c r="F127" s="263"/>
      <c r="G127" s="263"/>
      <c r="H127" s="263"/>
      <c r="I127" s="263"/>
    </row>
    <row r="128" spans="2:9" x14ac:dyDescent="0.25">
      <c r="B128" s="261" t="s">
        <v>881</v>
      </c>
      <c r="C128" s="261"/>
      <c r="D128" s="261"/>
      <c r="E128" s="311" t="s">
        <v>882</v>
      </c>
      <c r="F128" s="311"/>
      <c r="G128" s="311"/>
      <c r="H128" s="311"/>
      <c r="I128" s="311"/>
    </row>
    <row r="129" spans="2:16" x14ac:dyDescent="0.25">
      <c r="B129" s="261"/>
      <c r="C129" s="261"/>
      <c r="D129" s="261"/>
      <c r="E129" s="311"/>
      <c r="F129" s="311"/>
      <c r="G129" s="311"/>
      <c r="H129" s="311"/>
      <c r="I129" s="311"/>
    </row>
    <row r="130" spans="2:16" x14ac:dyDescent="0.25">
      <c r="B130" s="261"/>
      <c r="C130" s="261"/>
      <c r="D130" s="261"/>
      <c r="E130" s="311"/>
      <c r="F130" s="311"/>
      <c r="G130" s="311"/>
      <c r="H130" s="311"/>
      <c r="I130" s="311"/>
    </row>
    <row r="131" spans="2:16" x14ac:dyDescent="0.25">
      <c r="B131" s="261"/>
      <c r="C131" s="261"/>
      <c r="D131" s="261"/>
      <c r="E131" s="311"/>
      <c r="F131" s="311"/>
      <c r="G131" s="311"/>
      <c r="H131" s="311"/>
      <c r="I131" s="311"/>
    </row>
    <row r="133" spans="2:16" x14ac:dyDescent="0.25">
      <c r="B133" s="46" t="s">
        <v>426</v>
      </c>
      <c r="E133" s="312" t="s">
        <v>417</v>
      </c>
      <c r="F133" s="312"/>
      <c r="G133" s="312"/>
      <c r="H133" s="312"/>
      <c r="I133" s="312"/>
    </row>
    <row r="134" spans="2:16" x14ac:dyDescent="0.25">
      <c r="E134" s="312"/>
      <c r="F134" s="312"/>
      <c r="G134" s="312"/>
      <c r="H134" s="312"/>
      <c r="I134" s="312"/>
    </row>
    <row r="135" spans="2:16" x14ac:dyDescent="0.25">
      <c r="E135" s="312"/>
      <c r="F135" s="312"/>
      <c r="G135" s="312"/>
      <c r="H135" s="312"/>
      <c r="I135" s="312"/>
    </row>
    <row r="136" spans="2:16" x14ac:dyDescent="0.25">
      <c r="E136" s="312"/>
      <c r="F136" s="312"/>
      <c r="G136" s="312"/>
      <c r="H136" s="312"/>
      <c r="I136" s="312"/>
    </row>
    <row r="137" spans="2:16" x14ac:dyDescent="0.25">
      <c r="E137" s="312"/>
      <c r="F137" s="312"/>
      <c r="G137" s="312"/>
      <c r="H137" s="312"/>
      <c r="I137" s="312"/>
    </row>
    <row r="138" spans="2:16" x14ac:dyDescent="0.25">
      <c r="E138" s="312"/>
      <c r="F138" s="312"/>
      <c r="G138" s="312"/>
      <c r="H138" s="312"/>
      <c r="I138" s="312"/>
    </row>
    <row r="139" spans="2:16" x14ac:dyDescent="0.25">
      <c r="E139" s="312"/>
      <c r="F139" s="312"/>
      <c r="G139" s="312"/>
      <c r="H139" s="312"/>
      <c r="I139" s="312"/>
    </row>
    <row r="140" spans="2:16" x14ac:dyDescent="0.25">
      <c r="E140" s="312"/>
      <c r="F140" s="312"/>
      <c r="G140" s="312"/>
      <c r="H140" s="312"/>
      <c r="I140" s="312"/>
    </row>
    <row r="142" spans="2:16" x14ac:dyDescent="0.25">
      <c r="B142" s="155" t="s">
        <v>377</v>
      </c>
    </row>
    <row r="143" spans="2:16" x14ac:dyDescent="0.25">
      <c r="B143" s="329" t="s">
        <v>378</v>
      </c>
      <c r="C143" s="329"/>
      <c r="D143" s="329" t="s">
        <v>379</v>
      </c>
      <c r="E143" s="329"/>
      <c r="F143" s="329"/>
      <c r="G143" s="329"/>
      <c r="H143" s="329"/>
      <c r="I143" s="329" t="s">
        <v>380</v>
      </c>
      <c r="J143" s="329"/>
      <c r="K143" s="329"/>
      <c r="L143" s="329"/>
      <c r="M143" s="329"/>
      <c r="N143" s="329"/>
      <c r="O143" s="329"/>
      <c r="P143" s="329"/>
    </row>
    <row r="144" spans="2:16" x14ac:dyDescent="0.25">
      <c r="B144" s="332" t="s">
        <v>381</v>
      </c>
      <c r="C144" s="330"/>
      <c r="D144" s="326" t="s">
        <v>383</v>
      </c>
      <c r="E144" s="326"/>
      <c r="F144" s="326"/>
      <c r="G144" s="326"/>
      <c r="H144" s="326"/>
      <c r="I144" s="326" t="s">
        <v>386</v>
      </c>
      <c r="J144" s="330"/>
      <c r="K144" s="330"/>
      <c r="L144" s="330"/>
      <c r="M144" s="330"/>
      <c r="N144" s="330"/>
      <c r="O144" s="330"/>
      <c r="P144" s="331"/>
    </row>
    <row r="145" spans="2:16" ht="43.15" customHeight="1" x14ac:dyDescent="0.25">
      <c r="B145" s="327" t="s">
        <v>384</v>
      </c>
      <c r="C145" s="320"/>
      <c r="D145" s="317" t="s">
        <v>385</v>
      </c>
      <c r="E145" s="317"/>
      <c r="F145" s="317"/>
      <c r="G145" s="317"/>
      <c r="H145" s="317"/>
      <c r="I145" s="317" t="s">
        <v>427</v>
      </c>
      <c r="J145" s="320"/>
      <c r="K145" s="320"/>
      <c r="L145" s="320"/>
      <c r="M145" s="320"/>
      <c r="N145" s="320"/>
      <c r="O145" s="320"/>
      <c r="P145" s="321"/>
    </row>
    <row r="146" spans="2:16" x14ac:dyDescent="0.25">
      <c r="B146" s="319"/>
      <c r="C146" s="320"/>
      <c r="D146" s="317"/>
      <c r="E146" s="317"/>
      <c r="F146" s="317"/>
      <c r="G146" s="317"/>
      <c r="H146" s="317"/>
      <c r="I146" s="320"/>
      <c r="J146" s="320"/>
      <c r="K146" s="320"/>
      <c r="L146" s="320"/>
      <c r="M146" s="320"/>
      <c r="N146" s="320"/>
      <c r="O146" s="320"/>
      <c r="P146" s="321"/>
    </row>
    <row r="147" spans="2:16" x14ac:dyDescent="0.25">
      <c r="B147" s="319"/>
      <c r="C147" s="320"/>
      <c r="D147" s="317"/>
      <c r="E147" s="317"/>
      <c r="F147" s="317"/>
      <c r="G147" s="317"/>
      <c r="H147" s="317"/>
      <c r="I147" s="320"/>
      <c r="J147" s="320"/>
      <c r="K147" s="320"/>
      <c r="L147" s="320"/>
      <c r="M147" s="320"/>
      <c r="N147" s="320"/>
      <c r="O147" s="320"/>
      <c r="P147" s="321"/>
    </row>
    <row r="148" spans="2:16" ht="25" customHeight="1" x14ac:dyDescent="0.25">
      <c r="B148" s="324" t="s">
        <v>923</v>
      </c>
      <c r="C148" s="323"/>
      <c r="D148" s="322" t="s">
        <v>906</v>
      </c>
      <c r="E148" s="323"/>
      <c r="F148" s="323"/>
      <c r="G148" s="323"/>
      <c r="H148" s="323"/>
      <c r="I148" s="323" t="s">
        <v>883</v>
      </c>
      <c r="J148" s="323"/>
      <c r="K148" s="323"/>
      <c r="L148" s="323"/>
      <c r="M148" s="323"/>
      <c r="N148" s="323"/>
      <c r="O148" s="323"/>
      <c r="P148" s="325"/>
    </row>
    <row r="149" spans="2:16" x14ac:dyDescent="0.25">
      <c r="B149" s="319"/>
      <c r="C149" s="320"/>
      <c r="D149" s="317"/>
      <c r="E149" s="317"/>
      <c r="F149" s="317"/>
      <c r="G149" s="317"/>
      <c r="H149" s="317"/>
      <c r="I149" s="320"/>
      <c r="J149" s="320"/>
      <c r="K149" s="320"/>
      <c r="L149" s="320"/>
      <c r="M149" s="320"/>
      <c r="N149" s="320"/>
      <c r="O149" s="320"/>
      <c r="P149" s="321"/>
    </row>
    <row r="150" spans="2:16" x14ac:dyDescent="0.25">
      <c r="B150" s="319"/>
      <c r="C150" s="320"/>
      <c r="D150" s="317"/>
      <c r="E150" s="317"/>
      <c r="F150" s="317"/>
      <c r="G150" s="317"/>
      <c r="H150" s="317"/>
      <c r="I150" s="320"/>
      <c r="J150" s="320"/>
      <c r="K150" s="320"/>
      <c r="L150" s="320"/>
      <c r="M150" s="320"/>
      <c r="N150" s="320"/>
      <c r="O150" s="320"/>
      <c r="P150" s="321"/>
    </row>
    <row r="151" spans="2:16" x14ac:dyDescent="0.25">
      <c r="B151" s="319"/>
      <c r="C151" s="320"/>
      <c r="D151" s="317"/>
      <c r="E151" s="317"/>
      <c r="F151" s="317"/>
      <c r="G151" s="317"/>
      <c r="H151" s="317"/>
      <c r="I151" s="320"/>
      <c r="J151" s="320"/>
      <c r="K151" s="320"/>
      <c r="L151" s="320"/>
      <c r="M151" s="320"/>
      <c r="N151" s="320"/>
      <c r="O151" s="320"/>
      <c r="P151" s="321"/>
    </row>
    <row r="152" spans="2:16" x14ac:dyDescent="0.25">
      <c r="B152" s="319"/>
      <c r="C152" s="320"/>
      <c r="D152" s="317"/>
      <c r="E152" s="317"/>
      <c r="F152" s="317"/>
      <c r="G152" s="317"/>
      <c r="H152" s="317"/>
      <c r="I152" s="320"/>
      <c r="J152" s="320"/>
      <c r="K152" s="320"/>
      <c r="L152" s="320"/>
      <c r="M152" s="320"/>
      <c r="N152" s="320"/>
      <c r="O152" s="320"/>
      <c r="P152" s="321"/>
    </row>
    <row r="153" spans="2:16" x14ac:dyDescent="0.25">
      <c r="B153" s="314"/>
      <c r="C153" s="315"/>
      <c r="D153" s="318"/>
      <c r="E153" s="318"/>
      <c r="F153" s="318"/>
      <c r="G153" s="318"/>
      <c r="H153" s="318"/>
      <c r="I153" s="315"/>
      <c r="J153" s="315"/>
      <c r="K153" s="315"/>
      <c r="L153" s="315"/>
      <c r="M153" s="315"/>
      <c r="N153" s="315"/>
      <c r="O153" s="315"/>
      <c r="P153" s="316"/>
    </row>
  </sheetData>
  <mergeCells count="57">
    <mergeCell ref="B2:P2"/>
    <mergeCell ref="I143:P143"/>
    <mergeCell ref="B143:C143"/>
    <mergeCell ref="D143:H143"/>
    <mergeCell ref="I144:P144"/>
    <mergeCell ref="B144:C144"/>
    <mergeCell ref="K10:P15"/>
    <mergeCell ref="M26:P38"/>
    <mergeCell ref="M22:P24"/>
    <mergeCell ref="M19:P20"/>
    <mergeCell ref="E30:I32"/>
    <mergeCell ref="E34:I38"/>
    <mergeCell ref="E133:I140"/>
    <mergeCell ref="B10:I15"/>
    <mergeCell ref="B17:I24"/>
    <mergeCell ref="E47:I51"/>
    <mergeCell ref="D144:H144"/>
    <mergeCell ref="D145:H145"/>
    <mergeCell ref="B146:C146"/>
    <mergeCell ref="I146:P146"/>
    <mergeCell ref="B147:C147"/>
    <mergeCell ref="I147:P147"/>
    <mergeCell ref="B145:C145"/>
    <mergeCell ref="I145:P145"/>
    <mergeCell ref="D148:H148"/>
    <mergeCell ref="B148:C148"/>
    <mergeCell ref="I148:P148"/>
    <mergeCell ref="D150:H150"/>
    <mergeCell ref="D146:H146"/>
    <mergeCell ref="D147:H147"/>
    <mergeCell ref="B150:C150"/>
    <mergeCell ref="I150:P150"/>
    <mergeCell ref="B149:C149"/>
    <mergeCell ref="I149:P149"/>
    <mergeCell ref="D149:H149"/>
    <mergeCell ref="B153:C153"/>
    <mergeCell ref="I153:P153"/>
    <mergeCell ref="D152:H152"/>
    <mergeCell ref="D153:H153"/>
    <mergeCell ref="B151:C151"/>
    <mergeCell ref="I151:P151"/>
    <mergeCell ref="D151:H151"/>
    <mergeCell ref="B152:C152"/>
    <mergeCell ref="I152:P152"/>
    <mergeCell ref="B6:Q6"/>
    <mergeCell ref="E108:I113"/>
    <mergeCell ref="E115:I118"/>
    <mergeCell ref="E121:I126"/>
    <mergeCell ref="E128:I131"/>
    <mergeCell ref="E40:I44"/>
    <mergeCell ref="E53:I57"/>
    <mergeCell ref="E77:I81"/>
    <mergeCell ref="E84:I88"/>
    <mergeCell ref="E99:I104"/>
    <mergeCell ref="E60:I66"/>
    <mergeCell ref="E68:I75"/>
    <mergeCell ref="E92:I97"/>
  </mergeCells>
  <hyperlinks>
    <hyperlink ref="L63" r:id="rId1" xr:uid="{00000000-0004-0000-0000-000000000000}"/>
    <hyperlink ref="D148" r:id="rId2" display="d-torbic@tti.tamu.edu" xr:uid="{00000000-0004-0000-00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85"/>
  <sheetViews>
    <sheetView topLeftCell="A51" zoomScale="120" zoomScaleNormal="120" workbookViewId="0">
      <selection activeCell="O61" sqref="O61"/>
    </sheetView>
  </sheetViews>
  <sheetFormatPr defaultRowHeight="12.5" x14ac:dyDescent="0.25"/>
  <cols>
    <col min="1" max="1" width="13.1796875" customWidth="1"/>
    <col min="2" max="2" width="49.54296875" customWidth="1"/>
    <col min="3" max="3" width="12.26953125" customWidth="1"/>
    <col min="4" max="4" width="13.26953125" customWidth="1"/>
    <col min="5" max="5" width="11" customWidth="1"/>
    <col min="6" max="6" width="12.1796875" customWidth="1"/>
    <col min="9" max="9" width="12.453125" customWidth="1"/>
    <col min="10" max="10" width="12.1796875" customWidth="1"/>
    <col min="11" max="11" width="12.26953125" customWidth="1"/>
    <col min="12" max="12" width="11.1796875" customWidth="1"/>
    <col min="13" max="13" width="15.81640625" customWidth="1"/>
    <col min="14" max="14" width="17" customWidth="1"/>
    <col min="17" max="17" width="10.1796875" customWidth="1"/>
    <col min="32" max="32" width="13" customWidth="1"/>
    <col min="33" max="33" width="13.1796875" customWidth="1"/>
    <col min="34" max="34" width="16.54296875" customWidth="1"/>
  </cols>
  <sheetData>
    <row r="1" spans="1:34" ht="13" thickBot="1" x14ac:dyDescent="0.3"/>
    <row r="2" spans="1:34" ht="14" thickTop="1" thickBot="1" x14ac:dyDescent="0.35">
      <c r="A2" s="371" t="s">
        <v>0</v>
      </c>
      <c r="B2" s="414"/>
      <c r="C2" s="414"/>
      <c r="D2" s="446"/>
      <c r="E2" s="446"/>
      <c r="F2" s="446"/>
      <c r="G2" s="446"/>
      <c r="H2" s="446"/>
      <c r="I2" s="446"/>
      <c r="J2" s="446"/>
      <c r="K2" s="446"/>
      <c r="L2" s="446"/>
      <c r="M2" s="446"/>
      <c r="AD2" s="86" t="s">
        <v>307</v>
      </c>
    </row>
    <row r="3" spans="1:34" ht="13.5" customHeight="1" x14ac:dyDescent="0.3">
      <c r="A3" s="328" t="s">
        <v>1</v>
      </c>
      <c r="B3" s="403"/>
      <c r="C3" s="403"/>
      <c r="D3" s="403"/>
      <c r="E3" s="403"/>
      <c r="F3" s="404"/>
      <c r="G3" s="497" t="s">
        <v>23</v>
      </c>
      <c r="H3" s="498"/>
      <c r="I3" s="498"/>
      <c r="J3" s="498"/>
      <c r="K3" s="498"/>
      <c r="L3" s="498"/>
      <c r="M3" s="498"/>
      <c r="Q3" s="86" t="s">
        <v>308</v>
      </c>
    </row>
    <row r="4" spans="1:34" ht="13" thickBot="1" x14ac:dyDescent="0.3">
      <c r="A4" s="499" t="s">
        <v>2</v>
      </c>
      <c r="B4" s="499"/>
      <c r="C4" s="433"/>
      <c r="D4" s="500" t="s">
        <v>403</v>
      </c>
      <c r="E4" s="485"/>
      <c r="F4" s="501"/>
      <c r="G4" s="502" t="s">
        <v>24</v>
      </c>
      <c r="H4" s="499"/>
      <c r="I4" s="433"/>
      <c r="J4" s="500" t="s">
        <v>406</v>
      </c>
      <c r="K4" s="485"/>
      <c r="L4" s="485"/>
      <c r="M4" s="485"/>
    </row>
    <row r="5" spans="1:34" x14ac:dyDescent="0.25">
      <c r="A5" s="403" t="s">
        <v>3</v>
      </c>
      <c r="B5" s="403"/>
      <c r="C5" s="404"/>
      <c r="D5" s="493" t="s">
        <v>404</v>
      </c>
      <c r="E5" s="494"/>
      <c r="F5" s="495"/>
      <c r="G5" s="489" t="s">
        <v>25</v>
      </c>
      <c r="H5" s="403"/>
      <c r="I5" s="404"/>
      <c r="J5" s="493" t="s">
        <v>407</v>
      </c>
      <c r="K5" s="494"/>
      <c r="L5" s="494"/>
      <c r="M5" s="494"/>
      <c r="AD5" s="503" t="s">
        <v>331</v>
      </c>
      <c r="AE5" s="503"/>
      <c r="AF5" s="503"/>
      <c r="AG5" s="503"/>
      <c r="AH5" s="503"/>
    </row>
    <row r="6" spans="1:34" ht="18.75" customHeight="1" thickBot="1" x14ac:dyDescent="0.45">
      <c r="A6" s="403" t="s">
        <v>4</v>
      </c>
      <c r="B6" s="403"/>
      <c r="C6" s="404"/>
      <c r="D6" s="496" t="s">
        <v>405</v>
      </c>
      <c r="E6" s="494"/>
      <c r="F6" s="495"/>
      <c r="G6" s="489" t="s">
        <v>26</v>
      </c>
      <c r="H6" s="403"/>
      <c r="I6" s="404"/>
      <c r="J6" s="493" t="s">
        <v>408</v>
      </c>
      <c r="K6" s="494"/>
      <c r="L6" s="494"/>
      <c r="M6" s="494"/>
      <c r="Q6" s="46" t="s">
        <v>360</v>
      </c>
      <c r="U6" s="34">
        <f>IF($I$10&gt;2000,(VLOOKUP($J$12,$AD$25:$AH$33,5,FALSE)),IF($I$10&lt;400,(VLOOKUP($J$12,$AD$25:$AH$33,3,FALSE)),(VLOOKUP($J$12,$AD$25:$AH$33,4))))</f>
        <v>1</v>
      </c>
      <c r="W6" s="46" t="s">
        <v>361</v>
      </c>
      <c r="AA6" s="34">
        <f>IF($I$10&gt;2000,(VLOOKUP($M$12,$AD$25:$AH$33,5,FALSE)),IF($I$10&lt;400,(VLOOKUP($M$12,$AD$25:$AH$33,3,FALSE)),(VLOOKUP($M$12,$AD$25:$AH$33,4))))</f>
        <v>1</v>
      </c>
      <c r="AD6" s="504"/>
      <c r="AE6" s="504"/>
      <c r="AF6" s="504"/>
      <c r="AG6" s="504"/>
      <c r="AH6" s="504"/>
    </row>
    <row r="7" spans="1:34" ht="13" x14ac:dyDescent="0.3">
      <c r="A7" s="403"/>
      <c r="B7" s="403"/>
      <c r="C7" s="404"/>
      <c r="D7" s="489"/>
      <c r="E7" s="403"/>
      <c r="F7" s="404"/>
      <c r="G7" s="489" t="s">
        <v>27</v>
      </c>
      <c r="H7" s="403"/>
      <c r="I7" s="404"/>
      <c r="J7" s="490">
        <v>2019</v>
      </c>
      <c r="K7" s="491"/>
      <c r="L7" s="491"/>
      <c r="M7" s="491"/>
      <c r="AD7" s="505" t="s">
        <v>125</v>
      </c>
      <c r="AE7" s="506"/>
      <c r="AF7" s="509" t="s">
        <v>7</v>
      </c>
      <c r="AG7" s="509"/>
      <c r="AH7" s="510"/>
    </row>
    <row r="8" spans="1:34" ht="15.5" x14ac:dyDescent="0.4">
      <c r="A8" s="492" t="s">
        <v>5</v>
      </c>
      <c r="B8" s="365"/>
      <c r="C8" s="365"/>
      <c r="D8" s="365"/>
      <c r="E8" s="365"/>
      <c r="F8" s="366"/>
      <c r="G8" s="394" t="s">
        <v>28</v>
      </c>
      <c r="H8" s="366"/>
      <c r="I8" s="394" t="s">
        <v>30</v>
      </c>
      <c r="J8" s="365"/>
      <c r="K8" s="365"/>
      <c r="L8" s="365"/>
      <c r="M8" s="365"/>
      <c r="Q8" s="46" t="s">
        <v>362</v>
      </c>
      <c r="U8" s="34">
        <f>IF($J$13="Paved",(HLOOKUP($J$12,'Reference Tables (Segment)'!$S$8:$AA$12,2,FALSE)),(IF($J$13="Gravel",(HLOOKUP($J$12,'Reference Tables (Segment)'!$S$8:$AA$12,3,FALSE)),(IF($J$13="Turf",(HLOOKUP($J$12,'Reference Tables (Segment)'!$S$8:$AA$12,5,FALSE)),HLOOKUP($J$12,'Reference Tables (Segment)'!$S$8:$AA$12,4,FALSE))))))</f>
        <v>1</v>
      </c>
      <c r="W8" s="46" t="s">
        <v>363</v>
      </c>
      <c r="AA8" s="34">
        <f>IF($M$13="Paved",(HLOOKUP($M$12,'Reference Tables (Segment)'!$S$8:$AA$12,2,FALSE)),(IF($M$13="Gravel",(HLOOKUP($M$12,'Reference Tables (Segment)'!$S$8:$AA$12,3,FALSE)),(IF($M$13="Turf",(HLOOKUP($M$12,'Reference Tables (Segment)'!$S$8:$AA$12,5,FALSE)),HLOOKUP($M$12,'Reference Tables (Segment)'!$S$8:$AA$12,4,FALSE))))))</f>
        <v>1</v>
      </c>
      <c r="AD8" s="507"/>
      <c r="AE8" s="508"/>
      <c r="AF8" s="17" t="s">
        <v>131</v>
      </c>
      <c r="AG8" s="17" t="s">
        <v>132</v>
      </c>
      <c r="AH8" s="33" t="s">
        <v>133</v>
      </c>
    </row>
    <row r="9" spans="1:34" ht="13" thickBot="1" x14ac:dyDescent="0.3">
      <c r="A9" s="365" t="s">
        <v>6</v>
      </c>
      <c r="B9" s="365"/>
      <c r="C9" s="365"/>
      <c r="D9" s="365"/>
      <c r="E9" s="365"/>
      <c r="F9" s="366"/>
      <c r="G9" s="483" t="s">
        <v>29</v>
      </c>
      <c r="H9" s="433"/>
      <c r="I9" s="484">
        <v>1</v>
      </c>
      <c r="J9" s="485"/>
      <c r="K9" s="485"/>
      <c r="L9" s="485"/>
      <c r="M9" s="485"/>
      <c r="AD9" s="511">
        <v>9</v>
      </c>
      <c r="AE9" s="349"/>
      <c r="AF9" s="34">
        <v>1.05</v>
      </c>
      <c r="AG9" s="34">
        <f>+($I$10-400)*0.000281+1.05</f>
        <v>5.1525999999999996</v>
      </c>
      <c r="AH9" s="35">
        <v>1.5</v>
      </c>
    </row>
    <row r="10" spans="1:34" ht="16" thickBot="1" x14ac:dyDescent="0.45">
      <c r="A10" s="365" t="s">
        <v>7</v>
      </c>
      <c r="B10" s="365"/>
      <c r="C10" s="488"/>
      <c r="D10" s="148" t="s">
        <v>357</v>
      </c>
      <c r="E10" s="149">
        <v>17800</v>
      </c>
      <c r="F10" s="150" t="s">
        <v>358</v>
      </c>
      <c r="G10" s="364" t="s">
        <v>29</v>
      </c>
      <c r="H10" s="366"/>
      <c r="I10" s="486">
        <v>15000</v>
      </c>
      <c r="J10" s="487"/>
      <c r="K10" s="487"/>
      <c r="L10" s="487"/>
      <c r="M10" s="487"/>
      <c r="N10" s="151" t="str">
        <f>IF(I10&gt;E10,"AADT out of range","AADT OK")</f>
        <v>AADT OK</v>
      </c>
      <c r="Q10" s="46" t="s">
        <v>364</v>
      </c>
      <c r="U10" s="34">
        <f>(+$U$6*$U$8-1)*(IF('Reference Tables (Segment)'!$D$23="No",(('Reference Tables (Segment)'!$G$29+'Reference Tables (Segment)'!$G$34+'Reference Tables (Segment)'!$G$36)/100),(('Reference Tables (Segment)'!$K$29+'Reference Tables (Segment)'!$K$34+'Reference Tables (Segment)'!$K$36)/100)))+1</f>
        <v>1</v>
      </c>
      <c r="W10" s="46" t="s">
        <v>365</v>
      </c>
      <c r="AA10" s="34">
        <f>(+$AA$6*$AA$8-1)*(IF('Reference Tables (Segment)'!$D$23="No",(('Reference Tables (Segment)'!$G$29+'Reference Tables (Segment)'!$G$34+'Reference Tables (Segment)'!$G$36)/100),(('Reference Tables (Segment)'!$K$29+'Reference Tables (Segment)'!$K$34+'Reference Tables (Segment)'!$K$36)/100)))+1</f>
        <v>1</v>
      </c>
      <c r="AD10" s="349">
        <v>9.5</v>
      </c>
      <c r="AE10" s="512"/>
      <c r="AF10" s="34">
        <f>+(AF9+AF11)/2</f>
        <v>1.0350000000000001</v>
      </c>
      <c r="AG10" s="34">
        <f>+(AG9+AG11)/2</f>
        <v>4.3637999999999995</v>
      </c>
      <c r="AH10" s="35">
        <f>+(AH9+AH11)/2</f>
        <v>1.4</v>
      </c>
    </row>
    <row r="11" spans="1:34" x14ac:dyDescent="0.25">
      <c r="A11" s="365" t="s">
        <v>8</v>
      </c>
      <c r="B11" s="365"/>
      <c r="C11" s="365"/>
      <c r="D11" s="365"/>
      <c r="E11" s="365"/>
      <c r="F11" s="366"/>
      <c r="G11" s="353">
        <v>12</v>
      </c>
      <c r="H11" s="366"/>
      <c r="I11" s="467">
        <v>12</v>
      </c>
      <c r="J11" s="468"/>
      <c r="K11" s="468"/>
      <c r="L11" s="468"/>
      <c r="M11" s="468"/>
      <c r="AD11" s="511">
        <v>10</v>
      </c>
      <c r="AE11" s="349"/>
      <c r="AF11" s="34">
        <v>1.02</v>
      </c>
      <c r="AG11" s="34">
        <f>+($I$10-400)*0.000175+1.02</f>
        <v>3.5750000000000002</v>
      </c>
      <c r="AH11" s="35">
        <v>1.3</v>
      </c>
    </row>
    <row r="12" spans="1:34" ht="13" x14ac:dyDescent="0.3">
      <c r="A12" s="365" t="s">
        <v>9</v>
      </c>
      <c r="B12" s="365"/>
      <c r="C12" s="365"/>
      <c r="D12" s="365"/>
      <c r="E12" s="365"/>
      <c r="F12" s="366"/>
      <c r="G12" s="353">
        <v>6</v>
      </c>
      <c r="H12" s="366"/>
      <c r="I12" s="152" t="s">
        <v>359</v>
      </c>
      <c r="J12" s="154">
        <v>6</v>
      </c>
      <c r="K12" s="481" t="s">
        <v>366</v>
      </c>
      <c r="L12" s="482"/>
      <c r="M12" s="153">
        <v>6</v>
      </c>
      <c r="Q12" s="86" t="s">
        <v>309</v>
      </c>
      <c r="AD12" s="513">
        <v>10.5</v>
      </c>
      <c r="AE12" s="513"/>
      <c r="AF12" s="34">
        <f>+(AF11+AF13)/2</f>
        <v>1.0150000000000001</v>
      </c>
      <c r="AG12" s="34">
        <f>+(AG11+AG13)/2</f>
        <v>2.4750000000000001</v>
      </c>
      <c r="AH12" s="35">
        <f>+(AH11+AH13)/2</f>
        <v>1.175</v>
      </c>
    </row>
    <row r="13" spans="1:34" x14ac:dyDescent="0.25">
      <c r="A13" s="365" t="s">
        <v>10</v>
      </c>
      <c r="B13" s="365"/>
      <c r="C13" s="365"/>
      <c r="D13" s="365"/>
      <c r="E13" s="365"/>
      <c r="F13" s="366"/>
      <c r="G13" s="466" t="s">
        <v>154</v>
      </c>
      <c r="H13" s="366"/>
      <c r="I13" s="152" t="s">
        <v>359</v>
      </c>
      <c r="J13" s="154" t="s">
        <v>154</v>
      </c>
      <c r="K13" s="481" t="s">
        <v>366</v>
      </c>
      <c r="L13" s="482"/>
      <c r="M13" s="153" t="s">
        <v>154</v>
      </c>
      <c r="AD13" s="511">
        <v>11</v>
      </c>
      <c r="AE13" s="349"/>
      <c r="AF13" s="34">
        <v>1.01</v>
      </c>
      <c r="AG13" s="34">
        <f>+($I$10-400)*0.000025+1.01</f>
        <v>1.375</v>
      </c>
      <c r="AH13" s="35">
        <v>1.05</v>
      </c>
    </row>
    <row r="14" spans="1:34" x14ac:dyDescent="0.25">
      <c r="A14" s="365" t="s">
        <v>11</v>
      </c>
      <c r="B14" s="365"/>
      <c r="C14" s="365"/>
      <c r="D14" s="365"/>
      <c r="E14" s="365"/>
      <c r="F14" s="366"/>
      <c r="G14" s="353">
        <v>0</v>
      </c>
      <c r="H14" s="366"/>
      <c r="I14" s="479">
        <v>0</v>
      </c>
      <c r="J14" s="480"/>
      <c r="K14" s="480"/>
      <c r="L14" s="480"/>
      <c r="M14" s="480"/>
      <c r="Q14" t="s">
        <v>311</v>
      </c>
      <c r="U14" s="138">
        <f>IF($I$15&gt;0,IF($I$15&lt;=100,100,$I$15),0)</f>
        <v>0</v>
      </c>
      <c r="AD14" s="348">
        <v>11.5</v>
      </c>
      <c r="AE14" s="348"/>
      <c r="AF14" s="34">
        <f>+(AF13+AF15)/2</f>
        <v>1.0049999999999999</v>
      </c>
      <c r="AG14" s="34">
        <f>+(AG13+AG15)/2</f>
        <v>1.1875</v>
      </c>
      <c r="AH14" s="35">
        <f>+(AH13+AH15)/2</f>
        <v>1.0249999999999999</v>
      </c>
    </row>
    <row r="15" spans="1:34" ht="13.5" thickBot="1" x14ac:dyDescent="0.35">
      <c r="A15" s="365" t="s">
        <v>12</v>
      </c>
      <c r="B15" s="365"/>
      <c r="C15" s="365"/>
      <c r="D15" s="365"/>
      <c r="E15" s="365"/>
      <c r="F15" s="366"/>
      <c r="G15" s="353">
        <v>0</v>
      </c>
      <c r="H15" s="366"/>
      <c r="I15" s="477">
        <v>0</v>
      </c>
      <c r="J15" s="478"/>
      <c r="K15" s="478"/>
      <c r="L15" s="478"/>
      <c r="M15" s="478"/>
      <c r="N15" s="15" t="str">
        <f>IF(I14&gt;0,IF(I15=0,"Value of radius must be &gt; 0","Radius Value OK"),"Radius Value OK")</f>
        <v>Radius Value OK</v>
      </c>
      <c r="AD15" s="515">
        <v>12</v>
      </c>
      <c r="AE15" s="338"/>
      <c r="AF15" s="36">
        <v>1</v>
      </c>
      <c r="AG15" s="36">
        <v>1</v>
      </c>
      <c r="AH15" s="37">
        <v>1</v>
      </c>
    </row>
    <row r="16" spans="1:34" x14ac:dyDescent="0.25">
      <c r="A16" s="365" t="s">
        <v>13</v>
      </c>
      <c r="B16" s="365"/>
      <c r="C16" s="365"/>
      <c r="D16" s="365"/>
      <c r="E16" s="365"/>
      <c r="F16" s="366"/>
      <c r="G16" s="466" t="s">
        <v>159</v>
      </c>
      <c r="H16" s="366"/>
      <c r="I16" s="467" t="s">
        <v>159</v>
      </c>
      <c r="J16" s="468"/>
      <c r="K16" s="468"/>
      <c r="L16" s="468"/>
      <c r="M16" s="468"/>
      <c r="Q16" t="s">
        <v>310</v>
      </c>
      <c r="U16" s="138">
        <f>IF($I$14&gt;0,IF($I$14&lt;=100/5280,100/5280,$I$14),0)</f>
        <v>0</v>
      </c>
      <c r="AD16" s="516" t="s">
        <v>175</v>
      </c>
      <c r="AE16" s="517"/>
      <c r="AF16" s="517"/>
      <c r="AG16" s="517"/>
      <c r="AH16" s="517"/>
    </row>
    <row r="17" spans="1:34" x14ac:dyDescent="0.25">
      <c r="A17" s="365" t="s">
        <v>14</v>
      </c>
      <c r="B17" s="365"/>
      <c r="C17" s="365"/>
      <c r="D17" s="365"/>
      <c r="E17" s="365"/>
      <c r="F17" s="366"/>
      <c r="G17" s="364" t="s">
        <v>124</v>
      </c>
      <c r="H17" s="366"/>
      <c r="I17" s="477">
        <v>0</v>
      </c>
      <c r="J17" s="478"/>
      <c r="K17" s="478"/>
      <c r="L17" s="478"/>
      <c r="M17" s="478"/>
      <c r="AD17" s="517"/>
      <c r="AE17" s="517"/>
      <c r="AF17" s="517"/>
      <c r="AG17" s="517"/>
      <c r="AH17" s="517"/>
    </row>
    <row r="18" spans="1:34" x14ac:dyDescent="0.25">
      <c r="A18" s="365" t="s">
        <v>15</v>
      </c>
      <c r="B18" s="365"/>
      <c r="C18" s="365"/>
      <c r="D18" s="365"/>
      <c r="E18" s="365"/>
      <c r="F18" s="366"/>
      <c r="G18" s="353">
        <v>0</v>
      </c>
      <c r="H18" s="366"/>
      <c r="I18" s="477">
        <v>0</v>
      </c>
      <c r="J18" s="478"/>
      <c r="K18" s="478"/>
      <c r="L18" s="478"/>
      <c r="M18" s="478"/>
      <c r="Q18" s="46" t="s">
        <v>313</v>
      </c>
      <c r="U18" s="138">
        <f>IF(I16="Present",1,IF(I16="Not Present",0,0.5))</f>
        <v>0</v>
      </c>
      <c r="AD18" s="517"/>
      <c r="AE18" s="517"/>
      <c r="AF18" s="517"/>
      <c r="AG18" s="517"/>
      <c r="AH18" s="517"/>
    </row>
    <row r="19" spans="1:34" x14ac:dyDescent="0.25">
      <c r="A19" s="365" t="s">
        <v>16</v>
      </c>
      <c r="B19" s="365"/>
      <c r="C19" s="365"/>
      <c r="D19" s="365"/>
      <c r="E19" s="365"/>
      <c r="F19" s="366"/>
      <c r="G19" s="353">
        <v>5</v>
      </c>
      <c r="H19" s="366"/>
      <c r="I19" s="475">
        <v>5</v>
      </c>
      <c r="J19" s="476"/>
      <c r="K19" s="476"/>
      <c r="L19" s="476"/>
      <c r="M19" s="476"/>
      <c r="AD19" s="518"/>
      <c r="AE19" s="518"/>
      <c r="AF19" s="518"/>
      <c r="AG19" s="518"/>
      <c r="AH19" s="518"/>
    </row>
    <row r="20" spans="1:34" ht="13" thickBot="1" x14ac:dyDescent="0.3">
      <c r="A20" s="365" t="s">
        <v>17</v>
      </c>
      <c r="B20" s="365"/>
      <c r="C20" s="365"/>
      <c r="D20" s="365"/>
      <c r="E20" s="365"/>
      <c r="F20" s="366"/>
      <c r="G20" s="466" t="s">
        <v>159</v>
      </c>
      <c r="H20" s="366"/>
      <c r="I20" s="467" t="s">
        <v>159</v>
      </c>
      <c r="J20" s="468"/>
      <c r="K20" s="468"/>
      <c r="L20" s="468"/>
      <c r="M20" s="468"/>
      <c r="Q20" s="46" t="s">
        <v>314</v>
      </c>
      <c r="U20" s="7">
        <f>IF( $U$16&gt;0, ((1.55*$U$16)+(80.2/$U$14)-(0.012*(IF($U$18="Present",TRUE,FALSE))))/(1.55*$U$16), 1)</f>
        <v>1</v>
      </c>
    </row>
    <row r="21" spans="1:34" x14ac:dyDescent="0.25">
      <c r="A21" s="474" t="s">
        <v>178</v>
      </c>
      <c r="B21" s="365"/>
      <c r="C21" s="365"/>
      <c r="D21" s="365"/>
      <c r="E21" s="365"/>
      <c r="F21" s="366"/>
      <c r="G21" s="466" t="s">
        <v>159</v>
      </c>
      <c r="H21" s="366"/>
      <c r="I21" s="467" t="s">
        <v>159</v>
      </c>
      <c r="J21" s="468"/>
      <c r="K21" s="468"/>
      <c r="L21" s="468"/>
      <c r="M21" s="468"/>
      <c r="AD21" s="503" t="s">
        <v>332</v>
      </c>
      <c r="AE21" s="503"/>
      <c r="AF21" s="503"/>
      <c r="AG21" s="503"/>
      <c r="AH21" s="503"/>
    </row>
    <row r="22" spans="1:34" ht="13" thickBot="1" x14ac:dyDescent="0.3">
      <c r="A22" s="365" t="s">
        <v>18</v>
      </c>
      <c r="B22" s="365"/>
      <c r="C22" s="365"/>
      <c r="D22" s="365"/>
      <c r="E22" s="365"/>
      <c r="F22" s="366"/>
      <c r="G22" s="466" t="s">
        <v>159</v>
      </c>
      <c r="H22" s="366"/>
      <c r="I22" s="467" t="s">
        <v>159</v>
      </c>
      <c r="J22" s="468"/>
      <c r="K22" s="468"/>
      <c r="L22" s="468"/>
      <c r="M22" s="468"/>
      <c r="Q22" s="46" t="s">
        <v>315</v>
      </c>
      <c r="U22" s="7">
        <f>IF($U$20&lt;1,1,$U$20)</f>
        <v>1</v>
      </c>
      <c r="AD22" s="504"/>
      <c r="AE22" s="504"/>
      <c r="AF22" s="504"/>
      <c r="AG22" s="504"/>
      <c r="AH22" s="504"/>
    </row>
    <row r="23" spans="1:34" ht="13" x14ac:dyDescent="0.3">
      <c r="A23" s="365" t="s">
        <v>19</v>
      </c>
      <c r="B23" s="365"/>
      <c r="C23" s="365"/>
      <c r="D23" s="365"/>
      <c r="E23" s="365"/>
      <c r="F23" s="366"/>
      <c r="G23" s="353">
        <v>3</v>
      </c>
      <c r="H23" s="366"/>
      <c r="I23" s="467">
        <v>3</v>
      </c>
      <c r="J23" s="468"/>
      <c r="K23" s="468"/>
      <c r="L23" s="468"/>
      <c r="M23" s="468"/>
      <c r="AD23" s="505" t="s">
        <v>126</v>
      </c>
      <c r="AE23" s="506"/>
      <c r="AF23" s="509" t="s">
        <v>7</v>
      </c>
      <c r="AG23" s="509"/>
      <c r="AH23" s="510"/>
    </row>
    <row r="24" spans="1:34" ht="13" x14ac:dyDescent="0.3">
      <c r="A24" s="365" t="s">
        <v>20</v>
      </c>
      <c r="B24" s="365"/>
      <c r="C24" s="365"/>
      <c r="D24" s="365"/>
      <c r="E24" s="365"/>
      <c r="F24" s="366"/>
      <c r="G24" s="466" t="s">
        <v>159</v>
      </c>
      <c r="H24" s="366"/>
      <c r="I24" s="467" t="s">
        <v>159</v>
      </c>
      <c r="J24" s="468"/>
      <c r="K24" s="468"/>
      <c r="L24" s="468"/>
      <c r="M24" s="468"/>
      <c r="AD24" s="507"/>
      <c r="AE24" s="508"/>
      <c r="AF24" s="17" t="s">
        <v>131</v>
      </c>
      <c r="AG24" s="17" t="s">
        <v>132</v>
      </c>
      <c r="AH24" s="33" t="s">
        <v>133</v>
      </c>
    </row>
    <row r="25" spans="1:34" x14ac:dyDescent="0.25">
      <c r="A25" s="365" t="s">
        <v>21</v>
      </c>
      <c r="B25" s="365"/>
      <c r="C25" s="365"/>
      <c r="D25" s="365"/>
      <c r="E25" s="365"/>
      <c r="F25" s="366"/>
      <c r="G25" s="466" t="s">
        <v>159</v>
      </c>
      <c r="H25" s="366"/>
      <c r="I25" s="467" t="s">
        <v>159</v>
      </c>
      <c r="J25" s="468"/>
      <c r="K25" s="468"/>
      <c r="L25" s="468"/>
      <c r="M25" s="468"/>
      <c r="AD25" s="511">
        <v>0</v>
      </c>
      <c r="AE25" s="349"/>
      <c r="AF25" s="34">
        <v>1.1000000000000001</v>
      </c>
      <c r="AG25" s="34">
        <f>+($I$10-400)*0.00025+1.1</f>
        <v>4.75</v>
      </c>
      <c r="AH25" s="35">
        <v>1.5</v>
      </c>
    </row>
    <row r="26" spans="1:34" ht="13" thickBot="1" x14ac:dyDescent="0.3">
      <c r="A26" s="469" t="s">
        <v>22</v>
      </c>
      <c r="B26" s="469"/>
      <c r="C26" s="469"/>
      <c r="D26" s="469"/>
      <c r="E26" s="469"/>
      <c r="F26" s="470"/>
      <c r="G26" s="471">
        <v>1</v>
      </c>
      <c r="H26" s="470"/>
      <c r="I26" s="472">
        <v>1</v>
      </c>
      <c r="J26" s="473"/>
      <c r="K26" s="473"/>
      <c r="L26" s="473"/>
      <c r="M26" s="473"/>
      <c r="AD26" s="349">
        <v>1</v>
      </c>
      <c r="AE26" s="512"/>
      <c r="AF26" s="34">
        <f>+(AF25+AF27)/2</f>
        <v>1.085</v>
      </c>
      <c r="AG26" s="34">
        <f>+(AG25+AG27)/2</f>
        <v>3.9539</v>
      </c>
      <c r="AH26" s="35">
        <f>+(AH25+AH27)/2</f>
        <v>1.4</v>
      </c>
    </row>
    <row r="27" spans="1:34" ht="13.5" customHeight="1" thickTop="1" x14ac:dyDescent="0.25">
      <c r="AD27" s="514">
        <v>2</v>
      </c>
      <c r="AE27" s="512"/>
      <c r="AF27" s="34">
        <v>1.07</v>
      </c>
      <c r="AG27" s="34">
        <f>+($I$10-400)*0.000143+1.07</f>
        <v>3.1577999999999999</v>
      </c>
      <c r="AH27" s="35">
        <v>1.3</v>
      </c>
    </row>
    <row r="28" spans="1:34" ht="53.25" customHeight="1" x14ac:dyDescent="0.25">
      <c r="B28" s="333" t="s">
        <v>904</v>
      </c>
      <c r="C28" s="333"/>
      <c r="D28" s="333"/>
      <c r="E28" s="333"/>
      <c r="F28" s="333"/>
      <c r="G28" s="333"/>
      <c r="H28" s="333"/>
      <c r="I28" s="333"/>
      <c r="J28" s="333"/>
      <c r="K28" s="333"/>
      <c r="L28" s="333"/>
      <c r="M28" s="333"/>
      <c r="AD28" s="349">
        <v>3</v>
      </c>
      <c r="AE28" s="512"/>
      <c r="AF28" s="34">
        <f>+(AF27+AF29)/2</f>
        <v>1.0449999999999999</v>
      </c>
      <c r="AG28" s="34">
        <f>+(AG27+AG29)/2</f>
        <v>2.6820249999999999</v>
      </c>
      <c r="AH28" s="35">
        <f>+(AH27+AH29)/2</f>
        <v>1.2250000000000001</v>
      </c>
    </row>
    <row r="29" spans="1:34" ht="13.5" customHeight="1" thickBot="1" x14ac:dyDescent="0.3">
      <c r="AD29" s="514">
        <v>4</v>
      </c>
      <c r="AE29" s="512"/>
      <c r="AF29" s="34">
        <v>1.02</v>
      </c>
      <c r="AG29" s="34">
        <f>+($I$10-400)*0.00008125+1.02</f>
        <v>2.2062499999999998</v>
      </c>
      <c r="AH29" s="35">
        <v>1.1499999999999999</v>
      </c>
    </row>
    <row r="30" spans="1:34" ht="14" thickTop="1" thickBot="1" x14ac:dyDescent="0.3">
      <c r="A30" s="459" t="s">
        <v>31</v>
      </c>
      <c r="B30" s="460"/>
      <c r="C30" s="460"/>
      <c r="D30" s="460"/>
      <c r="E30" s="460"/>
      <c r="F30" s="460"/>
      <c r="G30" s="460"/>
      <c r="H30" s="460"/>
      <c r="I30" s="460"/>
      <c r="J30" s="460"/>
      <c r="K30" s="460"/>
      <c r="L30" s="460"/>
      <c r="M30" s="460"/>
      <c r="AD30" s="349">
        <v>5</v>
      </c>
      <c r="AE30" s="512"/>
      <c r="AF30" s="34">
        <f>+(AF29+AF31)/2</f>
        <v>1.01</v>
      </c>
      <c r="AG30" s="34">
        <f>+(AG29+AG31)/2</f>
        <v>1.6031249999999999</v>
      </c>
      <c r="AH30" s="35">
        <f>+(AH29+AH31)/2</f>
        <v>1.075</v>
      </c>
    </row>
    <row r="31" spans="1:34" x14ac:dyDescent="0.25">
      <c r="A31" s="173" t="s">
        <v>32</v>
      </c>
      <c r="B31" s="174" t="s">
        <v>33</v>
      </c>
      <c r="C31" s="175" t="s">
        <v>34</v>
      </c>
      <c r="D31" s="175" t="s">
        <v>35</v>
      </c>
      <c r="E31" s="175" t="s">
        <v>36</v>
      </c>
      <c r="F31" s="175" t="s">
        <v>37</v>
      </c>
      <c r="G31" s="175" t="s">
        <v>38</v>
      </c>
      <c r="H31" s="175" t="s">
        <v>39</v>
      </c>
      <c r="I31" s="175" t="s">
        <v>40</v>
      </c>
      <c r="J31" s="175" t="s">
        <v>41</v>
      </c>
      <c r="K31" s="175" t="s">
        <v>42</v>
      </c>
      <c r="L31" s="175" t="s">
        <v>43</v>
      </c>
      <c r="M31" s="174" t="s">
        <v>44</v>
      </c>
      <c r="AD31" s="514">
        <v>6</v>
      </c>
      <c r="AE31" s="512"/>
      <c r="AF31" s="34">
        <v>1</v>
      </c>
      <c r="AG31" s="34">
        <v>1</v>
      </c>
      <c r="AH31" s="35">
        <v>1</v>
      </c>
    </row>
    <row r="32" spans="1:34" ht="15.75" customHeight="1" x14ac:dyDescent="0.25">
      <c r="A32" s="461" t="s">
        <v>45</v>
      </c>
      <c r="B32" s="455" t="s">
        <v>46</v>
      </c>
      <c r="C32" s="455" t="s">
        <v>47</v>
      </c>
      <c r="D32" s="465" t="s">
        <v>177</v>
      </c>
      <c r="E32" s="455" t="s">
        <v>48</v>
      </c>
      <c r="F32" s="455" t="s">
        <v>49</v>
      </c>
      <c r="G32" s="455" t="s">
        <v>50</v>
      </c>
      <c r="H32" s="455" t="s">
        <v>51</v>
      </c>
      <c r="I32" s="455" t="s">
        <v>52</v>
      </c>
      <c r="J32" s="455" t="s">
        <v>53</v>
      </c>
      <c r="K32" s="455" t="s">
        <v>54</v>
      </c>
      <c r="L32" s="455" t="s">
        <v>55</v>
      </c>
      <c r="M32" s="451" t="s">
        <v>215</v>
      </c>
      <c r="AD32" s="349">
        <v>7</v>
      </c>
      <c r="AE32" s="512"/>
      <c r="AF32" s="34">
        <f>+(AF31+AF33)/2</f>
        <v>0.99</v>
      </c>
      <c r="AG32" s="34">
        <f>+(AG31+AG33)/2</f>
        <v>0.48812499999999992</v>
      </c>
      <c r="AH32" s="35">
        <f>+(AH31+AH33)/2</f>
        <v>0.93500000000000005</v>
      </c>
    </row>
    <row r="33" spans="1:34" ht="15" customHeight="1" thickBot="1" x14ac:dyDescent="0.3">
      <c r="A33" s="462"/>
      <c r="B33" s="456"/>
      <c r="C33" s="456"/>
      <c r="D33" s="456"/>
      <c r="E33" s="456"/>
      <c r="F33" s="456"/>
      <c r="G33" s="456"/>
      <c r="H33" s="456"/>
      <c r="I33" s="456"/>
      <c r="J33" s="456"/>
      <c r="K33" s="456"/>
      <c r="L33" s="456"/>
      <c r="M33" s="452"/>
      <c r="AD33" s="515">
        <v>8</v>
      </c>
      <c r="AE33" s="338"/>
      <c r="AF33" s="36">
        <v>0.98</v>
      </c>
      <c r="AG33" s="36">
        <f>+(($I$10-400)*-0.00006875)+0.98</f>
        <v>-2.375000000000016E-2</v>
      </c>
      <c r="AH33" s="37">
        <v>0.87</v>
      </c>
    </row>
    <row r="34" spans="1:34" x14ac:dyDescent="0.25">
      <c r="A34" s="462"/>
      <c r="B34" s="456"/>
      <c r="C34" s="456"/>
      <c r="D34" s="456"/>
      <c r="E34" s="456"/>
      <c r="F34" s="456"/>
      <c r="G34" s="456"/>
      <c r="H34" s="456"/>
      <c r="I34" s="456"/>
      <c r="J34" s="456"/>
      <c r="K34" s="456"/>
      <c r="L34" s="456"/>
      <c r="M34" s="452"/>
      <c r="AD34" s="516" t="s">
        <v>176</v>
      </c>
      <c r="AE34" s="517"/>
      <c r="AF34" s="517"/>
      <c r="AG34" s="517"/>
      <c r="AH34" s="517"/>
    </row>
    <row r="35" spans="1:34" x14ac:dyDescent="0.25">
      <c r="A35" s="463"/>
      <c r="B35" s="464"/>
      <c r="C35" s="464"/>
      <c r="D35" s="464"/>
      <c r="E35" s="464"/>
      <c r="F35" s="464"/>
      <c r="G35" s="464"/>
      <c r="H35" s="464"/>
      <c r="I35" s="464"/>
      <c r="J35" s="464"/>
      <c r="K35" s="464"/>
      <c r="L35" s="464"/>
      <c r="M35" s="453"/>
      <c r="AD35" s="517"/>
      <c r="AE35" s="517"/>
      <c r="AF35" s="517"/>
      <c r="AG35" s="517"/>
      <c r="AH35" s="517"/>
    </row>
    <row r="36" spans="1:34" ht="13" x14ac:dyDescent="0.3">
      <c r="A36" s="176" t="s">
        <v>56</v>
      </c>
      <c r="B36" s="177" t="s">
        <v>57</v>
      </c>
      <c r="C36" s="178" t="s">
        <v>58</v>
      </c>
      <c r="D36" s="178" t="s">
        <v>59</v>
      </c>
      <c r="E36" s="178" t="s">
        <v>60</v>
      </c>
      <c r="F36" s="178" t="s">
        <v>61</v>
      </c>
      <c r="G36" s="178" t="s">
        <v>62</v>
      </c>
      <c r="H36" s="178" t="s">
        <v>64</v>
      </c>
      <c r="I36" s="178" t="s">
        <v>63</v>
      </c>
      <c r="J36" s="178" t="s">
        <v>65</v>
      </c>
      <c r="K36" s="178" t="s">
        <v>66</v>
      </c>
      <c r="L36" s="178" t="s">
        <v>67</v>
      </c>
      <c r="M36" s="177" t="s">
        <v>68</v>
      </c>
      <c r="AD36" s="517"/>
      <c r="AE36" s="517"/>
      <c r="AF36" s="517"/>
      <c r="AG36" s="517"/>
      <c r="AH36" s="517"/>
    </row>
    <row r="37" spans="1:34" x14ac:dyDescent="0.25">
      <c r="A37" s="454" t="s">
        <v>69</v>
      </c>
      <c r="B37" s="455" t="s">
        <v>70</v>
      </c>
      <c r="C37" s="458" t="s">
        <v>71</v>
      </c>
      <c r="D37" s="455" t="s">
        <v>72</v>
      </c>
      <c r="E37" s="458" t="s">
        <v>334</v>
      </c>
      <c r="F37" s="455" t="s">
        <v>73</v>
      </c>
      <c r="G37" s="455" t="s">
        <v>74</v>
      </c>
      <c r="H37" s="455" t="s">
        <v>74</v>
      </c>
      <c r="I37" s="458" t="s">
        <v>335</v>
      </c>
      <c r="J37" s="455" t="s">
        <v>75</v>
      </c>
      <c r="K37" s="455" t="s">
        <v>76</v>
      </c>
      <c r="L37" s="455" t="s">
        <v>74</v>
      </c>
      <c r="M37" s="443" t="s">
        <v>77</v>
      </c>
      <c r="AD37" s="518"/>
      <c r="AE37" s="518"/>
      <c r="AF37" s="518"/>
      <c r="AG37" s="518"/>
      <c r="AH37" s="518"/>
    </row>
    <row r="38" spans="1:34" ht="13.5" customHeight="1" x14ac:dyDescent="0.25">
      <c r="A38" s="444"/>
      <c r="B38" s="456"/>
      <c r="C38" s="456"/>
      <c r="D38" s="456"/>
      <c r="E38" s="456"/>
      <c r="F38" s="456"/>
      <c r="G38" s="456"/>
      <c r="H38" s="456"/>
      <c r="I38" s="456"/>
      <c r="J38" s="456"/>
      <c r="K38" s="456"/>
      <c r="L38" s="456"/>
      <c r="M38" s="444"/>
    </row>
    <row r="39" spans="1:34" x14ac:dyDescent="0.25">
      <c r="A39" s="444"/>
      <c r="B39" s="456"/>
      <c r="C39" s="456"/>
      <c r="D39" s="456"/>
      <c r="E39" s="456"/>
      <c r="F39" s="456"/>
      <c r="G39" s="456"/>
      <c r="H39" s="456"/>
      <c r="I39" s="456"/>
      <c r="J39" s="456"/>
      <c r="K39" s="456"/>
      <c r="L39" s="456"/>
      <c r="M39" s="444"/>
    </row>
    <row r="40" spans="1:34" ht="13" thickBot="1" x14ac:dyDescent="0.3">
      <c r="A40" s="445"/>
      <c r="B40" s="457"/>
      <c r="C40" s="457"/>
      <c r="D40" s="457"/>
      <c r="E40" s="457"/>
      <c r="F40" s="457"/>
      <c r="G40" s="457"/>
      <c r="H40" s="457"/>
      <c r="I40" s="457"/>
      <c r="J40" s="457"/>
      <c r="K40" s="457"/>
      <c r="L40" s="457"/>
      <c r="M40" s="445"/>
    </row>
    <row r="41" spans="1:34" ht="13" thickBot="1" x14ac:dyDescent="0.3">
      <c r="A41" s="179">
        <f>((IF($I$10&gt;2000,(VLOOKUP($I$11,$AD$9:$AH$15,5,FALSE)),IF($I$10&lt;400,(VLOOKUP($I$11,$AD$9:$AH$15,3,FALSE)),(VLOOKUP($I$11,$AD$9:$AH$15,4)))))-1)*(IF( 'Reference Tables (Segment)'!D23="No", (('Reference Tables (Segment)'!$G$29+'Reference Tables (Segment)'!$G$34+'Reference Tables (Segment)'!$G$36)/100),(('Reference Tables (Segment)'!$K$29+'Reference Tables (Segment)'!$K$34+'Reference Tables (Segment)'!$K$36)/100)))+1</f>
        <v>1</v>
      </c>
      <c r="B41" s="179">
        <f>($U$10+$AA$10)/2</f>
        <v>1</v>
      </c>
      <c r="C41" s="180">
        <f>+U22</f>
        <v>1</v>
      </c>
      <c r="D41" s="180">
        <f>IF($I$17&gt;=0.02,(1.06+3*($I$17-0.02)),IF($I$17&lt;0.01,1,(1+6*($I$17-0.01))))</f>
        <v>1</v>
      </c>
      <c r="E41" s="180">
        <f>IF($I$18&gt;6,1.16,(IF($I$18&lt;=3,1,1.1)))</f>
        <v>1</v>
      </c>
      <c r="F41" s="180">
        <f>IF($I$19&gt;5,(0.322+$I$19*(0.05-0.005*LN($I$10)))/(0.322+5*(0.05-0.005*LN($I$10))),1)</f>
        <v>1</v>
      </c>
      <c r="G41" s="180">
        <f>IF(I22="Present",1,IF($I$20="Present",0.94,1))</f>
        <v>1</v>
      </c>
      <c r="H41" s="180">
        <f>IF($I$21="Present (1 lane)",0.75,IF($I$21="Present (2 lanes)", 0.65, 1))</f>
        <v>1</v>
      </c>
      <c r="I41" s="180">
        <f>IF($I$22="Not Present",1,IF($I$19&lt;=5,1,(1-(0.7*0.5*((0.0047*$I$19)+($I$19*$I$19*0.0024))/(1.199+(0.0047*$I$19)+(0.0024*$I$19*$I$19))))))</f>
        <v>1</v>
      </c>
      <c r="J41" s="180">
        <f>EXP($I$23*0.0668-0.6869)/EXP(-0.4865)</f>
        <v>1</v>
      </c>
      <c r="K41" s="180">
        <f>IF($I$24="Present",(1-((1-(0.72*IF('Reference Tables (Segment)'!$E$45="No",'Reference Tables (Segment)'!$C$49,'Reference Tables (Segment)'!$I$49))-(0.83*IF('Reference Tables (Segment)'!$E$45="No",'Reference Tables (Segment)'!$E$49,'Reference Tables (Segment)'!$K$49)))*IF('Reference Tables (Segment)'!$E$45="No",'Reference Tables (Segment)'!$F$49,'Reference Tables (Segment)'!$L$49))),1)</f>
        <v>1</v>
      </c>
      <c r="L41" s="180">
        <f>IF($I$25="Present",0.93,1)</f>
        <v>1</v>
      </c>
      <c r="M41" s="181">
        <f>+A41*B41*C41*D41*E41*F41*G41*H41*I41*J41*K41*L41</f>
        <v>1</v>
      </c>
    </row>
    <row r="42" spans="1:34" x14ac:dyDescent="0.25">
      <c r="B42" s="52"/>
    </row>
    <row r="43" spans="1:34" x14ac:dyDescent="0.25">
      <c r="B43" s="53"/>
    </row>
    <row r="44" spans="1:34" ht="13" thickBot="1" x14ac:dyDescent="0.3"/>
    <row r="45" spans="1:34" ht="14" thickTop="1" thickBot="1" x14ac:dyDescent="0.3">
      <c r="A45" s="371" t="s">
        <v>78</v>
      </c>
      <c r="B45" s="414"/>
      <c r="C45" s="414"/>
      <c r="D45" s="414"/>
      <c r="E45" s="414"/>
      <c r="F45" s="414"/>
      <c r="G45" s="414"/>
      <c r="H45" s="414"/>
      <c r="I45" s="446"/>
      <c r="J45" s="446"/>
      <c r="K45" s="446"/>
      <c r="L45" s="446"/>
      <c r="M45" s="446"/>
    </row>
    <row r="46" spans="1:34" x14ac:dyDescent="0.25">
      <c r="A46" s="447" t="s">
        <v>32</v>
      </c>
      <c r="B46" s="438"/>
      <c r="C46" s="182" t="s">
        <v>33</v>
      </c>
      <c r="D46" s="448" t="s">
        <v>34</v>
      </c>
      <c r="E46" s="438"/>
      <c r="F46" s="448" t="s">
        <v>35</v>
      </c>
      <c r="G46" s="438"/>
      <c r="H46" s="448" t="s">
        <v>36</v>
      </c>
      <c r="I46" s="438"/>
      <c r="J46" s="10" t="s">
        <v>37</v>
      </c>
      <c r="K46" s="10" t="s">
        <v>38</v>
      </c>
      <c r="L46" s="449" t="s">
        <v>39</v>
      </c>
      <c r="M46" s="450"/>
    </row>
    <row r="47" spans="1:34" ht="26" x14ac:dyDescent="0.25">
      <c r="A47" s="436" t="s">
        <v>79</v>
      </c>
      <c r="B47" s="433"/>
      <c r="C47" s="183" t="s">
        <v>80</v>
      </c>
      <c r="D47" s="439" t="s">
        <v>81</v>
      </c>
      <c r="E47" s="404"/>
      <c r="F47" s="432" t="s">
        <v>82</v>
      </c>
      <c r="G47" s="433"/>
      <c r="H47" s="432" t="s">
        <v>83</v>
      </c>
      <c r="I47" s="433"/>
      <c r="J47" s="4" t="s">
        <v>84</v>
      </c>
      <c r="K47" s="4" t="s">
        <v>22</v>
      </c>
      <c r="L47" s="440" t="s">
        <v>316</v>
      </c>
      <c r="M47" s="441"/>
    </row>
    <row r="48" spans="1:34" ht="25" x14ac:dyDescent="0.25">
      <c r="A48" s="437"/>
      <c r="B48" s="438"/>
      <c r="C48" s="184" t="s">
        <v>338</v>
      </c>
      <c r="D48" s="442" t="s">
        <v>85</v>
      </c>
      <c r="E48" s="366"/>
      <c r="F48" s="410" t="s">
        <v>339</v>
      </c>
      <c r="G48" s="366"/>
      <c r="H48" s="412" t="s">
        <v>86</v>
      </c>
      <c r="I48" s="366"/>
      <c r="J48" s="5" t="s">
        <v>87</v>
      </c>
      <c r="K48" s="6"/>
      <c r="L48" s="367" t="s">
        <v>851</v>
      </c>
      <c r="M48" s="431"/>
    </row>
    <row r="49" spans="1:14" x14ac:dyDescent="0.25">
      <c r="A49" s="365" t="s">
        <v>88</v>
      </c>
      <c r="B49" s="366"/>
      <c r="C49" s="185">
        <f>+I10*I9*365*0.000001*EXP(-0.312)</f>
        <v>4.0075988670500111</v>
      </c>
      <c r="D49" s="434">
        <f>0.236/I9</f>
        <v>0.23599999999999999</v>
      </c>
      <c r="E49" s="435"/>
      <c r="F49" s="347">
        <f>+'Reference Tables (Segment)'!E15/100</f>
        <v>1</v>
      </c>
      <c r="G49" s="423"/>
      <c r="H49" s="347">
        <f>+C49*F49</f>
        <v>4.0075988670500111</v>
      </c>
      <c r="I49" s="382"/>
      <c r="J49" s="34">
        <f>+M41</f>
        <v>1</v>
      </c>
      <c r="K49" s="34">
        <f>+$I$26</f>
        <v>1</v>
      </c>
      <c r="L49" s="424">
        <f>+H49*J49*K49</f>
        <v>4.0075988670500111</v>
      </c>
      <c r="M49" s="425"/>
      <c r="N49" s="238"/>
    </row>
    <row r="50" spans="1:14" x14ac:dyDescent="0.25">
      <c r="A50" s="365" t="s">
        <v>89</v>
      </c>
      <c r="B50" s="366"/>
      <c r="C50" s="186" t="s">
        <v>29</v>
      </c>
      <c r="D50" s="364" t="s">
        <v>29</v>
      </c>
      <c r="E50" s="366"/>
      <c r="F50" s="347">
        <f>+IF('Reference Tables (Segment)'!$D$8="No",('Reference Tables (Segment)'!$E$13/100),('Reference Tables (Segment)'!$H$13/100))</f>
        <v>0.32100000000000001</v>
      </c>
      <c r="G50" s="423"/>
      <c r="H50" s="347">
        <f>+C49*F50</f>
        <v>1.2864392363230537</v>
      </c>
      <c r="I50" s="382"/>
      <c r="J50" s="34">
        <f>+M41</f>
        <v>1</v>
      </c>
      <c r="K50" s="34">
        <f>+$I$26</f>
        <v>1</v>
      </c>
      <c r="L50" s="424">
        <f>+H50*J50*K50</f>
        <v>1.2864392363230537</v>
      </c>
      <c r="M50" s="425"/>
      <c r="N50" s="238"/>
    </row>
    <row r="51" spans="1:14" ht="15.75" customHeight="1" thickBot="1" x14ac:dyDescent="0.3">
      <c r="A51" s="426" t="s">
        <v>90</v>
      </c>
      <c r="B51" s="427"/>
      <c r="C51" s="187" t="s">
        <v>29</v>
      </c>
      <c r="D51" s="405" t="s">
        <v>29</v>
      </c>
      <c r="E51" s="379"/>
      <c r="F51" s="336">
        <f>+IF('Reference Tables (Segment)'!$D$8="No",('Reference Tables (Segment)'!$E$14/100),('Reference Tables (Segment)'!$H$14/100))</f>
        <v>0.67900000000000005</v>
      </c>
      <c r="G51" s="428"/>
      <c r="H51" s="336">
        <f>+C49*F51</f>
        <v>2.7211596307269579</v>
      </c>
      <c r="I51" s="380"/>
      <c r="J51" s="36">
        <f>+M41</f>
        <v>1</v>
      </c>
      <c r="K51" s="36">
        <f>+$I$26</f>
        <v>1</v>
      </c>
      <c r="L51" s="429">
        <f>+H51*J51*K51</f>
        <v>2.7211596307269579</v>
      </c>
      <c r="M51" s="430"/>
      <c r="N51" s="238"/>
    </row>
    <row r="54" spans="1:14" ht="13" thickBot="1" x14ac:dyDescent="0.3"/>
    <row r="55" spans="1:14" ht="14" thickTop="1" thickBot="1" x14ac:dyDescent="0.3">
      <c r="A55" s="371" t="s">
        <v>91</v>
      </c>
      <c r="B55" s="414"/>
      <c r="C55" s="414"/>
      <c r="D55" s="414"/>
      <c r="E55" s="414"/>
      <c r="F55" s="414"/>
      <c r="G55" s="414"/>
      <c r="H55" s="415"/>
      <c r="I55" s="415"/>
      <c r="J55" s="415"/>
      <c r="K55" s="415"/>
      <c r="L55" s="415"/>
      <c r="M55" s="415"/>
    </row>
    <row r="56" spans="1:14" x14ac:dyDescent="0.25">
      <c r="A56" s="416" t="s">
        <v>32</v>
      </c>
      <c r="B56" s="417"/>
      <c r="C56" s="10" t="s">
        <v>33</v>
      </c>
      <c r="D56" s="418" t="s">
        <v>34</v>
      </c>
      <c r="E56" s="419"/>
      <c r="F56" s="418" t="s">
        <v>35</v>
      </c>
      <c r="G56" s="419"/>
      <c r="H56" s="420" t="s">
        <v>36</v>
      </c>
      <c r="I56" s="421"/>
      <c r="J56" s="418" t="s">
        <v>37</v>
      </c>
      <c r="K56" s="419"/>
      <c r="L56" s="420" t="s">
        <v>38</v>
      </c>
      <c r="M56" s="422"/>
    </row>
    <row r="57" spans="1:14" ht="59.25" customHeight="1" x14ac:dyDescent="0.25">
      <c r="A57" s="359" t="s">
        <v>92</v>
      </c>
      <c r="B57" s="360"/>
      <c r="C57" s="4" t="s">
        <v>96</v>
      </c>
      <c r="D57" s="358" t="s">
        <v>93</v>
      </c>
      <c r="E57" s="366"/>
      <c r="F57" s="358" t="s">
        <v>94</v>
      </c>
      <c r="G57" s="360"/>
      <c r="H57" s="358" t="s">
        <v>95</v>
      </c>
      <c r="I57" s="360"/>
      <c r="J57" s="358" t="s">
        <v>97</v>
      </c>
      <c r="K57" s="360"/>
      <c r="L57" s="358" t="s">
        <v>98</v>
      </c>
      <c r="M57" s="359"/>
    </row>
    <row r="58" spans="1:14" ht="51" customHeight="1" x14ac:dyDescent="0.25">
      <c r="A58" s="359"/>
      <c r="B58" s="360"/>
      <c r="C58" s="51" t="s">
        <v>341</v>
      </c>
      <c r="D58" s="408" t="s">
        <v>849</v>
      </c>
      <c r="E58" s="409"/>
      <c r="F58" s="410" t="s">
        <v>340</v>
      </c>
      <c r="G58" s="411"/>
      <c r="H58" s="408" t="s">
        <v>850</v>
      </c>
      <c r="I58" s="409"/>
      <c r="J58" s="410" t="s">
        <v>340</v>
      </c>
      <c r="K58" s="411"/>
      <c r="L58" s="412" t="s">
        <v>99</v>
      </c>
      <c r="M58" s="413"/>
    </row>
    <row r="59" spans="1:14" x14ac:dyDescent="0.25">
      <c r="A59" s="365" t="s">
        <v>88</v>
      </c>
      <c r="B59" s="366"/>
      <c r="C59" s="7">
        <f>+C68+C75</f>
        <v>1</v>
      </c>
      <c r="D59" s="347">
        <f>+$L$49</f>
        <v>4.0075988670500111</v>
      </c>
      <c r="E59" s="349"/>
      <c r="F59" s="347">
        <f>+F68+F75</f>
        <v>0.99999999999999989</v>
      </c>
      <c r="G59" s="382"/>
      <c r="H59" s="347">
        <f>+$L$50</f>
        <v>1.2864392363230537</v>
      </c>
      <c r="I59" s="349"/>
      <c r="J59" s="347">
        <v>1</v>
      </c>
      <c r="K59" s="382"/>
      <c r="L59" s="347">
        <f>+$L$51</f>
        <v>2.7211596307269579</v>
      </c>
      <c r="M59" s="348"/>
    </row>
    <row r="60" spans="1:14" ht="13" thickBot="1" x14ac:dyDescent="0.3">
      <c r="A60" s="403"/>
      <c r="B60" s="404"/>
      <c r="C60" s="3"/>
      <c r="D60" s="405" t="s">
        <v>100</v>
      </c>
      <c r="E60" s="406"/>
      <c r="F60" s="407"/>
      <c r="G60" s="397"/>
      <c r="H60" s="396" t="s">
        <v>101</v>
      </c>
      <c r="I60" s="397"/>
      <c r="J60" s="342"/>
      <c r="K60" s="338"/>
      <c r="L60" s="396" t="s">
        <v>102</v>
      </c>
      <c r="M60" s="398"/>
    </row>
    <row r="61" spans="1:14" ht="13.5" thickBot="1" x14ac:dyDescent="0.35">
      <c r="A61" s="384" t="s">
        <v>103</v>
      </c>
      <c r="B61" s="385"/>
      <c r="C61" s="385"/>
      <c r="D61" s="385"/>
      <c r="E61" s="385"/>
      <c r="F61" s="385"/>
      <c r="G61" s="385"/>
      <c r="H61" s="386"/>
      <c r="I61" s="386"/>
      <c r="J61" s="386"/>
      <c r="K61" s="386"/>
      <c r="L61" s="386"/>
      <c r="M61" s="386"/>
    </row>
    <row r="62" spans="1:14" x14ac:dyDescent="0.25">
      <c r="A62" s="399" t="s">
        <v>104</v>
      </c>
      <c r="B62" s="400"/>
      <c r="C62" s="142">
        <f>IF('Reference Tables (Segment)'!$D$23="No",('Reference Tables (Segment)'!$G25/100),('Reference Tables (Segment)'!$K25/100))</f>
        <v>0.122</v>
      </c>
      <c r="D62" s="389">
        <f>+$L$49*C62</f>
        <v>0.48892706178010137</v>
      </c>
      <c r="E62" s="390"/>
      <c r="F62" s="401">
        <f>IF('Reference Tables (Segment)'!$D$23="No",'Reference Tables (Segment)'!$E25/100,'Reference Tables (Segment)'!$I25/100)</f>
        <v>3.9E-2</v>
      </c>
      <c r="G62" s="402"/>
      <c r="H62" s="389">
        <f>+$L$50*F62</f>
        <v>5.0171130216599094E-2</v>
      </c>
      <c r="I62" s="390"/>
      <c r="J62" s="401">
        <f>IF('Reference Tables (Segment)'!$D$23="No",'Reference Tables (Segment)'!$F25/100,'Reference Tables (Segment)'!$J25/100)</f>
        <v>0.185</v>
      </c>
      <c r="K62" s="402"/>
      <c r="L62" s="389">
        <f>+$L$51*J62</f>
        <v>0.50341453168448724</v>
      </c>
      <c r="M62" s="391"/>
    </row>
    <row r="63" spans="1:14" ht="13" x14ac:dyDescent="0.3">
      <c r="A63" s="393" t="s">
        <v>865</v>
      </c>
      <c r="B63" s="366"/>
      <c r="C63" s="237" t="s">
        <v>848</v>
      </c>
      <c r="D63" s="347">
        <f>'Ped&amp;Bike (Segment Results)'!J44</f>
        <v>1.4952456851195155E-2</v>
      </c>
      <c r="E63" s="382"/>
      <c r="F63" s="394" t="s">
        <v>848</v>
      </c>
      <c r="G63" s="395"/>
      <c r="H63" s="347">
        <f>'Ped&amp;Bike (Segment Results)'!J44</f>
        <v>1.4952456851195155E-2</v>
      </c>
      <c r="I63" s="382"/>
      <c r="J63" s="394" t="s">
        <v>848</v>
      </c>
      <c r="K63" s="395"/>
      <c r="L63" s="347">
        <v>0</v>
      </c>
      <c r="M63" s="383"/>
    </row>
    <row r="64" spans="1:14" ht="13" x14ac:dyDescent="0.3">
      <c r="A64" s="393" t="s">
        <v>866</v>
      </c>
      <c r="B64" s="366"/>
      <c r="C64" s="237" t="s">
        <v>848</v>
      </c>
      <c r="D64" s="347">
        <f>'Ped&amp;Bike (Segment Results)'!C44</f>
        <v>1.6414564264112905E-2</v>
      </c>
      <c r="E64" s="382"/>
      <c r="F64" s="394" t="s">
        <v>848</v>
      </c>
      <c r="G64" s="395"/>
      <c r="H64" s="347">
        <f>'Ped&amp;Bike (Segment Results)'!C44</f>
        <v>1.6414564264112905E-2</v>
      </c>
      <c r="I64" s="382"/>
      <c r="J64" s="394" t="s">
        <v>848</v>
      </c>
      <c r="K64" s="395"/>
      <c r="L64" s="347">
        <v>0</v>
      </c>
      <c r="M64" s="383"/>
    </row>
    <row r="65" spans="1:13" x14ac:dyDescent="0.25">
      <c r="A65" s="365" t="s">
        <v>107</v>
      </c>
      <c r="B65" s="366"/>
      <c r="C65" s="142">
        <f>IF('Reference Tables (Segment)'!$D$23="No",('Reference Tables (Segment)'!$G28/100),('Reference Tables (Segment)'!$K28/100))</f>
        <v>2.5000000000000001E-2</v>
      </c>
      <c r="D65" s="347">
        <f t="shared" ref="D65:D68" si="0">+$L$49*C65</f>
        <v>0.10018997167625028</v>
      </c>
      <c r="E65" s="382"/>
      <c r="F65" s="353">
        <f>IF('Reference Tables (Segment)'!$D$23="No",'Reference Tables (Segment)'!$E28/100,'Reference Tables (Segment)'!$I28/100)</f>
        <v>3.7999999999999999E-2</v>
      </c>
      <c r="G65" s="349"/>
      <c r="H65" s="347">
        <f t="shared" ref="H65:H68" si="1">+$L$50*F65</f>
        <v>4.8884690980276035E-2</v>
      </c>
      <c r="I65" s="382"/>
      <c r="J65" s="353">
        <f>IF('Reference Tables (Segment)'!$D$23="No",'Reference Tables (Segment)'!$F28/100,'Reference Tables (Segment)'!$J28/100)</f>
        <v>1.4999999999999999E-2</v>
      </c>
      <c r="K65" s="349"/>
      <c r="L65" s="347">
        <f t="shared" ref="L65:L68" si="2">+$L$51*J65</f>
        <v>4.081739446090437E-2</v>
      </c>
      <c r="M65" s="383"/>
    </row>
    <row r="66" spans="1:13" x14ac:dyDescent="0.25">
      <c r="A66" s="365" t="s">
        <v>108</v>
      </c>
      <c r="B66" s="366"/>
      <c r="C66" s="142">
        <f>IF('Reference Tables (Segment)'!$D$23="No",('Reference Tables (Segment)'!$G29/100),('Reference Tables (Segment)'!$K29/100))</f>
        <v>0.52500000000000002</v>
      </c>
      <c r="D66" s="347">
        <f t="shared" si="0"/>
        <v>2.103989405201256</v>
      </c>
      <c r="E66" s="382"/>
      <c r="F66" s="353">
        <f>IF('Reference Tables (Segment)'!$D$23="No",'Reference Tables (Segment)'!$E29/100,'Reference Tables (Segment)'!$I29/100)</f>
        <v>0.55399999999999994</v>
      </c>
      <c r="G66" s="349"/>
      <c r="H66" s="347">
        <f t="shared" si="1"/>
        <v>0.7126873369229717</v>
      </c>
      <c r="I66" s="382"/>
      <c r="J66" s="353">
        <f>IF('Reference Tables (Segment)'!$D$23="No",'Reference Tables (Segment)'!$F29/100,'Reference Tables (Segment)'!$J29/100)</f>
        <v>0.50600000000000001</v>
      </c>
      <c r="K66" s="349"/>
      <c r="L66" s="347">
        <f t="shared" si="2"/>
        <v>1.3769067731478406</v>
      </c>
      <c r="M66" s="383"/>
    </row>
    <row r="67" spans="1:13" x14ac:dyDescent="0.25">
      <c r="A67" s="365" t="s">
        <v>109</v>
      </c>
      <c r="B67" s="366"/>
      <c r="C67" s="142">
        <f>IF('Reference Tables (Segment)'!$D$23="No",('Reference Tables (Segment)'!$G30/100),('Reference Tables (Segment)'!$K30/100))</f>
        <v>2.1000000000000001E-2</v>
      </c>
      <c r="D67" s="347">
        <f t="shared" si="0"/>
        <v>8.4159576208050244E-2</v>
      </c>
      <c r="E67" s="382"/>
      <c r="F67" s="353">
        <f>IF('Reference Tables (Segment)'!$D$23="No",'Reference Tables (Segment)'!$E30/100,'Reference Tables (Segment)'!$I30/100)</f>
        <v>6.9999999999999993E-3</v>
      </c>
      <c r="G67" s="349"/>
      <c r="H67" s="347">
        <f t="shared" si="1"/>
        <v>9.0050746542613743E-3</v>
      </c>
      <c r="I67" s="382"/>
      <c r="J67" s="353">
        <f>IF('Reference Tables (Segment)'!$D$23="No",'Reference Tables (Segment)'!$F30/100,'Reference Tables (Segment)'!$J30/100)</f>
        <v>2.8999999999999998E-2</v>
      </c>
      <c r="K67" s="349"/>
      <c r="L67" s="347">
        <f t="shared" si="2"/>
        <v>7.8913629291081769E-2</v>
      </c>
      <c r="M67" s="383"/>
    </row>
    <row r="68" spans="1:13" ht="13" thickBot="1" x14ac:dyDescent="0.3">
      <c r="A68" s="392" t="s">
        <v>110</v>
      </c>
      <c r="B68" s="379"/>
      <c r="C68" s="11">
        <f>+SUM(C62:C67)</f>
        <v>0.69300000000000006</v>
      </c>
      <c r="D68" s="336">
        <f t="shared" si="0"/>
        <v>2.7772660148656581</v>
      </c>
      <c r="E68" s="380"/>
      <c r="F68" s="353">
        <f>SUM(F62:G67)</f>
        <v>0.6379999999999999</v>
      </c>
      <c r="G68" s="349"/>
      <c r="H68" s="336">
        <f t="shared" si="1"/>
        <v>0.82074823277410813</v>
      </c>
      <c r="I68" s="380"/>
      <c r="J68" s="353">
        <f>SUM(J62:K67)</f>
        <v>0.73499999999999999</v>
      </c>
      <c r="K68" s="349"/>
      <c r="L68" s="336">
        <f t="shared" si="2"/>
        <v>2.0000523285843141</v>
      </c>
      <c r="M68" s="381"/>
    </row>
    <row r="69" spans="1:13" ht="13.5" thickBot="1" x14ac:dyDescent="0.35">
      <c r="A69" s="384" t="s">
        <v>111</v>
      </c>
      <c r="B69" s="385"/>
      <c r="C69" s="385"/>
      <c r="D69" s="385"/>
      <c r="E69" s="385"/>
      <c r="F69" s="385"/>
      <c r="G69" s="385"/>
      <c r="H69" s="386"/>
      <c r="I69" s="386"/>
      <c r="J69" s="386"/>
      <c r="K69" s="386"/>
      <c r="L69" s="386"/>
      <c r="M69" s="386"/>
    </row>
    <row r="70" spans="1:13" x14ac:dyDescent="0.25">
      <c r="A70" s="387" t="s">
        <v>112</v>
      </c>
      <c r="B70" s="388"/>
      <c r="C70" s="142">
        <f>IF('Reference Tables (Segment)'!$D$23="No",('Reference Tables (Segment)'!$G33/100),('Reference Tables (Segment)'!$K33/100))</f>
        <v>8.5000000000000006E-2</v>
      </c>
      <c r="D70" s="347">
        <f t="shared" ref="D70:D75" si="3">+$L$49*C70</f>
        <v>0.34064590369925096</v>
      </c>
      <c r="E70" s="382"/>
      <c r="F70" s="389">
        <f>IF('Reference Tables (Segment)'!$D$23="No",'Reference Tables (Segment)'!$E33/100,'Reference Tables (Segment)'!$I33/100)</f>
        <v>0.1</v>
      </c>
      <c r="G70" s="390"/>
      <c r="H70" s="389">
        <f t="shared" ref="H70:H75" si="4">+$L$50*F70</f>
        <v>0.12864392363230537</v>
      </c>
      <c r="I70" s="390"/>
      <c r="J70" s="389">
        <f>IF('Reference Tables (Segment)'!$D$23="No",'Reference Tables (Segment)'!$F33/100,'Reference Tables (Segment)'!$J33/100)</f>
        <v>7.2000000000000008E-2</v>
      </c>
      <c r="K70" s="390"/>
      <c r="L70" s="389">
        <f>+$L$51*J70</f>
        <v>0.195923493412341</v>
      </c>
      <c r="M70" s="391"/>
    </row>
    <row r="71" spans="1:13" x14ac:dyDescent="0.25">
      <c r="A71" s="365" t="s">
        <v>113</v>
      </c>
      <c r="B71" s="366"/>
      <c r="C71" s="142">
        <f>IF('Reference Tables (Segment)'!$D$23="No",('Reference Tables (Segment)'!$G34/100),('Reference Tables (Segment)'!$K34/100))</f>
        <v>1.6E-2</v>
      </c>
      <c r="D71" s="347">
        <f t="shared" si="3"/>
        <v>6.4121581872800176E-2</v>
      </c>
      <c r="E71" s="382"/>
      <c r="F71" s="347">
        <f>IF('Reference Tables (Segment)'!$D$23="No",'Reference Tables (Segment)'!$E34/100,'Reference Tables (Segment)'!$I34/100)</f>
        <v>3.4000000000000002E-2</v>
      </c>
      <c r="G71" s="382"/>
      <c r="H71" s="347">
        <f t="shared" si="4"/>
        <v>4.3738934034983828E-2</v>
      </c>
      <c r="I71" s="382"/>
      <c r="J71" s="347">
        <f>IF('Reference Tables (Segment)'!$D$23="No",'Reference Tables (Segment)'!$F34/100,'Reference Tables (Segment)'!$J34/100)</f>
        <v>3.0000000000000001E-3</v>
      </c>
      <c r="K71" s="382"/>
      <c r="L71" s="347">
        <f>+$L$51*J71</f>
        <v>8.1634788921808744E-3</v>
      </c>
      <c r="M71" s="383"/>
    </row>
    <row r="72" spans="1:13" x14ac:dyDescent="0.25">
      <c r="A72" s="365" t="s">
        <v>114</v>
      </c>
      <c r="B72" s="366"/>
      <c r="C72" s="142">
        <f>IF('Reference Tables (Segment)'!$D$23="No",('Reference Tables (Segment)'!$G35/100),('Reference Tables (Segment)'!$K35/100))</f>
        <v>0.14199999999999999</v>
      </c>
      <c r="D72" s="347">
        <f t="shared" si="3"/>
        <v>0.56907903912110158</v>
      </c>
      <c r="E72" s="382"/>
      <c r="F72" s="347">
        <f>IF('Reference Tables (Segment)'!$D$23="No",'Reference Tables (Segment)'!$E35/100,'Reference Tables (Segment)'!$I35/100)</f>
        <v>0.16399999999999998</v>
      </c>
      <c r="G72" s="382"/>
      <c r="H72" s="347">
        <f t="shared" si="4"/>
        <v>0.21097603475698079</v>
      </c>
      <c r="I72" s="382"/>
      <c r="J72" s="347">
        <f>IF('Reference Tables (Segment)'!$D$23="No",'Reference Tables (Segment)'!$F35/100,'Reference Tables (Segment)'!$J35/100)</f>
        <v>0.122</v>
      </c>
      <c r="K72" s="382"/>
      <c r="L72" s="347">
        <f>+$L$51*J72</f>
        <v>0.33198147494868885</v>
      </c>
      <c r="M72" s="383"/>
    </row>
    <row r="73" spans="1:13" x14ac:dyDescent="0.25">
      <c r="A73" s="365" t="s">
        <v>115</v>
      </c>
      <c r="B73" s="366"/>
      <c r="C73" s="142">
        <f>IF('Reference Tables (Segment)'!$D$23="No",('Reference Tables (Segment)'!$G36/100),('Reference Tables (Segment)'!$K36/100))</f>
        <v>3.7000000000000005E-2</v>
      </c>
      <c r="D73" s="347">
        <f t="shared" si="3"/>
        <v>0.14828115808085043</v>
      </c>
      <c r="E73" s="382"/>
      <c r="F73" s="347">
        <f>IF('Reference Tables (Segment)'!$D$23="No",'Reference Tables (Segment)'!$E36/100,'Reference Tables (Segment)'!$I36/100)</f>
        <v>3.7999999999999999E-2</v>
      </c>
      <c r="G73" s="382"/>
      <c r="H73" s="347">
        <f t="shared" si="4"/>
        <v>4.8884690980276035E-2</v>
      </c>
      <c r="I73" s="382"/>
      <c r="J73" s="347">
        <f>IF('Reference Tables (Segment)'!$D$23="No",'Reference Tables (Segment)'!$F36/100,'Reference Tables (Segment)'!$J36/100)</f>
        <v>3.7999999999999999E-2</v>
      </c>
      <c r="K73" s="382"/>
      <c r="L73" s="347">
        <f>+$L$51*J73</f>
        <v>0.1034040659676244</v>
      </c>
      <c r="M73" s="383"/>
    </row>
    <row r="74" spans="1:13" x14ac:dyDescent="0.25">
      <c r="A74" s="365" t="s">
        <v>116</v>
      </c>
      <c r="B74" s="366"/>
      <c r="C74" s="142">
        <f>IF('Reference Tables (Segment)'!$D$23="No",('Reference Tables (Segment)'!$G37/100),('Reference Tables (Segment)'!$K37/100))</f>
        <v>2.7000000000000003E-2</v>
      </c>
      <c r="D74" s="347">
        <f t="shared" si="3"/>
        <v>0.10820516941035031</v>
      </c>
      <c r="E74" s="382"/>
      <c r="F74" s="347">
        <f>IF('Reference Tables (Segment)'!$D$23="No",'Reference Tables (Segment)'!$E37/100,'Reference Tables (Segment)'!$I37/100)</f>
        <v>2.6000000000000002E-2</v>
      </c>
      <c r="G74" s="382"/>
      <c r="H74" s="347">
        <f t="shared" si="4"/>
        <v>3.3447420144399401E-2</v>
      </c>
      <c r="I74" s="382"/>
      <c r="J74" s="347">
        <f>IF('Reference Tables (Segment)'!$D$23="No",'Reference Tables (Segment)'!$F37/100,'Reference Tables (Segment)'!$J37/100)</f>
        <v>0.03</v>
      </c>
      <c r="K74" s="382"/>
      <c r="L74" s="347">
        <f>+$L$51*J74</f>
        <v>8.163478892180874E-2</v>
      </c>
      <c r="M74" s="383"/>
    </row>
    <row r="75" spans="1:13" ht="13" thickBot="1" x14ac:dyDescent="0.3">
      <c r="A75" s="378" t="s">
        <v>147</v>
      </c>
      <c r="B75" s="379"/>
      <c r="C75" s="2">
        <f>SUM(C70:C74)</f>
        <v>0.30700000000000005</v>
      </c>
      <c r="D75" s="336">
        <f t="shared" si="3"/>
        <v>1.2303328521843535</v>
      </c>
      <c r="E75" s="380"/>
      <c r="F75" s="336">
        <f>SUM(F70:F74)</f>
        <v>0.36199999999999999</v>
      </c>
      <c r="G75" s="380"/>
      <c r="H75" s="336">
        <f t="shared" si="4"/>
        <v>0.46569100354894544</v>
      </c>
      <c r="I75" s="380"/>
      <c r="J75" s="336">
        <f>SUM(J70:J74)</f>
        <v>0.26500000000000001</v>
      </c>
      <c r="K75" s="380"/>
      <c r="L75" s="336">
        <f>SUM(L70:L74)</f>
        <v>0.72110730214264385</v>
      </c>
      <c r="M75" s="381"/>
    </row>
    <row r="78" spans="1:13" ht="13" thickBot="1" x14ac:dyDescent="0.3"/>
    <row r="79" spans="1:13" ht="14" thickTop="1" thickBot="1" x14ac:dyDescent="0.3">
      <c r="A79" s="371" t="s">
        <v>117</v>
      </c>
      <c r="B79" s="371"/>
      <c r="C79" s="371"/>
      <c r="D79" s="371"/>
      <c r="E79" s="371"/>
      <c r="F79" s="371"/>
      <c r="G79" s="371"/>
      <c r="H79" s="371"/>
      <c r="I79" s="371"/>
      <c r="J79" s="371"/>
      <c r="K79" s="371"/>
      <c r="L79" s="371"/>
      <c r="M79" s="371"/>
    </row>
    <row r="80" spans="1:13" x14ac:dyDescent="0.25">
      <c r="A80" s="372" t="s">
        <v>32</v>
      </c>
      <c r="B80" s="372"/>
      <c r="C80" s="373"/>
      <c r="D80" s="374" t="s">
        <v>33</v>
      </c>
      <c r="E80" s="372"/>
      <c r="F80" s="373"/>
      <c r="G80" s="375" t="s">
        <v>34</v>
      </c>
      <c r="H80" s="376"/>
      <c r="I80" s="377"/>
      <c r="J80" s="374" t="s">
        <v>35</v>
      </c>
      <c r="K80" s="373"/>
      <c r="L80" s="374" t="s">
        <v>36</v>
      </c>
      <c r="M80" s="372"/>
    </row>
    <row r="81" spans="1:13" ht="36" customHeight="1" x14ac:dyDescent="0.25">
      <c r="A81" s="356" t="s">
        <v>118</v>
      </c>
      <c r="B81" s="356"/>
      <c r="C81" s="357"/>
      <c r="D81" s="358" t="s">
        <v>342</v>
      </c>
      <c r="E81" s="359"/>
      <c r="F81" s="360"/>
      <c r="G81" s="361" t="s">
        <v>119</v>
      </c>
      <c r="H81" s="362"/>
      <c r="I81" s="363"/>
      <c r="J81" s="358" t="s">
        <v>120</v>
      </c>
      <c r="K81" s="360"/>
      <c r="L81" s="358" t="s">
        <v>121</v>
      </c>
      <c r="M81" s="359"/>
    </row>
    <row r="82" spans="1:13" ht="38.5" customHeight="1" x14ac:dyDescent="0.25">
      <c r="A82" s="356"/>
      <c r="B82" s="356"/>
      <c r="C82" s="357"/>
      <c r="D82" s="364" t="s">
        <v>122</v>
      </c>
      <c r="E82" s="365"/>
      <c r="F82" s="366"/>
      <c r="G82" s="367" t="s">
        <v>855</v>
      </c>
      <c r="H82" s="368"/>
      <c r="I82" s="369"/>
      <c r="J82" s="358"/>
      <c r="K82" s="360"/>
      <c r="L82" s="364" t="s">
        <v>123</v>
      </c>
      <c r="M82" s="370"/>
    </row>
    <row r="83" spans="1:13" x14ac:dyDescent="0.25">
      <c r="A83" s="345" t="s">
        <v>88</v>
      </c>
      <c r="B83" s="345"/>
      <c r="C83" s="346"/>
      <c r="D83" s="347">
        <f>+F49</f>
        <v>1</v>
      </c>
      <c r="E83" s="348"/>
      <c r="F83" s="349"/>
      <c r="G83" s="350">
        <f>+L49 + D63 + D64</f>
        <v>4.0389658881653192</v>
      </c>
      <c r="H83" s="351"/>
      <c r="I83" s="352"/>
      <c r="J83" s="353">
        <f>+$I$9</f>
        <v>1</v>
      </c>
      <c r="K83" s="349"/>
      <c r="L83" s="354">
        <f>+G83/J83</f>
        <v>4.0389658881653192</v>
      </c>
      <c r="M83" s="355"/>
    </row>
    <row r="84" spans="1:13" x14ac:dyDescent="0.25">
      <c r="A84" s="345" t="s">
        <v>89</v>
      </c>
      <c r="B84" s="345"/>
      <c r="C84" s="346"/>
      <c r="D84" s="347">
        <f>+F50</f>
        <v>0.32100000000000001</v>
      </c>
      <c r="E84" s="348"/>
      <c r="F84" s="349"/>
      <c r="G84" s="350">
        <f>+L50 + D63 + D64</f>
        <v>1.3178062574383618</v>
      </c>
      <c r="H84" s="351"/>
      <c r="I84" s="352"/>
      <c r="J84" s="353">
        <f>+$I$9</f>
        <v>1</v>
      </c>
      <c r="K84" s="349"/>
      <c r="L84" s="354">
        <f>+G84/J84</f>
        <v>1.3178062574383618</v>
      </c>
      <c r="M84" s="355"/>
    </row>
    <row r="85" spans="1:13" ht="13" thickBot="1" x14ac:dyDescent="0.3">
      <c r="A85" s="334" t="s">
        <v>90</v>
      </c>
      <c r="B85" s="334"/>
      <c r="C85" s="335"/>
      <c r="D85" s="336">
        <f>+F51</f>
        <v>0.67900000000000005</v>
      </c>
      <c r="E85" s="337"/>
      <c r="F85" s="338"/>
      <c r="G85" s="339">
        <f>+L51</f>
        <v>2.7211596307269579</v>
      </c>
      <c r="H85" s="340"/>
      <c r="I85" s="341"/>
      <c r="J85" s="342">
        <f>+$I$9</f>
        <v>1</v>
      </c>
      <c r="K85" s="338"/>
      <c r="L85" s="343">
        <f>+G85/J85</f>
        <v>2.7211596307269579</v>
      </c>
      <c r="M85" s="344"/>
    </row>
  </sheetData>
  <mergeCells count="297">
    <mergeCell ref="AD29:AE29"/>
    <mergeCell ref="AD30:AE30"/>
    <mergeCell ref="AD31:AE31"/>
    <mergeCell ref="AD32:AE32"/>
    <mergeCell ref="AD33:AE33"/>
    <mergeCell ref="AD34:AH37"/>
    <mergeCell ref="AD15:AE15"/>
    <mergeCell ref="AD16:AH19"/>
    <mergeCell ref="AD21:AH22"/>
    <mergeCell ref="AD23:AE24"/>
    <mergeCell ref="AF23:AH23"/>
    <mergeCell ref="AD25:AE25"/>
    <mergeCell ref="AD26:AE26"/>
    <mergeCell ref="AD27:AE27"/>
    <mergeCell ref="AD28:AE28"/>
    <mergeCell ref="AD5:AH6"/>
    <mergeCell ref="AD7:AE8"/>
    <mergeCell ref="AF7:AH7"/>
    <mergeCell ref="AD9:AE9"/>
    <mergeCell ref="AD10:AE10"/>
    <mergeCell ref="AD11:AE11"/>
    <mergeCell ref="AD12:AE12"/>
    <mergeCell ref="AD13:AE13"/>
    <mergeCell ref="AD14:AE14"/>
    <mergeCell ref="A5:C5"/>
    <mergeCell ref="D5:F5"/>
    <mergeCell ref="G5:I5"/>
    <mergeCell ref="J5:M5"/>
    <mergeCell ref="A6:C6"/>
    <mergeCell ref="D6:F6"/>
    <mergeCell ref="G6:I6"/>
    <mergeCell ref="J6:M6"/>
    <mergeCell ref="A2:M2"/>
    <mergeCell ref="A3:F3"/>
    <mergeCell ref="G3:M3"/>
    <mergeCell ref="A4:C4"/>
    <mergeCell ref="D4:F4"/>
    <mergeCell ref="G4:I4"/>
    <mergeCell ref="J4:M4"/>
    <mergeCell ref="A9:F9"/>
    <mergeCell ref="G9:H9"/>
    <mergeCell ref="I9:M9"/>
    <mergeCell ref="G10:H10"/>
    <mergeCell ref="I10:M10"/>
    <mergeCell ref="A10:C10"/>
    <mergeCell ref="A7:C7"/>
    <mergeCell ref="D7:F7"/>
    <mergeCell ref="G7:I7"/>
    <mergeCell ref="J7:M7"/>
    <mergeCell ref="A8:F8"/>
    <mergeCell ref="G8:H8"/>
    <mergeCell ref="I8:M8"/>
    <mergeCell ref="G13:H13"/>
    <mergeCell ref="A14:F14"/>
    <mergeCell ref="G14:H14"/>
    <mergeCell ref="I14:M14"/>
    <mergeCell ref="K13:L13"/>
    <mergeCell ref="A13:F13"/>
    <mergeCell ref="A11:F11"/>
    <mergeCell ref="G11:H11"/>
    <mergeCell ref="I11:M11"/>
    <mergeCell ref="G12:H12"/>
    <mergeCell ref="K12:L12"/>
    <mergeCell ref="A12:F12"/>
    <mergeCell ref="A17:F17"/>
    <mergeCell ref="G17:H17"/>
    <mergeCell ref="I17:M17"/>
    <mergeCell ref="A18:F18"/>
    <mergeCell ref="G18:H18"/>
    <mergeCell ref="I18:M18"/>
    <mergeCell ref="A15:F15"/>
    <mergeCell ref="G15:H15"/>
    <mergeCell ref="I15:M15"/>
    <mergeCell ref="A16:F16"/>
    <mergeCell ref="G16:H16"/>
    <mergeCell ref="I16:M16"/>
    <mergeCell ref="A21:F21"/>
    <mergeCell ref="G21:H21"/>
    <mergeCell ref="I21:M21"/>
    <mergeCell ref="A22:F22"/>
    <mergeCell ref="G22:H22"/>
    <mergeCell ref="I22:M22"/>
    <mergeCell ref="A19:F19"/>
    <mergeCell ref="G19:H19"/>
    <mergeCell ref="I19:M19"/>
    <mergeCell ref="A20:F20"/>
    <mergeCell ref="G20:H20"/>
    <mergeCell ref="I20:M20"/>
    <mergeCell ref="A25:F25"/>
    <mergeCell ref="G25:H25"/>
    <mergeCell ref="I25:M25"/>
    <mergeCell ref="A26:F26"/>
    <mergeCell ref="G26:H26"/>
    <mergeCell ref="I26:M26"/>
    <mergeCell ref="A23:F23"/>
    <mergeCell ref="G23:H23"/>
    <mergeCell ref="I23:M23"/>
    <mergeCell ref="A24:F24"/>
    <mergeCell ref="G24:H24"/>
    <mergeCell ref="I24:M24"/>
    <mergeCell ref="A30:M30"/>
    <mergeCell ref="A32:A35"/>
    <mergeCell ref="B32:B35"/>
    <mergeCell ref="C32:C35"/>
    <mergeCell ref="D32:D35"/>
    <mergeCell ref="E32:E35"/>
    <mergeCell ref="F32:F35"/>
    <mergeCell ref="G32:G35"/>
    <mergeCell ref="H32:H35"/>
    <mergeCell ref="I32:I35"/>
    <mergeCell ref="J32:J35"/>
    <mergeCell ref="K32:K35"/>
    <mergeCell ref="L32:L35"/>
    <mergeCell ref="M37:M40"/>
    <mergeCell ref="A45:M45"/>
    <mergeCell ref="A46:B46"/>
    <mergeCell ref="D46:E46"/>
    <mergeCell ref="F46:G46"/>
    <mergeCell ref="H46:I46"/>
    <mergeCell ref="L46:M46"/>
    <mergeCell ref="M32:M35"/>
    <mergeCell ref="A37:A40"/>
    <mergeCell ref="B37:B40"/>
    <mergeCell ref="C37:C40"/>
    <mergeCell ref="D37:D40"/>
    <mergeCell ref="E37:E40"/>
    <mergeCell ref="F37:F40"/>
    <mergeCell ref="J37:J40"/>
    <mergeCell ref="K37:K40"/>
    <mergeCell ref="L37:L40"/>
    <mergeCell ref="G37:G40"/>
    <mergeCell ref="H37:H40"/>
    <mergeCell ref="I37:I40"/>
    <mergeCell ref="H48:I48"/>
    <mergeCell ref="L48:M48"/>
    <mergeCell ref="F47:G47"/>
    <mergeCell ref="H47:I47"/>
    <mergeCell ref="A49:B49"/>
    <mergeCell ref="D49:E49"/>
    <mergeCell ref="F49:G49"/>
    <mergeCell ref="H49:I49"/>
    <mergeCell ref="L49:M49"/>
    <mergeCell ref="A47:B48"/>
    <mergeCell ref="D47:E47"/>
    <mergeCell ref="L47:M47"/>
    <mergeCell ref="D48:E48"/>
    <mergeCell ref="F48:G48"/>
    <mergeCell ref="A55:M55"/>
    <mergeCell ref="A56:B56"/>
    <mergeCell ref="D56:E56"/>
    <mergeCell ref="F56:G56"/>
    <mergeCell ref="H56:I56"/>
    <mergeCell ref="J56:K56"/>
    <mergeCell ref="L56:M56"/>
    <mergeCell ref="A50:B50"/>
    <mergeCell ref="D50:E50"/>
    <mergeCell ref="F50:G50"/>
    <mergeCell ref="H50:I50"/>
    <mergeCell ref="L50:M50"/>
    <mergeCell ref="A51:B51"/>
    <mergeCell ref="D51:E51"/>
    <mergeCell ref="F51:G51"/>
    <mergeCell ref="H51:I51"/>
    <mergeCell ref="L51:M51"/>
    <mergeCell ref="H59:I59"/>
    <mergeCell ref="J59:K59"/>
    <mergeCell ref="L59:M59"/>
    <mergeCell ref="H57:I57"/>
    <mergeCell ref="J57:K57"/>
    <mergeCell ref="L57:M57"/>
    <mergeCell ref="F58:G58"/>
    <mergeCell ref="H58:I58"/>
    <mergeCell ref="J58:K58"/>
    <mergeCell ref="L58:M58"/>
    <mergeCell ref="A57:B58"/>
    <mergeCell ref="D57:E57"/>
    <mergeCell ref="F57:G57"/>
    <mergeCell ref="A60:B60"/>
    <mergeCell ref="D60:E60"/>
    <mergeCell ref="F60:G60"/>
    <mergeCell ref="A59:B59"/>
    <mergeCell ref="D59:E59"/>
    <mergeCell ref="F59:G59"/>
    <mergeCell ref="D58:E58"/>
    <mergeCell ref="A63:B63"/>
    <mergeCell ref="D63:E63"/>
    <mergeCell ref="F63:G63"/>
    <mergeCell ref="H63:I63"/>
    <mergeCell ref="J63:K63"/>
    <mergeCell ref="L63:M63"/>
    <mergeCell ref="H60:I60"/>
    <mergeCell ref="J60:K60"/>
    <mergeCell ref="L60:M60"/>
    <mergeCell ref="A61:M61"/>
    <mergeCell ref="A62:B62"/>
    <mergeCell ref="D62:E62"/>
    <mergeCell ref="F62:G62"/>
    <mergeCell ref="H62:I62"/>
    <mergeCell ref="J62:K62"/>
    <mergeCell ref="L62:M62"/>
    <mergeCell ref="A65:B65"/>
    <mergeCell ref="D65:E65"/>
    <mergeCell ref="F65:G65"/>
    <mergeCell ref="H65:I65"/>
    <mergeCell ref="J65:K65"/>
    <mergeCell ref="L65:M65"/>
    <mergeCell ref="A64:B64"/>
    <mergeCell ref="D64:E64"/>
    <mergeCell ref="F64:G64"/>
    <mergeCell ref="H64:I64"/>
    <mergeCell ref="J64:K64"/>
    <mergeCell ref="L64:M64"/>
    <mergeCell ref="A67:B67"/>
    <mergeCell ref="D67:E67"/>
    <mergeCell ref="F67:G67"/>
    <mergeCell ref="H67:I67"/>
    <mergeCell ref="J67:K67"/>
    <mergeCell ref="L67:M67"/>
    <mergeCell ref="A66:B66"/>
    <mergeCell ref="D66:E66"/>
    <mergeCell ref="F66:G66"/>
    <mergeCell ref="H66:I66"/>
    <mergeCell ref="J66:K66"/>
    <mergeCell ref="L66:M66"/>
    <mergeCell ref="A69:M69"/>
    <mergeCell ref="A70:B70"/>
    <mergeCell ref="D70:E70"/>
    <mergeCell ref="F70:G70"/>
    <mergeCell ref="H70:I70"/>
    <mergeCell ref="J70:K70"/>
    <mergeCell ref="L70:M70"/>
    <mergeCell ref="A68:B68"/>
    <mergeCell ref="D68:E68"/>
    <mergeCell ref="F68:G68"/>
    <mergeCell ref="H68:I68"/>
    <mergeCell ref="J68:K68"/>
    <mergeCell ref="L68:M68"/>
    <mergeCell ref="A72:B72"/>
    <mergeCell ref="D72:E72"/>
    <mergeCell ref="F72:G72"/>
    <mergeCell ref="H72:I72"/>
    <mergeCell ref="J72:K72"/>
    <mergeCell ref="L72:M72"/>
    <mergeCell ref="A71:B71"/>
    <mergeCell ref="D71:E71"/>
    <mergeCell ref="F71:G71"/>
    <mergeCell ref="H71:I71"/>
    <mergeCell ref="J71:K71"/>
    <mergeCell ref="L71:M71"/>
    <mergeCell ref="A74:B74"/>
    <mergeCell ref="D74:E74"/>
    <mergeCell ref="F74:G74"/>
    <mergeCell ref="H74:I74"/>
    <mergeCell ref="J74:K74"/>
    <mergeCell ref="L74:M74"/>
    <mergeCell ref="A73:B73"/>
    <mergeCell ref="D73:E73"/>
    <mergeCell ref="F73:G73"/>
    <mergeCell ref="H73:I73"/>
    <mergeCell ref="J73:K73"/>
    <mergeCell ref="L73:M73"/>
    <mergeCell ref="A79:M79"/>
    <mergeCell ref="A80:C80"/>
    <mergeCell ref="D80:F80"/>
    <mergeCell ref="G80:I80"/>
    <mergeCell ref="J80:K80"/>
    <mergeCell ref="L80:M80"/>
    <mergeCell ref="A75:B75"/>
    <mergeCell ref="D75:E75"/>
    <mergeCell ref="F75:G75"/>
    <mergeCell ref="H75:I75"/>
    <mergeCell ref="J75:K75"/>
    <mergeCell ref="L75:M75"/>
    <mergeCell ref="B28:M28"/>
    <mergeCell ref="A85:C85"/>
    <mergeCell ref="D85:F85"/>
    <mergeCell ref="G85:I85"/>
    <mergeCell ref="J85:K85"/>
    <mergeCell ref="L85:M85"/>
    <mergeCell ref="A83:C83"/>
    <mergeCell ref="D83:F83"/>
    <mergeCell ref="G83:I83"/>
    <mergeCell ref="J83:K83"/>
    <mergeCell ref="L83:M83"/>
    <mergeCell ref="A84:C84"/>
    <mergeCell ref="D84:F84"/>
    <mergeCell ref="G84:I84"/>
    <mergeCell ref="J84:K84"/>
    <mergeCell ref="L84:M84"/>
    <mergeCell ref="A81:C82"/>
    <mergeCell ref="D81:F81"/>
    <mergeCell ref="G81:I81"/>
    <mergeCell ref="J81:K82"/>
    <mergeCell ref="L81:M81"/>
    <mergeCell ref="D82:F82"/>
    <mergeCell ref="G82:I82"/>
    <mergeCell ref="L82:M82"/>
  </mergeCells>
  <conditionalFormatting sqref="I10:M10">
    <cfRule type="cellIs" dxfId="3" priority="2" stopIfTrue="1" operator="greaterThan">
      <formula>$E$10</formula>
    </cfRule>
  </conditionalFormatting>
  <conditionalFormatting sqref="I10:M10">
    <cfRule type="cellIs" dxfId="2" priority="1" stopIfTrue="1" operator="greaterThan">
      <formula>$E$10</formula>
    </cfRule>
  </conditionalFormatting>
  <dataValidations disablePrompts="1" count="16">
    <dataValidation type="list" allowBlank="1" showInputMessage="1" showErrorMessage="1" sqref="M13 J13" xr:uid="{00000000-0002-0000-0100-000000000000}">
      <formula1>SType</formula1>
    </dataValidation>
    <dataValidation type="list" allowBlank="1" showInputMessage="1" showErrorMessage="1" sqref="M12 J12" xr:uid="{00000000-0002-0000-0100-000001000000}">
      <formula1>SWidth</formula1>
    </dataValidation>
    <dataValidation type="decimal" allowBlank="1" showInputMessage="1" showErrorMessage="1" sqref="I26:M26" xr:uid="{00000000-0002-0000-0100-000002000000}">
      <formula1>0</formula1>
      <formula2>10</formula2>
    </dataValidation>
    <dataValidation type="decimal" operator="greaterThanOrEqual" allowBlank="1" showInputMessage="1" showErrorMessage="1" sqref="I14:M14 I18:M19" xr:uid="{00000000-0002-0000-0100-000003000000}">
      <formula1>0</formula1>
    </dataValidation>
    <dataValidation type="whole" operator="greaterThanOrEqual" allowBlank="1" showInputMessage="1" showErrorMessage="1" sqref="I15:M15" xr:uid="{00000000-0002-0000-0100-000004000000}">
      <formula1>0</formula1>
    </dataValidation>
    <dataValidation type="whole" operator="greaterThan" allowBlank="1" showInputMessage="1" showErrorMessage="1" sqref="J7:M7" xr:uid="{00000000-0002-0000-0100-000005000000}">
      <formula1>1990</formula1>
    </dataValidation>
    <dataValidation type="decimal" operator="greaterThan" allowBlank="1" showInputMessage="1" showErrorMessage="1" sqref="I9:M9" xr:uid="{00000000-0002-0000-0100-000006000000}">
      <formula1>0</formula1>
    </dataValidation>
    <dataValidation type="whole" allowBlank="1" showInputMessage="1" showErrorMessage="1" promptTitle="SPF based on 17,800 vpd maximum" sqref="I10:M10" xr:uid="{00000000-0002-0000-0100-000007000000}">
      <formula1>0</formula1>
      <formula2>17800</formula2>
    </dataValidation>
    <dataValidation type="list" allowBlank="1" showInputMessage="1" showErrorMessage="1" errorTitle="Invalid" sqref="I25:M25" xr:uid="{00000000-0002-0000-0100-000008000000}">
      <formula1>SpEnforce</formula1>
    </dataValidation>
    <dataValidation type="list" allowBlank="1" showInputMessage="1" showErrorMessage="1" sqref="I24:M24" xr:uid="{00000000-0002-0000-0100-000009000000}">
      <formula1>Lighting</formula1>
    </dataValidation>
    <dataValidation type="list" allowBlank="1" showInputMessage="1" showErrorMessage="1" sqref="I22:M22" xr:uid="{00000000-0002-0000-0100-00000A000000}">
      <formula1>TWLTL</formula1>
    </dataValidation>
    <dataValidation type="list" allowBlank="1" showInputMessage="1" showErrorMessage="1" sqref="I21:M21" xr:uid="{00000000-0002-0000-0100-00000B000000}">
      <formula1>PLane2</formula1>
    </dataValidation>
    <dataValidation type="list" allowBlank="1" showInputMessage="1" showErrorMessage="1" sqref="I20:M20" xr:uid="{00000000-0002-0000-0100-00000C000000}">
      <formula1>CRumble</formula1>
    </dataValidation>
    <dataValidation type="list" allowBlank="1" showInputMessage="1" showErrorMessage="1" sqref="I16:M16" xr:uid="{00000000-0002-0000-0100-00000D000000}">
      <formula1>Spiral2</formula1>
    </dataValidation>
    <dataValidation type="list" allowBlank="1" showInputMessage="1" showErrorMessage="1" sqref="I23:M23" xr:uid="{00000000-0002-0000-0100-00000E000000}">
      <formula1>RHR</formula1>
    </dataValidation>
    <dataValidation type="list" allowBlank="1" showInputMessage="1" showErrorMessage="1" sqref="I11:M11" xr:uid="{00000000-0002-0000-0100-00000F000000}">
      <formula1>LWidth</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G34"/>
  <sheetViews>
    <sheetView zoomScaleNormal="100" workbookViewId="0">
      <selection activeCell="E20" sqref="E20"/>
    </sheetView>
  </sheetViews>
  <sheetFormatPr defaultColWidth="8.7265625" defaultRowHeight="14.5" x14ac:dyDescent="0.35"/>
  <cols>
    <col min="1" max="1" width="3.81640625" style="204" customWidth="1"/>
    <col min="2" max="2" width="72.81640625" style="204" customWidth="1"/>
    <col min="3" max="3" width="54.1796875" style="204" customWidth="1"/>
    <col min="4" max="4" width="66.1796875" style="204" customWidth="1"/>
    <col min="5" max="6" width="49.1796875" style="204" customWidth="1"/>
    <col min="7" max="7" width="65.453125" style="204" customWidth="1"/>
    <col min="8" max="16384" width="8.7265625" style="204"/>
  </cols>
  <sheetData>
    <row r="2" spans="2:4" ht="26" x14ac:dyDescent="0.6">
      <c r="B2" s="209" t="s">
        <v>430</v>
      </c>
    </row>
    <row r="3" spans="2:4" x14ac:dyDescent="0.35">
      <c r="C3" s="206" t="s">
        <v>431</v>
      </c>
      <c r="D3" s="206" t="s">
        <v>432</v>
      </c>
    </row>
    <row r="4" spans="2:4" x14ac:dyDescent="0.35">
      <c r="B4" s="205" t="s">
        <v>120</v>
      </c>
      <c r="C4" s="240">
        <v>1</v>
      </c>
      <c r="D4" s="247">
        <f>C4</f>
        <v>1</v>
      </c>
    </row>
    <row r="5" spans="2:4" x14ac:dyDescent="0.35">
      <c r="B5" s="205" t="s">
        <v>433</v>
      </c>
      <c r="C5" s="241">
        <v>5000</v>
      </c>
      <c r="D5" s="241">
        <v>5000</v>
      </c>
    </row>
    <row r="6" spans="2:4" x14ac:dyDescent="0.35">
      <c r="B6" s="205" t="s">
        <v>434</v>
      </c>
      <c r="C6" s="242" t="s">
        <v>472</v>
      </c>
      <c r="D6" s="242" t="s">
        <v>472</v>
      </c>
    </row>
    <row r="7" spans="2:4" x14ac:dyDescent="0.35">
      <c r="B7" s="205" t="s">
        <v>436</v>
      </c>
      <c r="C7" s="242" t="s">
        <v>471</v>
      </c>
      <c r="D7" s="242" t="str">
        <f>C7</f>
        <v>26 to 50</v>
      </c>
    </row>
    <row r="8" spans="2:4" x14ac:dyDescent="0.35">
      <c r="B8" s="205" t="s">
        <v>438</v>
      </c>
      <c r="C8" s="243">
        <v>55</v>
      </c>
      <c r="D8" s="247">
        <f>C8</f>
        <v>55</v>
      </c>
    </row>
    <row r="9" spans="2:4" x14ac:dyDescent="0.35">
      <c r="B9" s="205" t="s">
        <v>439</v>
      </c>
      <c r="C9" s="243" t="s">
        <v>440</v>
      </c>
      <c r="D9" s="243" t="s">
        <v>440</v>
      </c>
    </row>
    <row r="10" spans="2:4" x14ac:dyDescent="0.35">
      <c r="B10" s="205" t="s">
        <v>441</v>
      </c>
      <c r="C10" s="243" t="s">
        <v>730</v>
      </c>
      <c r="D10" s="243" t="s">
        <v>730</v>
      </c>
    </row>
    <row r="11" spans="2:4" x14ac:dyDescent="0.35">
      <c r="B11" s="205" t="s">
        <v>443</v>
      </c>
      <c r="C11" s="243" t="s">
        <v>444</v>
      </c>
      <c r="D11" s="205" t="str">
        <f>C11</f>
        <v>Straight or gently curving (advisory speed &gt;= 60 mph or curve radius &gt; 2600 ft)</v>
      </c>
    </row>
    <row r="12" spans="2:4" x14ac:dyDescent="0.35">
      <c r="B12" s="205" t="s">
        <v>445</v>
      </c>
      <c r="C12" s="243" t="s">
        <v>446</v>
      </c>
      <c r="D12" s="205" t="str">
        <f>C12</f>
        <v>Not applicable (no horizontal curve present)</v>
      </c>
    </row>
    <row r="13" spans="2:4" x14ac:dyDescent="0.35">
      <c r="B13" s="205" t="s">
        <v>447</v>
      </c>
      <c r="C13" s="243" t="s">
        <v>448</v>
      </c>
      <c r="D13" s="205" t="str">
        <f>C13</f>
        <v>0% to &lt; 7.5%</v>
      </c>
    </row>
    <row r="14" spans="2:4" x14ac:dyDescent="0.35">
      <c r="B14" s="205" t="s">
        <v>449</v>
      </c>
      <c r="C14" s="243" t="s">
        <v>717</v>
      </c>
      <c r="D14" s="243" t="s">
        <v>450</v>
      </c>
    </row>
    <row r="15" spans="2:4" x14ac:dyDescent="0.35">
      <c r="B15" s="205" t="s">
        <v>451</v>
      </c>
      <c r="C15" s="243" t="s">
        <v>452</v>
      </c>
      <c r="D15" s="243" t="s">
        <v>452</v>
      </c>
    </row>
    <row r="16" spans="2:4" x14ac:dyDescent="0.35">
      <c r="B16" s="205" t="s">
        <v>453</v>
      </c>
      <c r="C16" s="243" t="s">
        <v>454</v>
      </c>
      <c r="D16" s="243" t="s">
        <v>454</v>
      </c>
    </row>
    <row r="17" spans="2:7" x14ac:dyDescent="0.35">
      <c r="B17" s="205" t="s">
        <v>455</v>
      </c>
      <c r="C17" s="243" t="s">
        <v>456</v>
      </c>
      <c r="D17" s="243" t="s">
        <v>456</v>
      </c>
    </row>
    <row r="18" spans="2:7" x14ac:dyDescent="0.35">
      <c r="B18" s="205" t="s">
        <v>457</v>
      </c>
      <c r="C18" s="243" t="s">
        <v>706</v>
      </c>
      <c r="D18" s="205" t="s">
        <v>458</v>
      </c>
    </row>
    <row r="19" spans="2:7" x14ac:dyDescent="0.35">
      <c r="B19" s="205" t="s">
        <v>459</v>
      </c>
      <c r="C19" s="243" t="s">
        <v>706</v>
      </c>
      <c r="D19" s="205" t="str">
        <f>C19</f>
        <v>Two sides</v>
      </c>
    </row>
    <row r="20" spans="2:7" x14ac:dyDescent="0.35">
      <c r="B20" s="205" t="s">
        <v>460</v>
      </c>
      <c r="C20" s="243" t="s">
        <v>452</v>
      </c>
      <c r="D20" s="243" t="s">
        <v>452</v>
      </c>
    </row>
    <row r="21" spans="2:7" x14ac:dyDescent="0.35">
      <c r="B21" s="205" t="s">
        <v>461</v>
      </c>
      <c r="C21" s="243" t="s">
        <v>454</v>
      </c>
      <c r="D21" s="243" t="s">
        <v>462</v>
      </c>
    </row>
    <row r="23" spans="2:7" ht="26" x14ac:dyDescent="0.6">
      <c r="B23" s="209" t="s">
        <v>463</v>
      </c>
      <c r="C23" s="208" t="s">
        <v>464</v>
      </c>
      <c r="D23" s="244">
        <v>0</v>
      </c>
    </row>
    <row r="24" spans="2:7" x14ac:dyDescent="0.35">
      <c r="C24" s="207" t="s">
        <v>465</v>
      </c>
      <c r="D24" s="207" t="s">
        <v>466</v>
      </c>
      <c r="E24" s="206" t="s">
        <v>467</v>
      </c>
      <c r="F24" s="206" t="s">
        <v>468</v>
      </c>
      <c r="G24" s="206" t="s">
        <v>469</v>
      </c>
    </row>
    <row r="25" spans="2:7" x14ac:dyDescent="0.35">
      <c r="B25" s="205" t="s">
        <v>470</v>
      </c>
      <c r="C25" s="245" t="s">
        <v>471</v>
      </c>
      <c r="D25" s="245" t="s">
        <v>471</v>
      </c>
      <c r="E25" s="245" t="s">
        <v>472</v>
      </c>
      <c r="F25" s="245" t="s">
        <v>472</v>
      </c>
      <c r="G25" s="245" t="s">
        <v>472</v>
      </c>
    </row>
    <row r="26" spans="2:7" x14ac:dyDescent="0.35">
      <c r="B26" s="205" t="s">
        <v>473</v>
      </c>
      <c r="C26" s="243" t="s">
        <v>474</v>
      </c>
      <c r="D26" s="243" t="s">
        <v>474</v>
      </c>
      <c r="E26" s="243" t="s">
        <v>474</v>
      </c>
      <c r="F26" s="243" t="s">
        <v>474</v>
      </c>
      <c r="G26" s="243" t="s">
        <v>474</v>
      </c>
    </row>
    <row r="27" spans="2:7" x14ac:dyDescent="0.35">
      <c r="B27" s="205" t="s">
        <v>475</v>
      </c>
      <c r="C27" s="243" t="s">
        <v>476</v>
      </c>
      <c r="D27" s="243" t="s">
        <v>476</v>
      </c>
      <c r="E27" s="243" t="s">
        <v>477</v>
      </c>
      <c r="F27" s="243" t="s">
        <v>477</v>
      </c>
      <c r="G27" s="243" t="s">
        <v>477</v>
      </c>
    </row>
    <row r="28" spans="2:7" x14ac:dyDescent="0.35">
      <c r="B28" s="205" t="s">
        <v>455</v>
      </c>
      <c r="C28" s="243" t="s">
        <v>456</v>
      </c>
      <c r="D28" s="243" t="s">
        <v>456</v>
      </c>
      <c r="E28" s="243" t="s">
        <v>478</v>
      </c>
      <c r="F28" s="243" t="s">
        <v>478</v>
      </c>
      <c r="G28" s="243" t="s">
        <v>478</v>
      </c>
    </row>
    <row r="29" spans="2:7" x14ac:dyDescent="0.35">
      <c r="B29" s="205" t="s">
        <v>479</v>
      </c>
      <c r="C29" s="243" t="s">
        <v>480</v>
      </c>
      <c r="D29" s="243" t="s">
        <v>480</v>
      </c>
      <c r="E29" s="243" t="s">
        <v>481</v>
      </c>
      <c r="F29" s="243" t="s">
        <v>481</v>
      </c>
      <c r="G29" s="243" t="s">
        <v>481</v>
      </c>
    </row>
    <row r="30" spans="2:7" x14ac:dyDescent="0.35">
      <c r="B30" s="205" t="s">
        <v>482</v>
      </c>
      <c r="C30" s="243" t="s">
        <v>458</v>
      </c>
      <c r="D30" s="243" t="s">
        <v>458</v>
      </c>
      <c r="E30" s="243" t="s">
        <v>458</v>
      </c>
      <c r="F30" s="243" t="s">
        <v>458</v>
      </c>
      <c r="G30" s="243" t="s">
        <v>458</v>
      </c>
    </row>
    <row r="31" spans="2:7" x14ac:dyDescent="0.35">
      <c r="B31" s="205" t="s">
        <v>483</v>
      </c>
      <c r="C31" s="243" t="s">
        <v>458</v>
      </c>
      <c r="D31" s="243" t="s">
        <v>458</v>
      </c>
      <c r="E31" s="243" t="s">
        <v>458</v>
      </c>
      <c r="F31" s="243" t="s">
        <v>458</v>
      </c>
      <c r="G31" s="243" t="s">
        <v>458</v>
      </c>
    </row>
    <row r="32" spans="2:7" x14ac:dyDescent="0.35">
      <c r="B32" s="205" t="s">
        <v>460</v>
      </c>
      <c r="C32" s="243" t="s">
        <v>452</v>
      </c>
      <c r="D32" s="243" t="s">
        <v>452</v>
      </c>
      <c r="E32" s="243" t="s">
        <v>452</v>
      </c>
      <c r="F32" s="243" t="s">
        <v>452</v>
      </c>
      <c r="G32" s="243" t="s">
        <v>452</v>
      </c>
    </row>
    <row r="33" spans="2:7" x14ac:dyDescent="0.35">
      <c r="B33" s="205" t="s">
        <v>484</v>
      </c>
      <c r="C33" s="243" t="s">
        <v>485</v>
      </c>
      <c r="D33" s="243" t="s">
        <v>485</v>
      </c>
      <c r="E33" s="243" t="s">
        <v>486</v>
      </c>
      <c r="F33" s="243" t="s">
        <v>486</v>
      </c>
      <c r="G33" s="243" t="s">
        <v>486</v>
      </c>
    </row>
    <row r="34" spans="2:7" x14ac:dyDescent="0.35">
      <c r="B34" s="205" t="s">
        <v>487</v>
      </c>
      <c r="C34" s="246">
        <v>1</v>
      </c>
      <c r="D34" s="246">
        <v>0</v>
      </c>
      <c r="E34" s="246">
        <v>0</v>
      </c>
      <c r="F34" s="246">
        <v>0</v>
      </c>
      <c r="G34" s="246">
        <v>0</v>
      </c>
    </row>
  </sheetData>
  <dataValidations count="1">
    <dataValidation type="list" allowBlank="1" showInputMessage="1" showErrorMessage="1" sqref="D23" xr:uid="{00000000-0002-0000-0200-000000000000}">
      <formula1>"0,1,2,3,4,5"</formula1>
    </dataValidation>
  </dataValidations>
  <pageMargins left="0.7" right="0.7" top="0.75" bottom="0.75" header="0.51180555555555496" footer="0.51180555555555496"/>
  <pageSetup firstPageNumber="0" orientation="portrait" horizontalDpi="300" verticalDpi="300"/>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200-000001000000}">
          <x14:formula1>
            <xm:f>'Reference Tables (Bike Segment)'!$B$51:$B$55</xm:f>
          </x14:formula1>
          <xm:sqref>C19</xm:sqref>
        </x14:dataValidation>
        <x14:dataValidation type="list" allowBlank="1" showInputMessage="1" showErrorMessage="1" xr:uid="{00000000-0002-0000-0200-000002000000}">
          <x14:formula1>
            <xm:f>'Reference Tables (Ped Segment)'!$B$92:$B$94</xm:f>
          </x14:formula1>
          <xm:sqref>C31:G31</xm:sqref>
        </x14:dataValidation>
        <x14:dataValidation type="list" allowBlank="1" showInputMessage="1" showErrorMessage="1" xr:uid="{00000000-0002-0000-0200-000003000000}">
          <x14:formula1>
            <xm:f>IF($G$26='Reference Tables (Ped Segment)'!$C$22,'Reference Tables (Ped Segment)'!$B$23:$B$32,'Reference Tables (Ped Segment)'!$B$23:$B$30)</xm:f>
          </x14:formula1>
          <xm:sqref>G27</xm:sqref>
        </x14:dataValidation>
        <x14:dataValidation type="list" allowBlank="1" showInputMessage="1" showErrorMessage="1" xr:uid="{00000000-0002-0000-0200-000004000000}">
          <x14:formula1>
            <xm:f>IF($F$26='Reference Tables (Ped Segment)'!$C$22,'Reference Tables (Ped Segment)'!$B$23:$B$32,'Reference Tables (Ped Segment)'!$B$23:$B$30)</xm:f>
          </x14:formula1>
          <xm:sqref>F27</xm:sqref>
        </x14:dataValidation>
        <x14:dataValidation type="list" allowBlank="1" showInputMessage="1" showErrorMessage="1" xr:uid="{00000000-0002-0000-0200-000005000000}">
          <x14:formula1>
            <xm:f>IF($E$26='Reference Tables (Ped Segment)'!$C$22,'Reference Tables (Ped Segment)'!$B$23:$B$32,'Reference Tables (Ped Segment)'!$B$23:$B$30)</xm:f>
          </x14:formula1>
          <xm:sqref>E27</xm:sqref>
        </x14:dataValidation>
        <x14:dataValidation type="list" allowBlank="1" showInputMessage="1" showErrorMessage="1" xr:uid="{00000000-0002-0000-0200-000006000000}">
          <x14:formula1>
            <xm:f>IF($D$26='Reference Tables (Ped Segment)'!$C$22,'Reference Tables (Ped Segment)'!$B$23:$B$32,'Reference Tables (Ped Segment)'!$B$23:$B$30)</xm:f>
          </x14:formula1>
          <xm:sqref>D27</xm:sqref>
        </x14:dataValidation>
        <x14:dataValidation type="list" allowBlank="1" showInputMessage="1" showErrorMessage="1" xr:uid="{00000000-0002-0000-0200-000007000000}">
          <x14:formula1>
            <xm:f>'Reference Tables (Ped Segment)'!$B$102:$B$105</xm:f>
          </x14:formula1>
          <x14:formula2>
            <xm:f>0</xm:f>
          </x14:formula2>
          <xm:sqref>C9:D9</xm:sqref>
        </x14:dataValidation>
        <x14:dataValidation type="list" allowBlank="1" showInputMessage="1" showErrorMessage="1" xr:uid="{00000000-0002-0000-0200-000008000000}">
          <x14:formula1>
            <xm:f>IF($C$26='Reference Tables (Ped Segment)'!$C$22,'Reference Tables (Ped Segment)'!$B$23:$B$32,'Reference Tables (Ped Segment)'!$B$23:$B$30)</xm:f>
          </x14:formula1>
          <xm:sqref>C27</xm:sqref>
        </x14:dataValidation>
        <x14:dataValidation type="list" allowBlank="1" showInputMessage="1" showErrorMessage="1" xr:uid="{00000000-0002-0000-0200-000009000000}">
          <x14:formula1>
            <xm:f>IF(D21&lt;5,"None",'Reference Tables (Ped Segment)'!$B$146:$B$156)</xm:f>
          </x14:formula1>
          <x14:formula2>
            <xm:f>0</xm:f>
          </x14:formula2>
          <xm:sqref>G25</xm:sqref>
        </x14:dataValidation>
        <x14:dataValidation type="list" allowBlank="1" showInputMessage="1" showErrorMessage="1" xr:uid="{00000000-0002-0000-0200-00000A000000}">
          <x14:formula1>
            <xm:f>IF(D21&lt;4,"None",'Reference Tables (Ped Segment)'!$B$146:$B$156)</xm:f>
          </x14:formula1>
          <x14:formula2>
            <xm:f>0</xm:f>
          </x14:formula2>
          <xm:sqref>F25</xm:sqref>
        </x14:dataValidation>
        <x14:dataValidation type="list" allowBlank="1" showInputMessage="1" showErrorMessage="1" xr:uid="{00000000-0002-0000-0200-00000B000000}">
          <x14:formula1>
            <xm:f>IF(D21&lt;3,"None",'Reference Tables (Ped Segment)'!$B$146:$B$156)</xm:f>
          </x14:formula1>
          <x14:formula2>
            <xm:f>0</xm:f>
          </x14:formula2>
          <xm:sqref>E25</xm:sqref>
        </x14:dataValidation>
        <x14:dataValidation type="list" allowBlank="1" showInputMessage="1" showErrorMessage="1" xr:uid="{00000000-0002-0000-0200-00000C000000}">
          <x14:formula1>
            <xm:f>IF(D21&lt;2,"N/A",'Reference Tables (Ped Segment)'!$B$146:$B$156)</xm:f>
          </x14:formula1>
          <x14:formula2>
            <xm:f>0</xm:f>
          </x14:formula2>
          <xm:sqref>D25</xm:sqref>
        </x14:dataValidation>
        <x14:dataValidation type="list" allowBlank="1" showInputMessage="1" showErrorMessage="1" xr:uid="{00000000-0002-0000-0200-00000D000000}">
          <x14:formula1>
            <xm:f>'Reference Tables (Ped Segment)'!$B$146:$B$156</xm:f>
          </x14:formula1>
          <x14:formula2>
            <xm:f>0</xm:f>
          </x14:formula2>
          <xm:sqref>C6:D6 C25</xm:sqref>
        </x14:dataValidation>
        <x14:dataValidation type="list" allowBlank="1" showInputMessage="1" showErrorMessage="1" xr:uid="{00000000-0002-0000-0200-00000E000000}">
          <x14:formula1>
            <xm:f>'Reference Tables (Bike Segment)'!$B$4:$B$12</xm:f>
          </x14:formula1>
          <x14:formula2>
            <xm:f>0</xm:f>
          </x14:formula2>
          <xm:sqref>C21:D21</xm:sqref>
        </x14:dataValidation>
        <x14:dataValidation type="list" allowBlank="1" showInputMessage="1" showErrorMessage="1" xr:uid="{00000000-0002-0000-0200-00000F000000}">
          <x14:formula1>
            <xm:f>'Reference Tables (Bike Segment)'!$B$89:$B$99</xm:f>
          </x14:formula1>
          <x14:formula2>
            <xm:f>0</xm:f>
          </x14:formula2>
          <xm:sqref>C7</xm:sqref>
        </x14:dataValidation>
        <x14:dataValidation type="list" allowBlank="1" showInputMessage="1" showErrorMessage="1" xr:uid="{00000000-0002-0000-0200-000010000000}">
          <x14:formula1>
            <xm:f>'Reference Tables (Ped Segment)'!$B$3:$B$12</xm:f>
          </x14:formula1>
          <x14:formula2>
            <xm:f>0</xm:f>
          </x14:formula2>
          <xm:sqref>C16:D16</xm:sqref>
        </x14:dataValidation>
        <x14:dataValidation type="list" allowBlank="1" showInputMessage="1" showErrorMessage="1" xr:uid="{00000000-0002-0000-0200-000011000000}">
          <x14:formula1>
            <xm:f>'Reference Tables (Ped Segment)'!$B$16:$B$19</xm:f>
          </x14:formula1>
          <x14:formula2>
            <xm:f>0</xm:f>
          </x14:formula2>
          <xm:sqref>C17:D17 C28:G28</xm:sqref>
        </x14:dataValidation>
        <x14:dataValidation type="list" allowBlank="1" showInputMessage="1" showErrorMessage="1" xr:uid="{00000000-0002-0000-0200-000012000000}">
          <x14:formula1>
            <xm:f>'Reference Tables (Ped Segment)'!$B$38:$B$40</xm:f>
          </x14:formula1>
          <x14:formula2>
            <xm:f>0</xm:f>
          </x14:formula2>
          <xm:sqref>C29:G29</xm:sqref>
        </x14:dataValidation>
        <x14:dataValidation type="list" allowBlank="1" showInputMessage="1" showErrorMessage="1" xr:uid="{00000000-0002-0000-0200-000013000000}">
          <x14:formula1>
            <xm:f>'Reference Tables (Ped Segment)'!$B$44:$B$46</xm:f>
          </x14:formula1>
          <x14:formula2>
            <xm:f>0</xm:f>
          </x14:formula2>
          <xm:sqref>C30:G30</xm:sqref>
        </x14:dataValidation>
        <x14:dataValidation type="list" allowBlank="1" showInputMessage="1" showErrorMessage="1" xr:uid="{00000000-0002-0000-0200-000014000000}">
          <x14:formula1>
            <xm:f>'Reference Tables (Ped Segment)'!$B$50:$B$52</xm:f>
          </x14:formula1>
          <x14:formula2>
            <xm:f>0</xm:f>
          </x14:formula2>
          <xm:sqref>C10:D10</xm:sqref>
        </x14:dataValidation>
        <x14:dataValidation type="list" allowBlank="1" showInputMessage="1" showErrorMessage="1" xr:uid="{00000000-0002-0000-0200-000015000000}">
          <x14:formula1>
            <xm:f>'Reference Tables (Ped Segment)'!$B$56:$B$59</xm:f>
          </x14:formula1>
          <x14:formula2>
            <xm:f>0</xm:f>
          </x14:formula2>
          <xm:sqref>C11</xm:sqref>
        </x14:dataValidation>
        <x14:dataValidation type="list" allowBlank="1" showInputMessage="1" showErrorMessage="1" xr:uid="{00000000-0002-0000-0200-000016000000}">
          <x14:formula1>
            <xm:f>'Reference Tables (Ped Segment)'!$B$63:$B$65</xm:f>
          </x14:formula1>
          <x14:formula2>
            <xm:f>0</xm:f>
          </x14:formula2>
          <xm:sqref>C12</xm:sqref>
        </x14:dataValidation>
        <x14:dataValidation type="list" allowBlank="1" showInputMessage="1" showErrorMessage="1" xr:uid="{00000000-0002-0000-0200-000017000000}">
          <x14:formula1>
            <xm:f>'Reference Tables (Ped Segment)'!$B$69:$B$71</xm:f>
          </x14:formula1>
          <x14:formula2>
            <xm:f>0</xm:f>
          </x14:formula2>
          <xm:sqref>C13</xm:sqref>
        </x14:dataValidation>
        <x14:dataValidation type="list" allowBlank="1" showInputMessage="1" showErrorMessage="1" xr:uid="{00000000-0002-0000-0200-000018000000}">
          <x14:formula1>
            <xm:f>'Reference Tables (Ped Segment)'!$B$75:$B$76</xm:f>
          </x14:formula1>
          <x14:formula2>
            <xm:f>0</xm:f>
          </x14:formula2>
          <xm:sqref>C14:D14</xm:sqref>
        </x14:dataValidation>
        <x14:dataValidation type="list" allowBlank="1" showInputMessage="1" showErrorMessage="1" xr:uid="{00000000-0002-0000-0200-000019000000}">
          <x14:formula1>
            <xm:f>'Reference Tables (Ped Segment)'!$B$80:$B$81</xm:f>
          </x14:formula1>
          <x14:formula2>
            <xm:f>0</xm:f>
          </x14:formula2>
          <xm:sqref>C15:D15</xm:sqref>
        </x14:dataValidation>
        <x14:dataValidation type="list" allowBlank="1" showInputMessage="1" showErrorMessage="1" xr:uid="{00000000-0002-0000-0200-00001A000000}">
          <x14:formula1>
            <xm:f>'Reference Tables (Ped Segment)'!$B$85:$B$89</xm:f>
          </x14:formula1>
          <x14:formula2>
            <xm:f>0</xm:f>
          </x14:formula2>
          <xm:sqref>E20:G21 D18:G19 C18</xm:sqref>
        </x14:dataValidation>
        <x14:dataValidation type="list" allowBlank="1" showInputMessage="1" showErrorMessage="1" xr:uid="{00000000-0002-0000-0200-00001B000000}">
          <x14:formula1>
            <xm:f>'Reference Tables (Ped Segment)'!$B$97:$B$98</xm:f>
          </x14:formula1>
          <x14:formula2>
            <xm:f>0</xm:f>
          </x14:formula2>
          <xm:sqref>C20:D20 C32:G32</xm:sqref>
        </x14:dataValidation>
        <x14:dataValidation type="list" allowBlank="1" showInputMessage="1" showErrorMessage="1" xr:uid="{00000000-0002-0000-0200-00001C000000}">
          <x14:formula1>
            <xm:f>'Reference Tables (Ped Segment)'!$B$111:$B$117</xm:f>
          </x14:formula1>
          <x14:formula2>
            <xm:f>0</xm:f>
          </x14:formula2>
          <xm:sqref>C33:G33</xm:sqref>
        </x14:dataValidation>
        <x14:dataValidation type="list" allowBlank="1" showInputMessage="1" showErrorMessage="1" xr:uid="{00000000-0002-0000-0200-00001D000000}">
          <x14:formula1>
            <xm:f>'Reference Tables (Ped Segment)'!$B$128:$B$142</xm:f>
          </x14:formula1>
          <x14:formula2>
            <xm:f>0</xm:f>
          </x14:formula2>
          <xm:sqref>C8</xm:sqref>
        </x14:dataValidation>
        <x14:dataValidation type="list" allowBlank="1" showInputMessage="1" showErrorMessage="1" xr:uid="{00000000-0002-0000-0200-00001E000000}">
          <x14:formula1>
            <xm:f>'Reference Tables (Ped Segment)'!$C$22:$E$22</xm:f>
          </x14:formula1>
          <x14:formula2>
            <xm:f>0</xm:f>
          </x14:formula2>
          <xm:sqref>C26:G26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J81"/>
  <sheetViews>
    <sheetView topLeftCell="A31" zoomScale="110" zoomScaleNormal="110" workbookViewId="0">
      <selection activeCell="B18" sqref="B18:M18"/>
    </sheetView>
  </sheetViews>
  <sheetFormatPr defaultRowHeight="12.5" x14ac:dyDescent="0.25"/>
  <cols>
    <col min="1" max="1" width="14.26953125" customWidth="1"/>
    <col min="2" max="2" width="54.7265625" customWidth="1"/>
    <col min="3" max="3" width="14.26953125" customWidth="1"/>
    <col min="4" max="4" width="12" customWidth="1"/>
    <col min="5" max="5" width="13.7265625" customWidth="1"/>
    <col min="6" max="6" width="13.26953125" customWidth="1"/>
    <col min="7" max="7" width="10.81640625" customWidth="1"/>
    <col min="8" max="8" width="12.453125" customWidth="1"/>
    <col min="9" max="9" width="15.54296875" customWidth="1"/>
    <col min="10" max="10" width="15.26953125" customWidth="1"/>
    <col min="11" max="11" width="15.54296875" customWidth="1"/>
    <col min="12" max="12" width="17.453125" customWidth="1"/>
    <col min="13" max="13" width="14.54296875" customWidth="1"/>
    <col min="17" max="17" width="11" customWidth="1"/>
    <col min="18" max="18" width="12.453125" customWidth="1"/>
    <col min="19" max="19" width="10.453125" customWidth="1"/>
    <col min="20" max="20" width="10.7265625" customWidth="1"/>
    <col min="21" max="21" width="12.453125" customWidth="1"/>
    <col min="22" max="22" width="10.453125" customWidth="1"/>
    <col min="23" max="23" width="11.7265625" customWidth="1"/>
    <col min="24" max="24" width="10.453125" customWidth="1"/>
    <col min="27" max="27" width="10.1796875" customWidth="1"/>
  </cols>
  <sheetData>
    <row r="1" spans="1:36" ht="13" thickBot="1" x14ac:dyDescent="0.3"/>
    <row r="2" spans="1:36" ht="14.25" customHeight="1" thickTop="1" thickBot="1" x14ac:dyDescent="0.35">
      <c r="A2" s="371" t="s">
        <v>193</v>
      </c>
      <c r="B2" s="414"/>
      <c r="C2" s="414"/>
      <c r="D2" s="446"/>
      <c r="E2" s="446"/>
      <c r="F2" s="446"/>
      <c r="G2" s="446"/>
      <c r="H2" s="446"/>
      <c r="I2" s="446"/>
      <c r="J2" s="446"/>
      <c r="K2" s="446"/>
      <c r="L2" s="446"/>
      <c r="M2" s="446"/>
      <c r="AA2" s="9"/>
      <c r="AB2" s="9"/>
      <c r="AC2" s="9"/>
      <c r="AD2" s="9"/>
      <c r="AE2" s="9"/>
      <c r="AF2" s="9"/>
      <c r="AG2" s="9"/>
      <c r="AH2" s="9"/>
      <c r="AI2" s="9"/>
      <c r="AJ2" s="9"/>
    </row>
    <row r="3" spans="1:36" ht="13.5" customHeight="1" x14ac:dyDescent="0.3">
      <c r="A3" s="328" t="s">
        <v>1</v>
      </c>
      <c r="B3" s="403"/>
      <c r="C3" s="403"/>
      <c r="D3" s="403"/>
      <c r="E3" s="403"/>
      <c r="F3" s="404"/>
      <c r="G3" s="497" t="s">
        <v>23</v>
      </c>
      <c r="H3" s="498"/>
      <c r="I3" s="498"/>
      <c r="J3" s="498"/>
      <c r="K3" s="498"/>
      <c r="L3" s="498"/>
      <c r="M3" s="498"/>
      <c r="AA3" s="9"/>
      <c r="AB3" s="9"/>
      <c r="AC3" s="9"/>
      <c r="AD3" s="9"/>
      <c r="AE3" s="9"/>
      <c r="AF3" s="9"/>
      <c r="AG3" s="9"/>
      <c r="AH3" s="9"/>
      <c r="AI3" s="9"/>
      <c r="AJ3" s="9"/>
    </row>
    <row r="4" spans="1:36" ht="13" x14ac:dyDescent="0.3">
      <c r="A4" s="499" t="s">
        <v>2</v>
      </c>
      <c r="B4" s="499"/>
      <c r="C4" s="433"/>
      <c r="D4" s="500" t="s">
        <v>403</v>
      </c>
      <c r="E4" s="485"/>
      <c r="F4" s="501"/>
      <c r="G4" s="502" t="s">
        <v>24</v>
      </c>
      <c r="H4" s="499"/>
      <c r="I4" s="433"/>
      <c r="J4" s="500" t="s">
        <v>406</v>
      </c>
      <c r="K4" s="485"/>
      <c r="L4" s="485"/>
      <c r="M4" s="485"/>
      <c r="AA4" s="9"/>
      <c r="AB4" s="9"/>
      <c r="AC4" s="9"/>
      <c r="AD4" s="9"/>
      <c r="AE4" s="9"/>
      <c r="AF4" s="9"/>
      <c r="AG4" s="9"/>
      <c r="AH4" s="9"/>
      <c r="AI4" s="9"/>
      <c r="AJ4" s="9"/>
    </row>
    <row r="5" spans="1:36" ht="13" x14ac:dyDescent="0.3">
      <c r="A5" s="403" t="s">
        <v>3</v>
      </c>
      <c r="B5" s="403"/>
      <c r="C5" s="404"/>
      <c r="D5" s="493" t="s">
        <v>404</v>
      </c>
      <c r="E5" s="494"/>
      <c r="F5" s="495"/>
      <c r="G5" s="519" t="s">
        <v>194</v>
      </c>
      <c r="H5" s="403"/>
      <c r="I5" s="404"/>
      <c r="J5" s="493" t="s">
        <v>409</v>
      </c>
      <c r="K5" s="494"/>
      <c r="L5" s="494"/>
      <c r="M5" s="494"/>
      <c r="AA5" s="9"/>
      <c r="AB5" s="9"/>
      <c r="AC5" s="9"/>
      <c r="AD5" s="9"/>
      <c r="AE5" s="9"/>
      <c r="AF5" s="9"/>
      <c r="AG5" s="9"/>
      <c r="AH5" s="9"/>
      <c r="AI5" s="9"/>
      <c r="AJ5" s="9"/>
    </row>
    <row r="6" spans="1:36" ht="12.75" customHeight="1" x14ac:dyDescent="0.25">
      <c r="A6" s="403" t="s">
        <v>4</v>
      </c>
      <c r="B6" s="403"/>
      <c r="C6" s="404"/>
      <c r="D6" s="496" t="s">
        <v>405</v>
      </c>
      <c r="E6" s="494"/>
      <c r="F6" s="495"/>
      <c r="G6" s="489" t="s">
        <v>26</v>
      </c>
      <c r="H6" s="403"/>
      <c r="I6" s="404"/>
      <c r="J6" s="493" t="s">
        <v>408</v>
      </c>
      <c r="K6" s="494"/>
      <c r="L6" s="494"/>
      <c r="M6" s="494"/>
      <c r="AA6" s="46"/>
      <c r="AB6" s="53"/>
      <c r="AC6" s="53"/>
      <c r="AD6" s="53"/>
      <c r="AE6" s="53"/>
      <c r="AF6" s="53"/>
      <c r="AG6" s="53"/>
      <c r="AH6" s="53"/>
      <c r="AI6" s="53"/>
      <c r="AJ6" s="53"/>
    </row>
    <row r="7" spans="1:36" x14ac:dyDescent="0.25">
      <c r="A7" s="403"/>
      <c r="B7" s="403"/>
      <c r="C7" s="404"/>
      <c r="D7" s="489"/>
      <c r="E7" s="403"/>
      <c r="F7" s="404"/>
      <c r="G7" s="489" t="s">
        <v>27</v>
      </c>
      <c r="H7" s="403"/>
      <c r="I7" s="404"/>
      <c r="J7" s="490">
        <v>2019</v>
      </c>
      <c r="K7" s="491"/>
      <c r="L7" s="491"/>
      <c r="M7" s="491"/>
      <c r="AA7" s="46"/>
      <c r="AB7" s="53"/>
      <c r="AC7" s="53"/>
      <c r="AD7" s="53"/>
      <c r="AE7" s="53"/>
      <c r="AF7" s="53"/>
      <c r="AG7" s="53"/>
      <c r="AH7" s="53"/>
      <c r="AI7" s="53"/>
      <c r="AJ7" s="53"/>
    </row>
    <row r="8" spans="1:36" ht="13" x14ac:dyDescent="0.3">
      <c r="A8" s="492" t="s">
        <v>5</v>
      </c>
      <c r="B8" s="365"/>
      <c r="C8" s="365"/>
      <c r="D8" s="365"/>
      <c r="E8" s="365"/>
      <c r="F8" s="366"/>
      <c r="G8" s="394" t="s">
        <v>28</v>
      </c>
      <c r="H8" s="366"/>
      <c r="I8" s="394" t="s">
        <v>30</v>
      </c>
      <c r="J8" s="365"/>
      <c r="K8" s="365"/>
      <c r="L8" s="365"/>
      <c r="M8" s="365"/>
      <c r="AA8" s="46"/>
      <c r="AB8" s="53"/>
      <c r="AC8" s="53"/>
      <c r="AD8" s="53"/>
      <c r="AE8" s="53"/>
      <c r="AF8" s="53"/>
      <c r="AG8" s="53"/>
      <c r="AH8" s="53"/>
      <c r="AI8" s="53"/>
      <c r="AJ8" s="53"/>
    </row>
    <row r="9" spans="1:36" ht="13.5" thickBot="1" x14ac:dyDescent="0.35">
      <c r="A9" s="393" t="s">
        <v>195</v>
      </c>
      <c r="B9" s="365"/>
      <c r="C9" s="365"/>
      <c r="D9" s="365"/>
      <c r="E9" s="365"/>
      <c r="F9" s="366"/>
      <c r="G9" s="483" t="s">
        <v>29</v>
      </c>
      <c r="H9" s="433"/>
      <c r="I9" s="520" t="s">
        <v>206</v>
      </c>
      <c r="J9" s="521"/>
      <c r="K9" s="521"/>
      <c r="L9" s="521"/>
      <c r="M9" s="521"/>
      <c r="O9" s="156" t="str">
        <f>IF($I$9="3ST","Unsignalized three-leg (stop control on minor-road approaches)",IF($I$9="4ST","Unsignalized four-leg (stop control on minor-road approaches)","Signalized four-leg"))</f>
        <v>Signalized four-leg</v>
      </c>
      <c r="AA9" s="46"/>
      <c r="AB9" s="53"/>
      <c r="AC9" s="53"/>
      <c r="AD9" s="53"/>
      <c r="AE9" s="53"/>
      <c r="AF9" s="53"/>
      <c r="AG9" s="53"/>
      <c r="AH9" s="53"/>
      <c r="AI9" s="53"/>
      <c r="AJ9" s="53"/>
    </row>
    <row r="10" spans="1:36" ht="16" thickBot="1" x14ac:dyDescent="0.45">
      <c r="A10" s="393" t="s">
        <v>196</v>
      </c>
      <c r="B10" s="365"/>
      <c r="C10" s="488"/>
      <c r="D10" s="148" t="s">
        <v>357</v>
      </c>
      <c r="E10" s="149">
        <f>IF($I$9="3ST",19500,IF($I$9="4ST",14700,25200))</f>
        <v>25200</v>
      </c>
      <c r="F10" s="150" t="s">
        <v>358</v>
      </c>
      <c r="G10" s="364" t="s">
        <v>29</v>
      </c>
      <c r="H10" s="366"/>
      <c r="I10" s="486">
        <v>25000</v>
      </c>
      <c r="J10" s="487"/>
      <c r="K10" s="487"/>
      <c r="L10" s="487"/>
      <c r="M10" s="487"/>
      <c r="N10" s="151" t="str">
        <f>IF(I10&gt;E10,"AADT out of range",IF(I10&lt;I11,"Major AADT must be greater than or equal to Minor AADTO", "AADT OK"))</f>
        <v>AADT OK</v>
      </c>
      <c r="AA10" s="85"/>
    </row>
    <row r="11" spans="1:36" ht="16" thickBot="1" x14ac:dyDescent="0.45">
      <c r="A11" s="393" t="s">
        <v>197</v>
      </c>
      <c r="B11" s="365"/>
      <c r="C11" s="488"/>
      <c r="D11" s="148" t="s">
        <v>357</v>
      </c>
      <c r="E11" s="149">
        <f>IF($I$9="3ST",4300,IF($I$9="4ST",3500,12500))</f>
        <v>12500</v>
      </c>
      <c r="F11" s="150" t="s">
        <v>358</v>
      </c>
      <c r="G11" s="364" t="s">
        <v>29</v>
      </c>
      <c r="H11" s="366"/>
      <c r="I11" s="486">
        <v>10000</v>
      </c>
      <c r="J11" s="487"/>
      <c r="K11" s="487"/>
      <c r="L11" s="487"/>
      <c r="M11" s="487"/>
      <c r="N11" s="151" t="str">
        <f>IF(I11&gt;E11,"AADT out of range","AADT OK")</f>
        <v>AADT OK</v>
      </c>
    </row>
    <row r="12" spans="1:36" ht="13" x14ac:dyDescent="0.3">
      <c r="A12" s="70" t="s">
        <v>198</v>
      </c>
      <c r="B12" s="44"/>
      <c r="C12" s="70" t="s">
        <v>226</v>
      </c>
      <c r="D12" s="44"/>
      <c r="E12" s="44"/>
      <c r="F12" s="121" t="s">
        <v>191</v>
      </c>
      <c r="G12" s="353">
        <v>0</v>
      </c>
      <c r="H12" s="366"/>
      <c r="I12" s="143" t="s">
        <v>228</v>
      </c>
      <c r="J12" s="122">
        <v>0</v>
      </c>
      <c r="K12" s="522" t="s">
        <v>229</v>
      </c>
      <c r="L12" s="523"/>
      <c r="M12" s="122">
        <v>0</v>
      </c>
      <c r="O12" s="157" t="s">
        <v>369</v>
      </c>
    </row>
    <row r="13" spans="1:36" x14ac:dyDescent="0.25">
      <c r="A13" s="393" t="s">
        <v>199</v>
      </c>
      <c r="B13" s="365"/>
      <c r="C13" s="365"/>
      <c r="D13" s="365"/>
      <c r="E13" s="365"/>
      <c r="F13" s="366"/>
      <c r="G13" s="466">
        <v>0</v>
      </c>
      <c r="H13" s="366"/>
      <c r="I13" s="467">
        <v>0</v>
      </c>
      <c r="J13" s="468"/>
      <c r="K13" s="468"/>
      <c r="L13" s="468"/>
      <c r="M13" s="468"/>
    </row>
    <row r="14" spans="1:36" x14ac:dyDescent="0.25">
      <c r="A14" s="393" t="s">
        <v>200</v>
      </c>
      <c r="B14" s="365"/>
      <c r="C14" s="365"/>
      <c r="D14" s="365"/>
      <c r="E14" s="365"/>
      <c r="F14" s="366"/>
      <c r="G14" s="353">
        <v>0</v>
      </c>
      <c r="H14" s="366"/>
      <c r="I14" s="524">
        <v>0</v>
      </c>
      <c r="J14" s="468"/>
      <c r="K14" s="468"/>
      <c r="L14" s="468"/>
      <c r="M14" s="468"/>
      <c r="AA14" s="46"/>
      <c r="AE14" s="53"/>
    </row>
    <row r="15" spans="1:36" ht="13.5" customHeight="1" x14ac:dyDescent="0.25">
      <c r="A15" s="393" t="s">
        <v>201</v>
      </c>
      <c r="B15" s="365"/>
      <c r="C15" s="365"/>
      <c r="D15" s="365"/>
      <c r="E15" s="365"/>
      <c r="F15" s="366"/>
      <c r="G15" s="528" t="s">
        <v>159</v>
      </c>
      <c r="H15" s="366"/>
      <c r="I15" s="467" t="s">
        <v>159</v>
      </c>
      <c r="J15" s="468"/>
      <c r="K15" s="468"/>
      <c r="L15" s="468"/>
      <c r="M15" s="468"/>
    </row>
    <row r="16" spans="1:36" ht="16" thickBot="1" x14ac:dyDescent="0.45">
      <c r="A16" s="525" t="s">
        <v>202</v>
      </c>
      <c r="B16" s="469"/>
      <c r="C16" s="469"/>
      <c r="D16" s="469"/>
      <c r="E16" s="469"/>
      <c r="F16" s="470"/>
      <c r="G16" s="526">
        <v>1</v>
      </c>
      <c r="H16" s="527"/>
      <c r="I16" s="472">
        <v>1</v>
      </c>
      <c r="J16" s="473"/>
      <c r="K16" s="473"/>
      <c r="L16" s="473"/>
      <c r="M16" s="473"/>
      <c r="AA16" s="46"/>
      <c r="AE16" s="53"/>
    </row>
    <row r="17" spans="1:24" ht="13" thickTop="1" x14ac:dyDescent="0.25">
      <c r="A17" s="21"/>
      <c r="B17" s="21"/>
      <c r="C17" s="21"/>
      <c r="D17" s="21"/>
      <c r="E17" s="21"/>
      <c r="F17" s="21"/>
      <c r="G17" s="54"/>
      <c r="H17" s="55"/>
      <c r="I17" s="38"/>
      <c r="J17" s="21"/>
      <c r="K17" s="21"/>
      <c r="L17" s="21"/>
      <c r="M17" s="21"/>
    </row>
    <row r="18" spans="1:24" ht="60" customHeight="1" thickBot="1" x14ac:dyDescent="0.3">
      <c r="B18" s="529" t="s">
        <v>905</v>
      </c>
      <c r="C18" s="529"/>
      <c r="D18" s="529"/>
      <c r="E18" s="529"/>
      <c r="F18" s="529"/>
      <c r="G18" s="529"/>
      <c r="H18" s="529"/>
      <c r="I18" s="529"/>
      <c r="J18" s="529"/>
      <c r="K18" s="529"/>
      <c r="L18" s="529"/>
      <c r="M18" s="529"/>
    </row>
    <row r="19" spans="1:24" ht="14.25" customHeight="1" thickTop="1" thickBot="1" x14ac:dyDescent="0.3">
      <c r="A19" s="459" t="s">
        <v>210</v>
      </c>
      <c r="B19" s="460"/>
      <c r="C19" s="460"/>
      <c r="D19" s="460"/>
      <c r="E19" s="460"/>
      <c r="F19" s="460"/>
      <c r="G19" s="460"/>
      <c r="H19" s="460"/>
      <c r="I19" s="460"/>
      <c r="J19" s="460"/>
      <c r="K19" s="460"/>
      <c r="L19" s="460"/>
      <c r="M19" s="460"/>
    </row>
    <row r="20" spans="1:24" x14ac:dyDescent="0.25">
      <c r="A20" s="613" t="s">
        <v>32</v>
      </c>
      <c r="B20" s="532"/>
      <c r="C20" s="532"/>
      <c r="D20" s="530" t="s">
        <v>33</v>
      </c>
      <c r="E20" s="532"/>
      <c r="F20" s="530" t="s">
        <v>34</v>
      </c>
      <c r="G20" s="532"/>
      <c r="H20" s="532"/>
      <c r="I20" s="530" t="s">
        <v>35</v>
      </c>
      <c r="J20" s="532"/>
      <c r="K20" s="532"/>
      <c r="L20" s="530" t="s">
        <v>36</v>
      </c>
      <c r="M20" s="531"/>
    </row>
    <row r="21" spans="1:24" x14ac:dyDescent="0.25">
      <c r="A21" s="546" t="s">
        <v>211</v>
      </c>
      <c r="B21" s="547"/>
      <c r="C21" s="547"/>
      <c r="D21" s="552" t="s">
        <v>213</v>
      </c>
      <c r="E21" s="547"/>
      <c r="F21" s="552" t="s">
        <v>214</v>
      </c>
      <c r="G21" s="547"/>
      <c r="H21" s="547"/>
      <c r="I21" s="552" t="s">
        <v>54</v>
      </c>
      <c r="J21" s="547"/>
      <c r="K21" s="547"/>
      <c r="L21" s="552" t="s">
        <v>215</v>
      </c>
      <c r="M21" s="570"/>
    </row>
    <row r="22" spans="1:24" ht="15.5" x14ac:dyDescent="0.4">
      <c r="A22" s="546" t="s">
        <v>317</v>
      </c>
      <c r="B22" s="547"/>
      <c r="C22" s="547"/>
      <c r="D22" s="552" t="s">
        <v>318</v>
      </c>
      <c r="E22" s="547"/>
      <c r="F22" s="552" t="s">
        <v>319</v>
      </c>
      <c r="G22" s="547"/>
      <c r="H22" s="547"/>
      <c r="I22" s="552" t="s">
        <v>320</v>
      </c>
      <c r="J22" s="547"/>
      <c r="K22" s="547"/>
      <c r="L22" s="552" t="s">
        <v>321</v>
      </c>
      <c r="M22" s="570"/>
    </row>
    <row r="23" spans="1:24" ht="13" thickBot="1" x14ac:dyDescent="0.3">
      <c r="A23" s="546" t="s">
        <v>212</v>
      </c>
      <c r="B23" s="547"/>
      <c r="C23" s="547"/>
      <c r="D23" s="552" t="s">
        <v>352</v>
      </c>
      <c r="E23" s="547"/>
      <c r="F23" s="552" t="s">
        <v>353</v>
      </c>
      <c r="G23" s="547"/>
      <c r="H23" s="547"/>
      <c r="I23" s="552" t="s">
        <v>354</v>
      </c>
      <c r="J23" s="547"/>
      <c r="K23" s="547"/>
      <c r="L23" s="578" t="s">
        <v>216</v>
      </c>
      <c r="M23" s="570"/>
    </row>
    <row r="24" spans="1:24" ht="13" thickBot="1" x14ac:dyDescent="0.3">
      <c r="A24" s="574">
        <f>IF(+$I$9="3ST",(EXP(0.004*$J$12)),(IF(+$I$9="4ST",(IF($F$12="No",(EXP(0.0054*$J$12)),(((EXP(0.0054*$J$12))+(EXP(0.0054*$M$12)))/2))),1)))</f>
        <v>1</v>
      </c>
      <c r="B24" s="574"/>
      <c r="C24" s="614"/>
      <c r="D24" s="571">
        <f>IF($I$9="3ST",(IF($I$13=0,1,(HLOOKUP($I$13,'Reference Tables (Intersection)'!$AC$9:$AF$15,3,FALSE)))),(IF($I$9="4ST",(IF($I$13=0,1,(HLOOKUP($I$13,'Reference Tables (Intersection)'!$AC$9:$AF$15,5,FALSE)))),(IF($I$13=0,1,(HLOOKUP($I$13,'Reference Tables (Intersection)'!$AC$9:$AF$15,7,FALSE)))))))</f>
        <v>1</v>
      </c>
      <c r="E24" s="614"/>
      <c r="F24" s="626">
        <f>IF($I$9="3ST",(IF($I$14=0,1,(HLOOKUP($I$14,'Reference Tables (Intersection)'!$AC$25:$AF$31,3,FALSE)))),(IF($I$9="4ST",(IF($I$14=0,1,(HLOOKUP($I$14,'Reference Tables (Intersection)'!$AC$25:$AF$31,5,FALSE)))),(IF($I$14=0,1,(HLOOKUP($I$14,'Reference Tables (Intersection)'!$AC$25:$AF$31,7,FALSE)))))))</f>
        <v>1</v>
      </c>
      <c r="G24" s="627"/>
      <c r="H24" s="628"/>
      <c r="I24" s="571">
        <f>IF(($I$15="Not Present"),1,(1-0.38*(IF('Reference Tables (Intersection)'!$D$49="No",(VLOOKUP( $I$9,'Reference Tables (Intersection)'!$B$50:$F$52,4,FALSE)),(VLOOKUP($I$9,'Reference Tables (Intersection)'!B50:H52,6,FALSE))))))</f>
        <v>1</v>
      </c>
      <c r="J24" s="572"/>
      <c r="K24" s="573"/>
      <c r="L24" s="571">
        <f>+A24*D24*F24*I24</f>
        <v>1</v>
      </c>
      <c r="M24" s="574"/>
    </row>
    <row r="25" spans="1:24" x14ac:dyDescent="0.25">
      <c r="A25" s="548"/>
      <c r="B25" s="548"/>
      <c r="C25" s="548"/>
      <c r="D25" s="73"/>
      <c r="E25" s="73"/>
      <c r="F25" s="548"/>
      <c r="G25" s="548"/>
      <c r="H25" s="387"/>
      <c r="I25" s="548"/>
      <c r="J25" s="549"/>
      <c r="K25" s="549"/>
    </row>
    <row r="26" spans="1:24" ht="13" thickBot="1" x14ac:dyDescent="0.3">
      <c r="A26" s="46"/>
      <c r="G26" s="53"/>
      <c r="H26" s="56"/>
      <c r="I26" s="53"/>
    </row>
    <row r="27" spans="1:24" ht="14" thickTop="1" thickBot="1" x14ac:dyDescent="0.3">
      <c r="A27" s="371" t="s">
        <v>217</v>
      </c>
      <c r="B27" s="414"/>
      <c r="C27" s="414"/>
      <c r="D27" s="414"/>
      <c r="E27" s="414"/>
      <c r="F27" s="414"/>
      <c r="G27" s="414"/>
      <c r="H27" s="414"/>
      <c r="I27" s="446"/>
      <c r="J27" s="446"/>
      <c r="K27" s="446"/>
      <c r="L27" s="446"/>
      <c r="M27" s="446"/>
    </row>
    <row r="28" spans="1:24" x14ac:dyDescent="0.25">
      <c r="A28" s="629" t="s">
        <v>32</v>
      </c>
      <c r="B28" s="576"/>
      <c r="C28" s="550" t="s">
        <v>33</v>
      </c>
      <c r="D28" s="577"/>
      <c r="E28" s="65" t="s">
        <v>34</v>
      </c>
      <c r="F28" s="66" t="s">
        <v>35</v>
      </c>
      <c r="G28" s="575" t="s">
        <v>36</v>
      </c>
      <c r="H28" s="576"/>
      <c r="I28" s="65" t="s">
        <v>37</v>
      </c>
      <c r="J28" s="575" t="s">
        <v>38</v>
      </c>
      <c r="K28" s="576"/>
      <c r="L28" s="550" t="s">
        <v>39</v>
      </c>
      <c r="M28" s="551"/>
    </row>
    <row r="29" spans="1:24" ht="16.5" customHeight="1" x14ac:dyDescent="0.25">
      <c r="A29" s="615" t="s">
        <v>79</v>
      </c>
      <c r="B29" s="616"/>
      <c r="C29" s="543" t="s">
        <v>218</v>
      </c>
      <c r="D29" s="544"/>
      <c r="E29" s="541" t="s">
        <v>81</v>
      </c>
      <c r="F29" s="541" t="s">
        <v>82</v>
      </c>
      <c r="G29" s="541" t="s">
        <v>219</v>
      </c>
      <c r="H29" s="630"/>
      <c r="I29" s="541" t="s">
        <v>84</v>
      </c>
      <c r="J29" s="620" t="s">
        <v>202</v>
      </c>
      <c r="K29" s="616"/>
      <c r="L29" s="562" t="s">
        <v>241</v>
      </c>
      <c r="M29" s="563"/>
    </row>
    <row r="30" spans="1:24" x14ac:dyDescent="0.25">
      <c r="A30" s="617"/>
      <c r="B30" s="616"/>
      <c r="C30" s="545"/>
      <c r="D30" s="545"/>
      <c r="E30" s="584"/>
      <c r="F30" s="542"/>
      <c r="G30" s="542"/>
      <c r="H30" s="542"/>
      <c r="I30" s="542"/>
      <c r="J30" s="621"/>
      <c r="K30" s="616"/>
      <c r="L30" s="564"/>
      <c r="M30" s="565"/>
    </row>
    <row r="31" spans="1:24" x14ac:dyDescent="0.25">
      <c r="A31" s="617"/>
      <c r="B31" s="616"/>
      <c r="C31" s="631" t="s">
        <v>220</v>
      </c>
      <c r="D31" s="564"/>
      <c r="E31" s="623" t="s">
        <v>221</v>
      </c>
      <c r="F31" s="623" t="s">
        <v>343</v>
      </c>
      <c r="G31" s="624" t="s">
        <v>222</v>
      </c>
      <c r="H31" s="625"/>
      <c r="I31" s="623" t="s">
        <v>322</v>
      </c>
      <c r="J31" s="621"/>
      <c r="K31" s="616"/>
      <c r="L31" s="566" t="s">
        <v>852</v>
      </c>
      <c r="M31" s="567"/>
    </row>
    <row r="32" spans="1:24" ht="16.5" customHeight="1" x14ac:dyDescent="0.25">
      <c r="A32" s="618"/>
      <c r="B32" s="619"/>
      <c r="C32" s="564"/>
      <c r="D32" s="564"/>
      <c r="E32" s="542"/>
      <c r="F32" s="542"/>
      <c r="G32" s="625"/>
      <c r="H32" s="625"/>
      <c r="I32" s="542"/>
      <c r="J32" s="622"/>
      <c r="K32" s="619"/>
      <c r="L32" s="545"/>
      <c r="M32" s="567"/>
      <c r="Q32" s="41"/>
      <c r="R32" s="41"/>
      <c r="S32" s="41"/>
      <c r="T32" s="41"/>
      <c r="U32" s="41"/>
      <c r="V32" s="41"/>
      <c r="W32" s="41"/>
      <c r="X32" s="41"/>
    </row>
    <row r="33" spans="1:32" x14ac:dyDescent="0.25">
      <c r="A33" s="601" t="s">
        <v>88</v>
      </c>
      <c r="B33" s="602"/>
      <c r="C33" s="600">
        <f>IF($I$9="3ST",(EXP(-9.86+0.79*(LN($I$10))+(0.49*(LN($I$11))))),IF($I$9="4ST",(EXP(-8.56+0.6*(LN($I$10))+(0.61*(LN($I$11))))),(EXP(-5.13+(0.6*(LN($I$10)))+(0.2*(LN($I$11)))))))</f>
        <v>16.249249721178604</v>
      </c>
      <c r="D33" s="600"/>
      <c r="E33" s="62">
        <f>IF($I$9="3ST",0.54,(IF($I$9="4ST",0.24,0.11)))</f>
        <v>0.11</v>
      </c>
      <c r="F33" s="77">
        <f>IF($I$9="3ST",IF('Reference Tables (Intersection)'!$D$10="No",'Reference Tables (Intersection)'!$E$18,'Reference Tables (Intersection)'!$K$18),(IF($I$9="4ST",(IF('Reference Tables (Intersection)'!$D$10="No",'Reference Tables (Intersection)'!$G$18,'Reference Tables (Intersection)'!$M$18)),(IF('Reference Tables (Intersection)'!$D$10="No",'Reference Tables (Intersection)'!$I$18,'Reference Tables (Intersection)'!$O$18)))))/100</f>
        <v>1</v>
      </c>
      <c r="G33" s="603">
        <f>+C33*F33</f>
        <v>16.249249721178604</v>
      </c>
      <c r="H33" s="604"/>
      <c r="I33" s="79">
        <f>+$L$24</f>
        <v>1</v>
      </c>
      <c r="J33" s="556">
        <f>+$I$16</f>
        <v>1</v>
      </c>
      <c r="K33" s="557"/>
      <c r="L33" s="611">
        <f>+G33*I33*J33</f>
        <v>16.249249721178604</v>
      </c>
      <c r="M33" s="612"/>
      <c r="Q33" s="41"/>
      <c r="R33" s="41"/>
      <c r="S33" s="41"/>
      <c r="T33" s="41"/>
      <c r="U33" s="41"/>
      <c r="V33" s="41"/>
      <c r="W33" s="41"/>
      <c r="X33" s="41"/>
    </row>
    <row r="34" spans="1:32" x14ac:dyDescent="0.25">
      <c r="A34" s="601" t="s">
        <v>89</v>
      </c>
      <c r="B34" s="602"/>
      <c r="C34" s="588" t="s">
        <v>29</v>
      </c>
      <c r="D34" s="589"/>
      <c r="E34" s="63" t="s">
        <v>29</v>
      </c>
      <c r="F34" s="77">
        <f>IF($I$9="3ST",IF('Reference Tables (Intersection)'!$D$10="No",'Reference Tables (Intersection)'!$E$16,'Reference Tables (Intersection)'!$K$16),(IF($I$9="4ST",(IF('Reference Tables (Intersection)'!$D$10="No",'Reference Tables (Intersection)'!$G$16,'Reference Tables (Intersection)'!$M$16)),(IF('Reference Tables (Intersection)'!$D$10="No",'Reference Tables (Intersection)'!$I$16,'Reference Tables (Intersection)'!$O$16)))))/100</f>
        <v>0.34</v>
      </c>
      <c r="G34" s="603">
        <f>+C33*F34</f>
        <v>5.524744905200726</v>
      </c>
      <c r="H34" s="604"/>
      <c r="I34" s="79">
        <f>+$L$24</f>
        <v>1</v>
      </c>
      <c r="J34" s="556">
        <f>+$I$16</f>
        <v>1</v>
      </c>
      <c r="K34" s="557"/>
      <c r="L34" s="611">
        <f>+G34*I34*J34</f>
        <v>5.524744905200726</v>
      </c>
      <c r="M34" s="612"/>
      <c r="Q34" s="41"/>
      <c r="R34" s="41"/>
      <c r="S34" s="41"/>
      <c r="T34" s="41"/>
      <c r="U34" s="41"/>
      <c r="V34" s="41"/>
      <c r="W34" s="41"/>
      <c r="X34" s="41"/>
    </row>
    <row r="35" spans="1:32" ht="13" thickBot="1" x14ac:dyDescent="0.3">
      <c r="A35" s="579" t="s">
        <v>90</v>
      </c>
      <c r="B35" s="580"/>
      <c r="C35" s="598" t="s">
        <v>29</v>
      </c>
      <c r="D35" s="599"/>
      <c r="E35" s="64" t="s">
        <v>29</v>
      </c>
      <c r="F35" s="78">
        <f>IF($I$9="3ST",IF('Reference Tables (Intersection)'!$D$10="No",'Reference Tables (Intersection)'!$E$17,'Reference Tables (Intersection)'!$K$17),(IF($I$9="4ST",(IF('Reference Tables (Intersection)'!$D$10="No",'Reference Tables (Intersection)'!$G$17,'Reference Tables (Intersection)'!$M$17)),(IF('Reference Tables (Intersection)'!$D$10="No",'Reference Tables (Intersection)'!$I$17,'Reference Tables (Intersection)'!$O$17)))))/100</f>
        <v>0.66</v>
      </c>
      <c r="G35" s="607">
        <f>+C33*F35</f>
        <v>10.724504815977879</v>
      </c>
      <c r="H35" s="608"/>
      <c r="I35" s="80">
        <f>+$L$24</f>
        <v>1</v>
      </c>
      <c r="J35" s="568">
        <f>+$I$16</f>
        <v>1</v>
      </c>
      <c r="K35" s="569"/>
      <c r="L35" s="609">
        <f>+G35*I35*J35</f>
        <v>10.724504815977879</v>
      </c>
      <c r="M35" s="610"/>
    </row>
    <row r="36" spans="1:32" ht="13" x14ac:dyDescent="0.3">
      <c r="A36" s="58"/>
      <c r="B36" s="58"/>
      <c r="C36" s="144"/>
      <c r="D36" s="144"/>
      <c r="E36" s="58"/>
      <c r="F36" s="58"/>
      <c r="G36" s="58"/>
      <c r="H36" s="58"/>
      <c r="I36" s="58"/>
      <c r="J36" s="58"/>
      <c r="K36" s="58"/>
      <c r="L36" s="58"/>
      <c r="M36" s="58"/>
      <c r="X36" s="74"/>
      <c r="Y36" s="74"/>
      <c r="Z36" s="74"/>
      <c r="AA36" s="74"/>
      <c r="AB36" s="74"/>
      <c r="AC36" s="74"/>
      <c r="AD36" s="74"/>
      <c r="AE36" s="74"/>
      <c r="AF36" s="74"/>
    </row>
    <row r="37" spans="1:32" ht="13" thickBot="1" x14ac:dyDescent="0.3">
      <c r="A37" s="60"/>
      <c r="B37" s="60"/>
      <c r="C37" s="60"/>
      <c r="D37" s="60"/>
      <c r="E37" s="60"/>
      <c r="F37" s="60"/>
      <c r="G37" s="60"/>
      <c r="H37" s="60"/>
      <c r="I37" s="60"/>
      <c r="J37" s="60"/>
      <c r="K37" s="60"/>
      <c r="L37" s="60"/>
      <c r="M37" s="61"/>
      <c r="X37" s="1"/>
      <c r="AC37" s="1"/>
      <c r="AD37" s="1"/>
      <c r="AE37" s="1"/>
      <c r="AF37" s="1"/>
    </row>
    <row r="38" spans="1:32" ht="14" thickTop="1" thickBot="1" x14ac:dyDescent="0.35">
      <c r="A38" s="371" t="s">
        <v>223</v>
      </c>
      <c r="B38" s="414"/>
      <c r="C38" s="414"/>
      <c r="D38" s="414"/>
      <c r="E38" s="414"/>
      <c r="F38" s="414"/>
      <c r="G38" s="414"/>
      <c r="H38" s="415"/>
      <c r="I38" s="415"/>
      <c r="J38" s="415"/>
      <c r="K38" s="415"/>
      <c r="L38" s="415"/>
      <c r="M38" s="415"/>
      <c r="X38" s="9"/>
      <c r="AC38" s="9"/>
      <c r="AD38" s="9"/>
      <c r="AE38" s="9"/>
    </row>
    <row r="39" spans="1:32" ht="13" x14ac:dyDescent="0.3">
      <c r="A39" s="416" t="s">
        <v>32</v>
      </c>
      <c r="B39" s="417"/>
      <c r="C39" s="10" t="s">
        <v>33</v>
      </c>
      <c r="D39" s="418" t="s">
        <v>34</v>
      </c>
      <c r="E39" s="419"/>
      <c r="F39" s="418" t="s">
        <v>35</v>
      </c>
      <c r="G39" s="419"/>
      <c r="H39" s="420" t="s">
        <v>36</v>
      </c>
      <c r="I39" s="421"/>
      <c r="J39" s="418" t="s">
        <v>37</v>
      </c>
      <c r="K39" s="419"/>
      <c r="L39" s="420" t="s">
        <v>38</v>
      </c>
      <c r="M39" s="422"/>
      <c r="AC39" s="9"/>
      <c r="AD39" s="9"/>
      <c r="AE39" s="9"/>
    </row>
    <row r="40" spans="1:32" ht="13" x14ac:dyDescent="0.3">
      <c r="A40" s="533" t="s">
        <v>92</v>
      </c>
      <c r="B40" s="534"/>
      <c r="C40" s="534" t="s">
        <v>96</v>
      </c>
      <c r="D40" s="534" t="s">
        <v>243</v>
      </c>
      <c r="E40" s="605"/>
      <c r="F40" s="534" t="s">
        <v>94</v>
      </c>
      <c r="G40" s="534"/>
      <c r="H40" s="534" t="s">
        <v>244</v>
      </c>
      <c r="I40" s="534"/>
      <c r="J40" s="534" t="s">
        <v>97</v>
      </c>
      <c r="K40" s="534"/>
      <c r="L40" s="534" t="s">
        <v>245</v>
      </c>
      <c r="M40" s="432"/>
      <c r="AC40" s="9"/>
      <c r="AD40" s="9"/>
      <c r="AE40" s="15"/>
    </row>
    <row r="41" spans="1:32" x14ac:dyDescent="0.25">
      <c r="A41" s="535"/>
      <c r="B41" s="536"/>
      <c r="C41" s="538"/>
      <c r="D41" s="538"/>
      <c r="E41" s="538"/>
      <c r="F41" s="538"/>
      <c r="G41" s="538"/>
      <c r="H41" s="538"/>
      <c r="I41" s="538"/>
      <c r="J41" s="538"/>
      <c r="K41" s="538"/>
      <c r="L41" s="538"/>
      <c r="M41" s="606"/>
      <c r="AC41" s="1"/>
      <c r="AD41" s="26"/>
      <c r="AE41" s="12"/>
    </row>
    <row r="42" spans="1:32" x14ac:dyDescent="0.25">
      <c r="A42" s="537"/>
      <c r="B42" s="538"/>
      <c r="C42" s="540"/>
      <c r="D42" s="540"/>
      <c r="E42" s="540"/>
      <c r="F42" s="540"/>
      <c r="G42" s="540"/>
      <c r="H42" s="540"/>
      <c r="I42" s="540"/>
      <c r="J42" s="540"/>
      <c r="K42" s="540"/>
      <c r="L42" s="540"/>
      <c r="M42" s="555"/>
    </row>
    <row r="43" spans="1:32" x14ac:dyDescent="0.25">
      <c r="A43" s="537"/>
      <c r="B43" s="538"/>
      <c r="C43" s="558" t="s">
        <v>344</v>
      </c>
      <c r="D43" s="553" t="s">
        <v>853</v>
      </c>
      <c r="E43" s="559"/>
      <c r="F43" s="558" t="s">
        <v>345</v>
      </c>
      <c r="G43" s="560"/>
      <c r="H43" s="553" t="s">
        <v>854</v>
      </c>
      <c r="I43" s="559"/>
      <c r="J43" s="558" t="s">
        <v>345</v>
      </c>
      <c r="K43" s="560"/>
      <c r="L43" s="553" t="s">
        <v>242</v>
      </c>
      <c r="M43" s="554"/>
    </row>
    <row r="44" spans="1:32" ht="32.15" customHeight="1" x14ac:dyDescent="0.25">
      <c r="A44" s="539"/>
      <c r="B44" s="540"/>
      <c r="C44" s="540"/>
      <c r="D44" s="540"/>
      <c r="E44" s="540"/>
      <c r="F44" s="540"/>
      <c r="G44" s="540"/>
      <c r="H44" s="540"/>
      <c r="I44" s="540"/>
      <c r="J44" s="540"/>
      <c r="K44" s="540"/>
      <c r="L44" s="540"/>
      <c r="M44" s="555"/>
    </row>
    <row r="45" spans="1:32" x14ac:dyDescent="0.25">
      <c r="A45" s="365" t="s">
        <v>88</v>
      </c>
      <c r="B45" s="366"/>
      <c r="C45" s="7">
        <f>IF('Reference Tables (Intersection)'!$D$27="No",(IF($I$9="3ST",'Reference Tables (Intersection)'!G43,(IF($I$9="4ST",'Reference Tables (Intersection)'!J43,'Reference Tables (Intersection)'!M43)))/100),(IF($I$9="3ST",'Reference Tables (Intersection)'!P43,(IF($I$9="4ST",+'Reference Tables (Intersection)'!S43,+'Reference Tables (Intersection)'!V43)))/100))</f>
        <v>1</v>
      </c>
      <c r="D45" s="347">
        <f>+L33</f>
        <v>16.249249721178604</v>
      </c>
      <c r="E45" s="349"/>
      <c r="F45" s="347">
        <f>IF('Reference Tables (Intersection)'!$D$27="No",(IF($I$9="3ST",'Reference Tables (Intersection)'!E43,(IF($I$9="4ST",'Reference Tables (Intersection)'!H43,'Reference Tables (Intersection)'!K43)))/100),(IF($I$9="3ST",'Reference Tables (Intersection)'!N43,(IF($I$9="4ST",+'Reference Tables (Intersection)'!Q43,+'Reference Tables (Intersection)'!T43)))/100))</f>
        <v>1</v>
      </c>
      <c r="G45" s="349"/>
      <c r="H45" s="347">
        <f>+L34</f>
        <v>5.524744905200726</v>
      </c>
      <c r="I45" s="349"/>
      <c r="J45" s="347">
        <f>IF('Reference Tables (Intersection)'!$D$27="No",(IF($I$9="3ST",'Reference Tables (Intersection)'!F43,(IF($I$9="4ST",'Reference Tables (Intersection)'!I43,'Reference Tables (Intersection)'!L43)))/100),(IF($I$9="3ST",'Reference Tables (Intersection)'!O43,(IF($I$9="4ST",+'Reference Tables (Intersection)'!R43,+'Reference Tables (Intersection)'!U43)))/100))</f>
        <v>1</v>
      </c>
      <c r="K45" s="349"/>
      <c r="L45" s="347">
        <f>+L35</f>
        <v>10.724504815977879</v>
      </c>
      <c r="M45" s="348"/>
    </row>
    <row r="46" spans="1:32" ht="13" thickBot="1" x14ac:dyDescent="0.3">
      <c r="A46" s="403"/>
      <c r="B46" s="404"/>
      <c r="C46" s="3"/>
      <c r="D46" s="405" t="s">
        <v>100</v>
      </c>
      <c r="E46" s="406"/>
      <c r="F46" s="407"/>
      <c r="G46" s="397"/>
      <c r="H46" s="396" t="s">
        <v>101</v>
      </c>
      <c r="I46" s="397"/>
      <c r="J46" s="342"/>
      <c r="K46" s="338"/>
      <c r="L46" s="396" t="s">
        <v>102</v>
      </c>
      <c r="M46" s="398"/>
    </row>
    <row r="47" spans="1:32" ht="13.5" thickBot="1" x14ac:dyDescent="0.35">
      <c r="A47" s="384" t="s">
        <v>103</v>
      </c>
      <c r="B47" s="385"/>
      <c r="C47" s="385"/>
      <c r="D47" s="385"/>
      <c r="E47" s="385"/>
      <c r="F47" s="385"/>
      <c r="G47" s="385"/>
      <c r="H47" s="386"/>
      <c r="I47" s="386"/>
      <c r="J47" s="386"/>
      <c r="K47" s="386"/>
      <c r="L47" s="386"/>
      <c r="M47" s="386"/>
    </row>
    <row r="48" spans="1:32" x14ac:dyDescent="0.25">
      <c r="A48" s="399" t="s">
        <v>104</v>
      </c>
      <c r="B48" s="400"/>
      <c r="C48" s="7">
        <f>IF('Reference Tables (Intersection)'!$D$27="No",(IF($I$9="3ST",'Reference Tables (Intersection)'!G29,(IF($I$9="4ST",'Reference Tables (Intersection)'!J29,'Reference Tables (Intersection)'!M29)))/100),(IF($I$9="3ST",'Reference Tables (Intersection)'!P29,(IF($I$9="4ST",+'Reference Tables (Intersection)'!S29,+'Reference Tables (Intersection)'!V29)))/100))</f>
        <v>2E-3</v>
      </c>
      <c r="D48" s="389">
        <f>+C48*$D$45</f>
        <v>3.2498499442357207E-2</v>
      </c>
      <c r="E48" s="390"/>
      <c r="F48" s="389">
        <f>IF('Reference Tables (Intersection)'!$D$27="No",(IF($I$9="3ST",'Reference Tables (Intersection)'!E29,(IF($I$9="4ST",'Reference Tables (Intersection)'!H29,'Reference Tables (Intersection)'!K29)))/100),(IF($I$9="3ST",'Reference Tables (Intersection)'!N29,(IF($I$9="4ST",+'Reference Tables (Intersection)'!Q29,+'Reference Tables (Intersection)'!T29)))/100))</f>
        <v>0</v>
      </c>
      <c r="G48" s="402"/>
      <c r="H48" s="389">
        <f>+$H$45*F48</f>
        <v>0</v>
      </c>
      <c r="I48" s="390"/>
      <c r="J48" s="389">
        <f>IF('Reference Tables (Intersection)'!$D$27="No",(IF($I$9="3ST",'Reference Tables (Intersection)'!F29,(IF($I$9="4ST",'Reference Tables (Intersection)'!I29,'Reference Tables (Intersection)'!L29)))/100),(IF($I$9="3ST",'Reference Tables (Intersection)'!O29,(IF($I$9="4ST",+'Reference Tables (Intersection)'!R29,+'Reference Tables (Intersection)'!U29)))/100))</f>
        <v>3.0000000000000001E-3</v>
      </c>
      <c r="K48" s="402"/>
      <c r="L48" s="389">
        <f>+$L$45*J48</f>
        <v>3.2173514447933635E-2</v>
      </c>
      <c r="M48" s="391"/>
    </row>
    <row r="49" spans="1:14" ht="13" x14ac:dyDescent="0.3">
      <c r="A49" s="393" t="s">
        <v>867</v>
      </c>
      <c r="B49" s="366"/>
      <c r="C49" s="254" t="s">
        <v>848</v>
      </c>
      <c r="D49" s="347">
        <f>'Ped&amp;Bike (Intersection Results)'!F80</f>
        <v>3.7772169254201913E-3</v>
      </c>
      <c r="E49" s="382"/>
      <c r="F49" s="561" t="s">
        <v>848</v>
      </c>
      <c r="G49" s="395"/>
      <c r="H49" s="347">
        <f>'Ped&amp;Bike (Intersection Results)'!F80</f>
        <v>3.7772169254201913E-3</v>
      </c>
      <c r="I49" s="382"/>
      <c r="J49" s="561" t="s">
        <v>848</v>
      </c>
      <c r="K49" s="395"/>
      <c r="L49" s="347">
        <v>0</v>
      </c>
      <c r="M49" s="383"/>
    </row>
    <row r="50" spans="1:14" ht="13" x14ac:dyDescent="0.3">
      <c r="A50" s="393" t="s">
        <v>868</v>
      </c>
      <c r="B50" s="366"/>
      <c r="C50" s="254" t="s">
        <v>848</v>
      </c>
      <c r="D50" s="347">
        <f>'Ped&amp;Bike (Intersection Results)'!C80</f>
        <v>1.7693087027343751E-3</v>
      </c>
      <c r="E50" s="382"/>
      <c r="F50" s="561" t="s">
        <v>848</v>
      </c>
      <c r="G50" s="395"/>
      <c r="H50" s="347">
        <f>'Ped&amp;Bike (Intersection Results)'!C80</f>
        <v>1.7693087027343751E-3</v>
      </c>
      <c r="I50" s="382"/>
      <c r="J50" s="561" t="s">
        <v>848</v>
      </c>
      <c r="K50" s="395"/>
      <c r="L50" s="347">
        <v>0</v>
      </c>
      <c r="M50" s="383"/>
      <c r="N50" s="46"/>
    </row>
    <row r="51" spans="1:14" x14ac:dyDescent="0.25">
      <c r="A51" s="365" t="s">
        <v>107</v>
      </c>
      <c r="B51" s="366"/>
      <c r="C51" s="7">
        <f>IF('Reference Tables (Intersection)'!$D$27="No",(IF($I$9="3ST",'Reference Tables (Intersection)'!G32,(IF($I$9="4ST",'Reference Tables (Intersection)'!J32,'Reference Tables (Intersection)'!M32)))/100),(IF($I$9="3ST",'Reference Tables (Intersection)'!P32,(IF($I$9="4ST",+'Reference Tables (Intersection)'!S32,+'Reference Tables (Intersection)'!V32)))/100))</f>
        <v>3.0000000000000001E-3</v>
      </c>
      <c r="D51" s="347">
        <f t="shared" ref="D51:D54" si="0">+C51*$D$45</f>
        <v>4.874774916353581E-2</v>
      </c>
      <c r="E51" s="382"/>
      <c r="F51" s="347">
        <f>IF('Reference Tables (Intersection)'!$D$27="No",(IF($I$9="3ST",'Reference Tables (Intersection)'!E32,(IF($I$9="4ST",'Reference Tables (Intersection)'!H32,'Reference Tables (Intersection)'!K32)))/100),(IF($I$9="3ST",'Reference Tables (Intersection)'!N32,(IF($I$9="4ST",+'Reference Tables (Intersection)'!Q32,+'Reference Tables (Intersection)'!T32)))/100))</f>
        <v>3.0000000000000001E-3</v>
      </c>
      <c r="G51" s="349"/>
      <c r="H51" s="347">
        <f t="shared" ref="H51:H54" si="1">+$H$45*F51</f>
        <v>1.6574234715602178E-2</v>
      </c>
      <c r="I51" s="382"/>
      <c r="J51" s="347">
        <f>IF('Reference Tables (Intersection)'!$D$27="No",(IF($I$9="3ST",'Reference Tables (Intersection)'!F32,(IF($I$9="4ST",'Reference Tables (Intersection)'!I32,'Reference Tables (Intersection)'!L32)))/100),(IF($I$9="3ST",'Reference Tables (Intersection)'!O32,(IF($I$9="4ST",+'Reference Tables (Intersection)'!R32,+'Reference Tables (Intersection)'!U32)))/100))</f>
        <v>3.0000000000000001E-3</v>
      </c>
      <c r="K51" s="349"/>
      <c r="L51" s="347">
        <f t="shared" ref="L51:L54" si="2">+$L$45*J51</f>
        <v>3.2173514447933635E-2</v>
      </c>
      <c r="M51" s="383"/>
    </row>
    <row r="52" spans="1:14" x14ac:dyDescent="0.25">
      <c r="A52" s="365" t="s">
        <v>108</v>
      </c>
      <c r="B52" s="366"/>
      <c r="C52" s="7">
        <f>IF('Reference Tables (Intersection)'!$D$27="No",(IF($I$9="3ST",'Reference Tables (Intersection)'!G33,(IF($I$9="4ST",'Reference Tables (Intersection)'!J33,'Reference Tables (Intersection)'!M33)))/100),(IF($I$9="3ST",'Reference Tables (Intersection)'!P33,(IF($I$9="4ST",+'Reference Tables (Intersection)'!S33,+'Reference Tables (Intersection)'!V33)))/100))</f>
        <v>6.6000000000000003E-2</v>
      </c>
      <c r="D52" s="347">
        <f t="shared" si="0"/>
        <v>1.072450481597788</v>
      </c>
      <c r="E52" s="382"/>
      <c r="F52" s="347">
        <f>IF('Reference Tables (Intersection)'!$D$27="No",(IF($I$9="3ST",'Reference Tables (Intersection)'!E33,(IF($I$9="4ST",'Reference Tables (Intersection)'!H33,'Reference Tables (Intersection)'!K33)))/100),(IF($I$9="3ST",'Reference Tables (Intersection)'!N33,(IF($I$9="4ST",+'Reference Tables (Intersection)'!Q33,+'Reference Tables (Intersection)'!T33)))/100))</f>
        <v>3.4000000000000002E-2</v>
      </c>
      <c r="G52" s="349"/>
      <c r="H52" s="347">
        <f t="shared" si="1"/>
        <v>0.18784132677682469</v>
      </c>
      <c r="I52" s="382"/>
      <c r="J52" s="347">
        <f>IF('Reference Tables (Intersection)'!$D$27="No",(IF($I$9="3ST",'Reference Tables (Intersection)'!F33,(IF($I$9="4ST",'Reference Tables (Intersection)'!I33,'Reference Tables (Intersection)'!L33)))/100),(IF($I$9="3ST",'Reference Tables (Intersection)'!O33,(IF($I$9="4ST",+'Reference Tables (Intersection)'!R33,+'Reference Tables (Intersection)'!U33)))/100))</f>
        <v>8.3000000000000004E-2</v>
      </c>
      <c r="K52" s="349"/>
      <c r="L52" s="347">
        <f t="shared" si="2"/>
        <v>0.89013389972616397</v>
      </c>
      <c r="M52" s="383"/>
    </row>
    <row r="53" spans="1:14" x14ac:dyDescent="0.25">
      <c r="A53" s="365" t="s">
        <v>109</v>
      </c>
      <c r="B53" s="366"/>
      <c r="C53" s="7">
        <f>IF('Reference Tables (Intersection)'!$D$27="No",(IF($I$9="3ST",'Reference Tables (Intersection)'!G34,(IF($I$9="4ST",'Reference Tables (Intersection)'!J34,'Reference Tables (Intersection)'!M34)))/100),(IF($I$9="3ST",'Reference Tables (Intersection)'!P34,(IF($I$9="4ST",+'Reference Tables (Intersection)'!S34,+'Reference Tables (Intersection)'!V34)))/100))</f>
        <v>5.0000000000000001E-3</v>
      </c>
      <c r="D53" s="347">
        <f t="shared" si="0"/>
        <v>8.1246248605893023E-2</v>
      </c>
      <c r="E53" s="382"/>
      <c r="F53" s="347">
        <f>IF('Reference Tables (Intersection)'!$D$27="No",(IF($I$9="3ST",'Reference Tables (Intersection)'!E34,(IF($I$9="4ST",'Reference Tables (Intersection)'!H34,'Reference Tables (Intersection)'!K34)))/100),(IF($I$9="3ST",'Reference Tables (Intersection)'!N34,(IF($I$9="4ST",+'Reference Tables (Intersection)'!Q34,+'Reference Tables (Intersection)'!T34)))/100))</f>
        <v>3.0000000000000001E-3</v>
      </c>
      <c r="G53" s="349"/>
      <c r="H53" s="347">
        <f t="shared" si="1"/>
        <v>1.6574234715602178E-2</v>
      </c>
      <c r="I53" s="382"/>
      <c r="J53" s="347">
        <f>IF('Reference Tables (Intersection)'!$D$27="No",(IF($I$9="3ST",'Reference Tables (Intersection)'!F34,(IF($I$9="4ST",'Reference Tables (Intersection)'!I34,'Reference Tables (Intersection)'!L34)))/100),(IF($I$9="3ST",'Reference Tables (Intersection)'!O34,(IF($I$9="4ST",+'Reference Tables (Intersection)'!R34,+'Reference Tables (Intersection)'!U34)))/100))</f>
        <v>1.8000000000000002E-2</v>
      </c>
      <c r="K53" s="349"/>
      <c r="L53" s="347">
        <f t="shared" si="2"/>
        <v>0.19304108668760184</v>
      </c>
      <c r="M53" s="383"/>
    </row>
    <row r="54" spans="1:14" ht="13" thickBot="1" x14ac:dyDescent="0.3">
      <c r="A54" s="392" t="s">
        <v>110</v>
      </c>
      <c r="B54" s="379"/>
      <c r="C54" s="7">
        <f>IF('Reference Tables (Intersection)'!$D$27="No",(IF($I$9="3ST",'Reference Tables (Intersection)'!G35,(IF($I$9="4ST",'Reference Tables (Intersection)'!J35,'Reference Tables (Intersection)'!M35)))/100),(IF($I$9="3ST",'Reference Tables (Intersection)'!P35,(IF($I$9="4ST",+'Reference Tables (Intersection)'!S35,+'Reference Tables (Intersection)'!V35)))/100))</f>
        <v>7.5999999999999998E-2</v>
      </c>
      <c r="D54" s="336">
        <f t="shared" si="0"/>
        <v>1.2349429788095738</v>
      </c>
      <c r="E54" s="380"/>
      <c r="F54" s="336">
        <f>IF('Reference Tables (Intersection)'!$D$27="No",(IF($I$9="3ST",'Reference Tables (Intersection)'!E35,(IF($I$9="4ST",'Reference Tables (Intersection)'!H35,'Reference Tables (Intersection)'!K35)))/100),(IF($I$9="3ST",'Reference Tables (Intersection)'!N35,(IF($I$9="4ST",+'Reference Tables (Intersection)'!Q35,+'Reference Tables (Intersection)'!T35)))/100))</f>
        <v>3.9999999999999994E-2</v>
      </c>
      <c r="G54" s="338"/>
      <c r="H54" s="336">
        <f t="shared" si="1"/>
        <v>0.220989796208029</v>
      </c>
      <c r="I54" s="380"/>
      <c r="J54" s="336">
        <f>IF('Reference Tables (Intersection)'!$D$27="No",(IF($I$9="3ST",'Reference Tables (Intersection)'!F35,(IF($I$9="4ST",'Reference Tables (Intersection)'!I35,'Reference Tables (Intersection)'!L35)))/100),(IF($I$9="3ST",'Reference Tables (Intersection)'!O35,(IF($I$9="4ST",+'Reference Tables (Intersection)'!R35,+'Reference Tables (Intersection)'!U35)))/100))</f>
        <v>0.10700000000000001</v>
      </c>
      <c r="K54" s="338"/>
      <c r="L54" s="336">
        <f t="shared" si="2"/>
        <v>1.147522015309633</v>
      </c>
      <c r="M54" s="381"/>
    </row>
    <row r="55" spans="1:14" ht="13.5" thickBot="1" x14ac:dyDescent="0.35">
      <c r="A55" s="384" t="s">
        <v>111</v>
      </c>
      <c r="B55" s="385"/>
      <c r="C55" s="385"/>
      <c r="D55" s="385"/>
      <c r="E55" s="385"/>
      <c r="F55" s="385"/>
      <c r="G55" s="385"/>
      <c r="H55" s="386"/>
      <c r="I55" s="386"/>
      <c r="J55" s="386"/>
      <c r="K55" s="386"/>
      <c r="L55" s="386"/>
      <c r="M55" s="386"/>
    </row>
    <row r="56" spans="1:14" x14ac:dyDescent="0.25">
      <c r="A56" s="387" t="s">
        <v>112</v>
      </c>
      <c r="B56" s="388"/>
      <c r="C56" s="7">
        <f>IF('Reference Tables (Intersection)'!$D$27="No",(IF($I$9="3ST",'Reference Tables (Intersection)'!G37,(IF($I$9="4ST",'Reference Tables (Intersection)'!J37,'Reference Tables (Intersection)'!M37)))/100),(IF($I$9="3ST",'Reference Tables (Intersection)'!P37,(IF($I$9="4ST",+'Reference Tables (Intersection)'!S37,+'Reference Tables (Intersection)'!V37)))/100))</f>
        <v>0.27399999999999997</v>
      </c>
      <c r="D56" s="389">
        <f t="shared" ref="D56:D61" si="3">+C56*$D$45</f>
        <v>4.4522944236029369</v>
      </c>
      <c r="E56" s="390"/>
      <c r="F56" s="389">
        <f>IF('Reference Tables (Intersection)'!$D$27="No",(IF($I$9="3ST",'Reference Tables (Intersection)'!E37,(IF($I$9="4ST",'Reference Tables (Intersection)'!H37,'Reference Tables (Intersection)'!K37)))/100),(IF($I$9="3ST",'Reference Tables (Intersection)'!N37,(IF($I$9="4ST",+'Reference Tables (Intersection)'!Q37,+'Reference Tables (Intersection)'!T37)))/100))</f>
        <v>0.33600000000000002</v>
      </c>
      <c r="G56" s="402"/>
      <c r="H56" s="389">
        <f t="shared" ref="H56:H61" si="4">+$H$45*F56</f>
        <v>1.8563142881474441</v>
      </c>
      <c r="I56" s="390"/>
      <c r="J56" s="389">
        <f>IF('Reference Tables (Intersection)'!$D$27="No",(IF($I$9="3ST",'Reference Tables (Intersection)'!F37,(IF($I$9="4ST",'Reference Tables (Intersection)'!I37,'Reference Tables (Intersection)'!L37)))/100),(IF($I$9="3ST",'Reference Tables (Intersection)'!O37,(IF($I$9="4ST",+'Reference Tables (Intersection)'!R37,+'Reference Tables (Intersection)'!U37)))/100))</f>
        <v>0.24199999999999999</v>
      </c>
      <c r="K56" s="402"/>
      <c r="L56" s="389">
        <f t="shared" ref="L56:L61" si="5">+$L$45*J56</f>
        <v>2.5953301654666467</v>
      </c>
      <c r="M56" s="391"/>
    </row>
    <row r="57" spans="1:14" x14ac:dyDescent="0.25">
      <c r="A57" s="365" t="s">
        <v>113</v>
      </c>
      <c r="B57" s="366"/>
      <c r="C57" s="7">
        <f>IF('Reference Tables (Intersection)'!$D$27="No",(IF($I$9="3ST",'Reference Tables (Intersection)'!G38,(IF($I$9="4ST",'Reference Tables (Intersection)'!J38,'Reference Tables (Intersection)'!M38)))/100),(IF($I$9="3ST",'Reference Tables (Intersection)'!P38,(IF($I$9="4ST",+'Reference Tables (Intersection)'!S38,+'Reference Tables (Intersection)'!V38)))/100))</f>
        <v>5.4000000000000006E-2</v>
      </c>
      <c r="D57" s="347">
        <f t="shared" si="3"/>
        <v>0.87745948494364467</v>
      </c>
      <c r="E57" s="382"/>
      <c r="F57" s="347">
        <f>IF('Reference Tables (Intersection)'!$D$27="No",(IF($I$9="3ST",'Reference Tables (Intersection)'!E38,(IF($I$9="4ST",'Reference Tables (Intersection)'!H38,'Reference Tables (Intersection)'!K38)))/100),(IF($I$9="3ST",'Reference Tables (Intersection)'!N38,(IF($I$9="4ST",+'Reference Tables (Intersection)'!Q38,+'Reference Tables (Intersection)'!T38)))/100))</f>
        <v>0.08</v>
      </c>
      <c r="G57" s="349"/>
      <c r="H57" s="347">
        <f t="shared" si="4"/>
        <v>0.44197959241605811</v>
      </c>
      <c r="I57" s="382"/>
      <c r="J57" s="347">
        <f>IF('Reference Tables (Intersection)'!$D$27="No",(IF($I$9="3ST",'Reference Tables (Intersection)'!F38,(IF($I$9="4ST",'Reference Tables (Intersection)'!I38,'Reference Tables (Intersection)'!L38)))/100),(IF($I$9="3ST",'Reference Tables (Intersection)'!O38,(IF($I$9="4ST",+'Reference Tables (Intersection)'!R38,+'Reference Tables (Intersection)'!U38)))/100))</f>
        <v>0.04</v>
      </c>
      <c r="K57" s="349"/>
      <c r="L57" s="347">
        <f t="shared" si="5"/>
        <v>0.42898019263911513</v>
      </c>
      <c r="M57" s="383"/>
    </row>
    <row r="58" spans="1:14" x14ac:dyDescent="0.25">
      <c r="A58" s="365" t="s">
        <v>114</v>
      </c>
      <c r="B58" s="366"/>
      <c r="C58" s="7">
        <f>IF('Reference Tables (Intersection)'!$D$27="No",(IF($I$9="3ST",'Reference Tables (Intersection)'!G39,(IF($I$9="4ST",'Reference Tables (Intersection)'!J39,'Reference Tables (Intersection)'!M39)))/100),(IF($I$9="3ST",'Reference Tables (Intersection)'!P39,(IF($I$9="4ST",+'Reference Tables (Intersection)'!S39,+'Reference Tables (Intersection)'!V39)))/100))</f>
        <v>0.42599999999999999</v>
      </c>
      <c r="D58" s="347">
        <f t="shared" si="3"/>
        <v>6.922180381222085</v>
      </c>
      <c r="E58" s="382"/>
      <c r="F58" s="347">
        <f>IF('Reference Tables (Intersection)'!$D$27="No",(IF($I$9="3ST",'Reference Tables (Intersection)'!E39,(IF($I$9="4ST",'Reference Tables (Intersection)'!H39,'Reference Tables (Intersection)'!K39)))/100),(IF($I$9="3ST",'Reference Tables (Intersection)'!N39,(IF($I$9="4ST",+'Reference Tables (Intersection)'!Q39,+'Reference Tables (Intersection)'!T39)))/100))</f>
        <v>0.40299999999999997</v>
      </c>
      <c r="G58" s="349"/>
      <c r="H58" s="347">
        <f t="shared" si="4"/>
        <v>2.2264721967958923</v>
      </c>
      <c r="I58" s="382"/>
      <c r="J58" s="347">
        <f>IF('Reference Tables (Intersection)'!$D$27="No",(IF($I$9="3ST",'Reference Tables (Intersection)'!F39,(IF($I$9="4ST",'Reference Tables (Intersection)'!I39,'Reference Tables (Intersection)'!L39)))/100),(IF($I$9="3ST",'Reference Tables (Intersection)'!O39,(IF($I$9="4ST",+'Reference Tables (Intersection)'!R39,+'Reference Tables (Intersection)'!U39)))/100))</f>
        <v>0.43799999999999994</v>
      </c>
      <c r="K58" s="349"/>
      <c r="L58" s="347">
        <f t="shared" si="5"/>
        <v>4.6973331093983104</v>
      </c>
      <c r="M58" s="383"/>
    </row>
    <row r="59" spans="1:14" x14ac:dyDescent="0.25">
      <c r="A59" s="365" t="s">
        <v>115</v>
      </c>
      <c r="B59" s="366"/>
      <c r="C59" s="7">
        <f>IF('Reference Tables (Intersection)'!$D$27="No",(IF($I$9="3ST",'Reference Tables (Intersection)'!G40,(IF($I$9="4ST",'Reference Tables (Intersection)'!J40,'Reference Tables (Intersection)'!M40)))/100),(IF($I$9="3ST",'Reference Tables (Intersection)'!P40,(IF($I$9="4ST",+'Reference Tables (Intersection)'!S40,+'Reference Tables (Intersection)'!V40)))/100))</f>
        <v>0.11800000000000001</v>
      </c>
      <c r="D59" s="347">
        <f t="shared" si="3"/>
        <v>1.9174114670990754</v>
      </c>
      <c r="E59" s="382"/>
      <c r="F59" s="347">
        <f>IF('Reference Tables (Intersection)'!$D$27="No",(IF($I$9="3ST",'Reference Tables (Intersection)'!E40,(IF($I$9="4ST",'Reference Tables (Intersection)'!H40,'Reference Tables (Intersection)'!K40)))/100),(IF($I$9="3ST",'Reference Tables (Intersection)'!N40,(IF($I$9="4ST",+'Reference Tables (Intersection)'!Q40,+'Reference Tables (Intersection)'!T40)))/100))</f>
        <v>5.0999999999999997E-2</v>
      </c>
      <c r="G59" s="349"/>
      <c r="H59" s="347">
        <f t="shared" si="4"/>
        <v>0.28176199016523701</v>
      </c>
      <c r="I59" s="382"/>
      <c r="J59" s="347">
        <f>IF('Reference Tables (Intersection)'!$D$27="No",(IF($I$9="3ST",'Reference Tables (Intersection)'!F40,(IF($I$9="4ST",'Reference Tables (Intersection)'!I40,'Reference Tables (Intersection)'!L40)))/100),(IF($I$9="3ST",'Reference Tables (Intersection)'!O40,(IF($I$9="4ST",+'Reference Tables (Intersection)'!R40,+'Reference Tables (Intersection)'!U40)))/100))</f>
        <v>0.153</v>
      </c>
      <c r="K59" s="349"/>
      <c r="L59" s="347">
        <f t="shared" si="5"/>
        <v>1.6408492368446155</v>
      </c>
      <c r="M59" s="383"/>
    </row>
    <row r="60" spans="1:14" x14ac:dyDescent="0.25">
      <c r="A60" s="365" t="s">
        <v>116</v>
      </c>
      <c r="B60" s="366"/>
      <c r="C60" s="7">
        <f>IF('Reference Tables (Intersection)'!$D$27="No",(IF($I$9="3ST",'Reference Tables (Intersection)'!G41,(IF($I$9="4ST",'Reference Tables (Intersection)'!J41,'Reference Tables (Intersection)'!M41)))/100),(IF($I$9="3ST",'Reference Tables (Intersection)'!P41,(IF($I$9="4ST",+'Reference Tables (Intersection)'!S41,+'Reference Tables (Intersection)'!V41)))/100))</f>
        <v>5.2000000000000005E-2</v>
      </c>
      <c r="D60" s="347">
        <f t="shared" si="3"/>
        <v>0.84496098550128751</v>
      </c>
      <c r="E60" s="382"/>
      <c r="F60" s="347">
        <f>IF('Reference Tables (Intersection)'!$D$27="No",(IF($I$9="3ST",'Reference Tables (Intersection)'!E41,(IF($I$9="4ST",'Reference Tables (Intersection)'!H41,'Reference Tables (Intersection)'!K41)))/100),(IF($I$9="3ST",'Reference Tables (Intersection)'!N41,(IF($I$9="4ST",+'Reference Tables (Intersection)'!Q41,+'Reference Tables (Intersection)'!T41)))/100))</f>
        <v>0.09</v>
      </c>
      <c r="G60" s="349"/>
      <c r="H60" s="347">
        <f t="shared" si="4"/>
        <v>0.49722704146806534</v>
      </c>
      <c r="I60" s="382"/>
      <c r="J60" s="347">
        <f>IF('Reference Tables (Intersection)'!$D$27="No",(IF($I$9="3ST",'Reference Tables (Intersection)'!F41,(IF($I$9="4ST",'Reference Tables (Intersection)'!I41,'Reference Tables (Intersection)'!L41)))/100),(IF($I$9="3ST",'Reference Tables (Intersection)'!O41,(IF($I$9="4ST",+'Reference Tables (Intersection)'!R41,+'Reference Tables (Intersection)'!U41)))/100))</f>
        <v>0.02</v>
      </c>
      <c r="K60" s="349"/>
      <c r="L60" s="347">
        <f t="shared" si="5"/>
        <v>0.21449009631955757</v>
      </c>
      <c r="M60" s="383"/>
    </row>
    <row r="61" spans="1:14" ht="13" thickBot="1" x14ac:dyDescent="0.3">
      <c r="A61" s="378" t="s">
        <v>147</v>
      </c>
      <c r="B61" s="379"/>
      <c r="C61" s="81">
        <f>IF('Reference Tables (Intersection)'!$D$27="No",(IF($I$9="3ST",'Reference Tables (Intersection)'!G42,(IF($I$9="4ST",'Reference Tables (Intersection)'!J42,'Reference Tables (Intersection)'!M42)))/100),(IF($I$9="3ST",'Reference Tables (Intersection)'!P42,(IF($I$9="4ST",+'Reference Tables (Intersection)'!S42,+'Reference Tables (Intersection)'!V42)))/100))</f>
        <v>0.92400000000000004</v>
      </c>
      <c r="D61" s="336">
        <f t="shared" si="3"/>
        <v>15.01430674236903</v>
      </c>
      <c r="E61" s="380"/>
      <c r="F61" s="336">
        <f>IF('Reference Tables (Intersection)'!$D$27="No",(IF($I$9="3ST",'Reference Tables (Intersection)'!E42,(IF($I$9="4ST",'Reference Tables (Intersection)'!H42,'Reference Tables (Intersection)'!K42)))/100),(IF($I$9="3ST",'Reference Tables (Intersection)'!N42,(IF($I$9="4ST",+'Reference Tables (Intersection)'!Q42,+'Reference Tables (Intersection)'!T42)))/100))</f>
        <v>0.96</v>
      </c>
      <c r="G61" s="338"/>
      <c r="H61" s="336">
        <f t="shared" si="4"/>
        <v>5.3037551089926964</v>
      </c>
      <c r="I61" s="380"/>
      <c r="J61" s="336">
        <f>IF('Reference Tables (Intersection)'!$D$27="No",(IF($I$9="3ST",'Reference Tables (Intersection)'!F42,(IF($I$9="4ST",'Reference Tables (Intersection)'!I42,'Reference Tables (Intersection)'!L42)))/100),(IF($I$9="3ST",'Reference Tables (Intersection)'!O42,(IF($I$9="4ST",+'Reference Tables (Intersection)'!R42,+'Reference Tables (Intersection)'!U42)))/100))</f>
        <v>0.89300000000000002</v>
      </c>
      <c r="K61" s="338"/>
      <c r="L61" s="336">
        <f t="shared" si="5"/>
        <v>9.5769828006682456</v>
      </c>
      <c r="M61" s="381"/>
    </row>
    <row r="62" spans="1:14" x14ac:dyDescent="0.25">
      <c r="A62" s="46"/>
      <c r="C62" s="1"/>
      <c r="D62" s="59"/>
      <c r="E62" s="59"/>
      <c r="F62" s="82"/>
      <c r="G62" s="39"/>
      <c r="H62" s="59"/>
      <c r="I62" s="59"/>
      <c r="J62" s="59"/>
      <c r="K62" s="59"/>
      <c r="L62" s="59"/>
      <c r="M62" s="59"/>
    </row>
    <row r="63" spans="1:14" ht="13" thickBot="1" x14ac:dyDescent="0.3"/>
    <row r="64" spans="1:14" ht="14" thickTop="1" thickBot="1" x14ac:dyDescent="0.3">
      <c r="A64" s="371" t="s">
        <v>224</v>
      </c>
      <c r="B64" s="371"/>
      <c r="C64" s="371"/>
      <c r="D64" s="371"/>
      <c r="E64" s="371"/>
      <c r="F64" s="371"/>
      <c r="G64" s="371"/>
      <c r="H64" s="371"/>
      <c r="I64" s="371"/>
      <c r="J64" s="371"/>
      <c r="K64" s="371"/>
      <c r="L64" s="371"/>
      <c r="M64" s="371"/>
    </row>
    <row r="65" spans="1:13" x14ac:dyDescent="0.25">
      <c r="A65" s="419" t="s">
        <v>32</v>
      </c>
      <c r="B65" s="581"/>
      <c r="C65" s="581"/>
      <c r="D65" s="582"/>
      <c r="E65" s="575" t="s">
        <v>33</v>
      </c>
      <c r="F65" s="576"/>
      <c r="G65" s="576"/>
      <c r="H65" s="576"/>
      <c r="I65" s="550" t="s">
        <v>34</v>
      </c>
      <c r="J65" s="577"/>
      <c r="K65" s="577"/>
      <c r="L65" s="577"/>
      <c r="M65" s="551"/>
    </row>
    <row r="66" spans="1:13" ht="13" x14ac:dyDescent="0.3">
      <c r="A66" s="360" t="s">
        <v>118</v>
      </c>
      <c r="B66" s="591"/>
      <c r="C66" s="591"/>
      <c r="D66" s="591"/>
      <c r="E66" s="594" t="s">
        <v>346</v>
      </c>
      <c r="F66" s="594"/>
      <c r="G66" s="594"/>
      <c r="H66" s="594"/>
      <c r="I66" s="596" t="s">
        <v>246</v>
      </c>
      <c r="J66" s="596"/>
      <c r="K66" s="596"/>
      <c r="L66" s="596"/>
      <c r="M66" s="597"/>
    </row>
    <row r="67" spans="1:13" x14ac:dyDescent="0.25">
      <c r="A67" s="592"/>
      <c r="B67" s="593"/>
      <c r="C67" s="593"/>
      <c r="D67" s="593"/>
      <c r="E67" s="595" t="s">
        <v>225</v>
      </c>
      <c r="F67" s="584"/>
      <c r="G67" s="584"/>
      <c r="H67" s="584"/>
      <c r="I67" s="587" t="s">
        <v>856</v>
      </c>
      <c r="J67" s="588"/>
      <c r="K67" s="588"/>
      <c r="L67" s="589"/>
      <c r="M67" s="590"/>
    </row>
    <row r="68" spans="1:13" x14ac:dyDescent="0.25">
      <c r="A68" s="346" t="s">
        <v>88</v>
      </c>
      <c r="B68" s="583"/>
      <c r="C68" s="583"/>
      <c r="D68" s="584"/>
      <c r="E68" s="347">
        <f>+F33</f>
        <v>1</v>
      </c>
      <c r="F68" s="348"/>
      <c r="G68" s="348"/>
      <c r="H68" s="349"/>
      <c r="I68" s="350">
        <f>+L33 + D50 + D49</f>
        <v>16.254796246806759</v>
      </c>
      <c r="J68" s="351"/>
      <c r="K68" s="351"/>
      <c r="L68" s="351"/>
      <c r="M68" s="351"/>
    </row>
    <row r="69" spans="1:13" x14ac:dyDescent="0.25">
      <c r="A69" s="346" t="s">
        <v>89</v>
      </c>
      <c r="B69" s="583"/>
      <c r="C69" s="583"/>
      <c r="D69" s="584"/>
      <c r="E69" s="347">
        <f>+F34</f>
        <v>0.34</v>
      </c>
      <c r="F69" s="348"/>
      <c r="G69" s="348"/>
      <c r="H69" s="349"/>
      <c r="I69" s="350">
        <f>+L34 +H50 + H49</f>
        <v>5.5302914308288802</v>
      </c>
      <c r="J69" s="351"/>
      <c r="K69" s="351"/>
      <c r="L69" s="351"/>
      <c r="M69" s="351"/>
    </row>
    <row r="70" spans="1:13" ht="13" thickBot="1" x14ac:dyDescent="0.3">
      <c r="A70" s="335" t="s">
        <v>90</v>
      </c>
      <c r="B70" s="585"/>
      <c r="C70" s="585"/>
      <c r="D70" s="586"/>
      <c r="E70" s="336">
        <f>+F35</f>
        <v>0.66</v>
      </c>
      <c r="F70" s="337"/>
      <c r="G70" s="337"/>
      <c r="H70" s="338"/>
      <c r="I70" s="339">
        <f>+L35</f>
        <v>10.724504815977879</v>
      </c>
      <c r="J70" s="340"/>
      <c r="K70" s="340"/>
      <c r="L70" s="340"/>
      <c r="M70" s="340"/>
    </row>
    <row r="76" spans="1:13" x14ac:dyDescent="0.25">
      <c r="A76" s="57"/>
      <c r="B76" s="57"/>
      <c r="C76" s="57"/>
      <c r="D76" s="57"/>
      <c r="E76" s="57"/>
      <c r="F76" s="57"/>
      <c r="G76" s="57"/>
      <c r="H76" s="57"/>
      <c r="I76" s="57"/>
      <c r="J76" s="57"/>
      <c r="K76" s="57"/>
      <c r="L76" s="57"/>
      <c r="M76" s="57"/>
    </row>
    <row r="77" spans="1:13" ht="13" x14ac:dyDescent="0.25">
      <c r="A77" s="67"/>
      <c r="B77" s="67"/>
      <c r="C77" s="67"/>
      <c r="D77" s="68"/>
      <c r="E77" s="68"/>
      <c r="F77" s="68"/>
      <c r="G77" s="68"/>
      <c r="H77" s="68"/>
      <c r="I77" s="68"/>
      <c r="J77" s="68"/>
      <c r="K77" s="68"/>
      <c r="L77" s="68"/>
      <c r="M77" s="68"/>
    </row>
    <row r="78" spans="1:13" ht="13" x14ac:dyDescent="0.25">
      <c r="A78" s="67"/>
      <c r="B78" s="67"/>
      <c r="C78" s="67"/>
      <c r="D78" s="57"/>
      <c r="G78" s="57"/>
      <c r="H78" s="57"/>
      <c r="I78" s="57"/>
      <c r="J78" s="68"/>
      <c r="K78" s="68"/>
      <c r="L78" s="57"/>
      <c r="M78" s="57"/>
    </row>
    <row r="79" spans="1:13" x14ac:dyDescent="0.25">
      <c r="A79" s="69"/>
      <c r="B79" s="69"/>
      <c r="C79" s="69"/>
      <c r="D79" s="59"/>
      <c r="E79" s="1"/>
      <c r="F79" s="1"/>
      <c r="G79" s="59"/>
      <c r="H79" s="1"/>
      <c r="I79" s="1"/>
      <c r="J79" s="1"/>
      <c r="K79" s="1"/>
      <c r="L79" s="8"/>
      <c r="M79" s="8"/>
    </row>
    <row r="80" spans="1:13" x14ac:dyDescent="0.25">
      <c r="A80" s="69"/>
      <c r="B80" s="69"/>
      <c r="C80" s="69"/>
      <c r="D80" s="59"/>
      <c r="E80" s="1"/>
      <c r="F80" s="1"/>
      <c r="G80" s="59"/>
      <c r="H80" s="1"/>
      <c r="I80" s="1"/>
      <c r="J80" s="1"/>
      <c r="K80" s="1"/>
      <c r="L80" s="8"/>
      <c r="M80" s="8"/>
    </row>
    <row r="81" spans="1:13" x14ac:dyDescent="0.25">
      <c r="A81" s="69"/>
      <c r="B81" s="69"/>
      <c r="C81" s="69"/>
      <c r="D81" s="59"/>
      <c r="E81" s="1"/>
      <c r="F81" s="1"/>
      <c r="G81" s="59"/>
      <c r="H81" s="1"/>
      <c r="I81" s="1"/>
      <c r="J81" s="1"/>
      <c r="K81" s="1"/>
      <c r="L81" s="8"/>
      <c r="M81" s="8"/>
    </row>
  </sheetData>
  <mergeCells count="240">
    <mergeCell ref="A20:C20"/>
    <mergeCell ref="A24:C24"/>
    <mergeCell ref="A29:B32"/>
    <mergeCell ref="J29:K32"/>
    <mergeCell ref="F31:F32"/>
    <mergeCell ref="G31:H32"/>
    <mergeCell ref="I31:I32"/>
    <mergeCell ref="G28:H28"/>
    <mergeCell ref="D24:E24"/>
    <mergeCell ref="F24:H24"/>
    <mergeCell ref="A28:B28"/>
    <mergeCell ref="A25:C25"/>
    <mergeCell ref="F25:H25"/>
    <mergeCell ref="E29:E30"/>
    <mergeCell ref="G29:H30"/>
    <mergeCell ref="C31:D32"/>
    <mergeCell ref="E31:E32"/>
    <mergeCell ref="D20:E20"/>
    <mergeCell ref="I20:K20"/>
    <mergeCell ref="F29:F30"/>
    <mergeCell ref="C34:D34"/>
    <mergeCell ref="C35:D35"/>
    <mergeCell ref="C33:D33"/>
    <mergeCell ref="A34:B34"/>
    <mergeCell ref="F61:G61"/>
    <mergeCell ref="D61:E61"/>
    <mergeCell ref="G33:H33"/>
    <mergeCell ref="G34:H34"/>
    <mergeCell ref="A33:B33"/>
    <mergeCell ref="C40:C42"/>
    <mergeCell ref="D40:E42"/>
    <mergeCell ref="F40:G42"/>
    <mergeCell ref="H40:I42"/>
    <mergeCell ref="A38:M38"/>
    <mergeCell ref="L40:M42"/>
    <mergeCell ref="G35:H35"/>
    <mergeCell ref="L35:M35"/>
    <mergeCell ref="L33:M33"/>
    <mergeCell ref="L34:M34"/>
    <mergeCell ref="J61:K61"/>
    <mergeCell ref="L61:M61"/>
    <mergeCell ref="L59:M59"/>
    <mergeCell ref="D48:E48"/>
    <mergeCell ref="F48:G48"/>
    <mergeCell ref="A64:M64"/>
    <mergeCell ref="F54:G54"/>
    <mergeCell ref="H54:I54"/>
    <mergeCell ref="J54:K54"/>
    <mergeCell ref="L58:M58"/>
    <mergeCell ref="I65:M65"/>
    <mergeCell ref="F56:G56"/>
    <mergeCell ref="A57:B57"/>
    <mergeCell ref="D57:E57"/>
    <mergeCell ref="F57:G57"/>
    <mergeCell ref="H61:I61"/>
    <mergeCell ref="L56:M56"/>
    <mergeCell ref="I69:M69"/>
    <mergeCell ref="I70:M70"/>
    <mergeCell ref="I68:M68"/>
    <mergeCell ref="A68:D68"/>
    <mergeCell ref="A69:D69"/>
    <mergeCell ref="A70:D70"/>
    <mergeCell ref="I67:M67"/>
    <mergeCell ref="A66:D67"/>
    <mergeCell ref="E68:H68"/>
    <mergeCell ref="E69:H69"/>
    <mergeCell ref="E70:H70"/>
    <mergeCell ref="E66:H66"/>
    <mergeCell ref="E67:H67"/>
    <mergeCell ref="I66:M66"/>
    <mergeCell ref="A35:B35"/>
    <mergeCell ref="A55:M55"/>
    <mergeCell ref="D58:E58"/>
    <mergeCell ref="F58:G58"/>
    <mergeCell ref="A65:D65"/>
    <mergeCell ref="E65:H65"/>
    <mergeCell ref="A61:B61"/>
    <mergeCell ref="A60:B60"/>
    <mergeCell ref="D60:E60"/>
    <mergeCell ref="F60:G60"/>
    <mergeCell ref="H60:I60"/>
    <mergeCell ref="J60:K60"/>
    <mergeCell ref="A59:B59"/>
    <mergeCell ref="D59:E59"/>
    <mergeCell ref="F59:G59"/>
    <mergeCell ref="J57:K57"/>
    <mergeCell ref="A47:M47"/>
    <mergeCell ref="A48:B48"/>
    <mergeCell ref="J52:K52"/>
    <mergeCell ref="L52:M52"/>
    <mergeCell ref="A58:B58"/>
    <mergeCell ref="A56:B56"/>
    <mergeCell ref="D56:E56"/>
    <mergeCell ref="A54:B54"/>
    <mergeCell ref="L21:M21"/>
    <mergeCell ref="D22:E22"/>
    <mergeCell ref="D23:E23"/>
    <mergeCell ref="F21:H21"/>
    <mergeCell ref="F22:H22"/>
    <mergeCell ref="F23:H23"/>
    <mergeCell ref="I24:K24"/>
    <mergeCell ref="L24:M24"/>
    <mergeCell ref="J28:K28"/>
    <mergeCell ref="C28:D28"/>
    <mergeCell ref="D21:E21"/>
    <mergeCell ref="L22:M22"/>
    <mergeCell ref="L23:M23"/>
    <mergeCell ref="J45:K45"/>
    <mergeCell ref="J48:K48"/>
    <mergeCell ref="J35:K35"/>
    <mergeCell ref="L60:M60"/>
    <mergeCell ref="H58:I58"/>
    <mergeCell ref="J58:K58"/>
    <mergeCell ref="H59:I59"/>
    <mergeCell ref="J59:K59"/>
    <mergeCell ref="L57:M57"/>
    <mergeCell ref="H56:I56"/>
    <mergeCell ref="J56:K56"/>
    <mergeCell ref="L51:M51"/>
    <mergeCell ref="J49:K49"/>
    <mergeCell ref="L49:M49"/>
    <mergeCell ref="L29:M30"/>
    <mergeCell ref="L31:M32"/>
    <mergeCell ref="H48:I48"/>
    <mergeCell ref="H57:I57"/>
    <mergeCell ref="L54:M54"/>
    <mergeCell ref="L48:M48"/>
    <mergeCell ref="A53:B53"/>
    <mergeCell ref="D53:E53"/>
    <mergeCell ref="F53:G53"/>
    <mergeCell ref="H53:I53"/>
    <mergeCell ref="J53:K53"/>
    <mergeCell ref="L53:M53"/>
    <mergeCell ref="D54:E54"/>
    <mergeCell ref="A50:B50"/>
    <mergeCell ref="D50:E50"/>
    <mergeCell ref="F50:G50"/>
    <mergeCell ref="H50:I50"/>
    <mergeCell ref="J50:K50"/>
    <mergeCell ref="L50:M50"/>
    <mergeCell ref="A51:B51"/>
    <mergeCell ref="D51:E51"/>
    <mergeCell ref="F51:G51"/>
    <mergeCell ref="H51:I51"/>
    <mergeCell ref="J51:K51"/>
    <mergeCell ref="A52:B52"/>
    <mergeCell ref="D52:E52"/>
    <mergeCell ref="F52:G52"/>
    <mergeCell ref="H52:I52"/>
    <mergeCell ref="A45:B45"/>
    <mergeCell ref="D45:E45"/>
    <mergeCell ref="H45:I45"/>
    <mergeCell ref="L45:M45"/>
    <mergeCell ref="C43:C44"/>
    <mergeCell ref="D43:E44"/>
    <mergeCell ref="F43:G44"/>
    <mergeCell ref="H43:I44"/>
    <mergeCell ref="J43:K44"/>
    <mergeCell ref="F45:G45"/>
    <mergeCell ref="A46:B46"/>
    <mergeCell ref="D46:E46"/>
    <mergeCell ref="F46:G46"/>
    <mergeCell ref="H46:I46"/>
    <mergeCell ref="J46:K46"/>
    <mergeCell ref="L46:M46"/>
    <mergeCell ref="A49:B49"/>
    <mergeCell ref="D49:E49"/>
    <mergeCell ref="F49:G49"/>
    <mergeCell ref="H49:I49"/>
    <mergeCell ref="L20:M20"/>
    <mergeCell ref="F20:H20"/>
    <mergeCell ref="A40:B44"/>
    <mergeCell ref="A39:B39"/>
    <mergeCell ref="D39:E39"/>
    <mergeCell ref="F39:G39"/>
    <mergeCell ref="H39:I39"/>
    <mergeCell ref="J39:K39"/>
    <mergeCell ref="L39:M39"/>
    <mergeCell ref="I29:I30"/>
    <mergeCell ref="C29:D30"/>
    <mergeCell ref="A21:C21"/>
    <mergeCell ref="A22:C22"/>
    <mergeCell ref="A23:C23"/>
    <mergeCell ref="A27:M27"/>
    <mergeCell ref="I25:K25"/>
    <mergeCell ref="L28:M28"/>
    <mergeCell ref="I21:K21"/>
    <mergeCell ref="I22:K22"/>
    <mergeCell ref="I23:K23"/>
    <mergeCell ref="L43:M44"/>
    <mergeCell ref="J33:K33"/>
    <mergeCell ref="J34:K34"/>
    <mergeCell ref="J40:K42"/>
    <mergeCell ref="A14:F14"/>
    <mergeCell ref="G14:H14"/>
    <mergeCell ref="I14:M14"/>
    <mergeCell ref="A19:M19"/>
    <mergeCell ref="A16:F16"/>
    <mergeCell ref="G16:H16"/>
    <mergeCell ref="I16:M16"/>
    <mergeCell ref="A15:F15"/>
    <mergeCell ref="G15:H15"/>
    <mergeCell ref="I15:M15"/>
    <mergeCell ref="B18:M18"/>
    <mergeCell ref="K12:L12"/>
    <mergeCell ref="G12:H12"/>
    <mergeCell ref="G11:H11"/>
    <mergeCell ref="I11:M11"/>
    <mergeCell ref="A13:F13"/>
    <mergeCell ref="G13:H13"/>
    <mergeCell ref="I13:M13"/>
    <mergeCell ref="A10:C10"/>
    <mergeCell ref="A11:C11"/>
    <mergeCell ref="A8:F8"/>
    <mergeCell ref="G8:H8"/>
    <mergeCell ref="I8:M8"/>
    <mergeCell ref="G10:H10"/>
    <mergeCell ref="I10:M10"/>
    <mergeCell ref="A9:F9"/>
    <mergeCell ref="G9:H9"/>
    <mergeCell ref="I9:M9"/>
    <mergeCell ref="G4:I4"/>
    <mergeCell ref="A6:C6"/>
    <mergeCell ref="D6:F6"/>
    <mergeCell ref="G6:I6"/>
    <mergeCell ref="J6:M6"/>
    <mergeCell ref="A7:C7"/>
    <mergeCell ref="D7:F7"/>
    <mergeCell ref="G7:I7"/>
    <mergeCell ref="J7:M7"/>
    <mergeCell ref="A2:M2"/>
    <mergeCell ref="A3:F3"/>
    <mergeCell ref="G3:M3"/>
    <mergeCell ref="A5:C5"/>
    <mergeCell ref="D5:F5"/>
    <mergeCell ref="G5:I5"/>
    <mergeCell ref="J5:M5"/>
    <mergeCell ref="A4:C4"/>
    <mergeCell ref="D4:F4"/>
    <mergeCell ref="J4:M4"/>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2">
    <dataValidation operator="greaterThan" allowBlank="1" showInputMessage="1" showErrorMessage="1" sqref="K12 I12" xr:uid="{00000000-0002-0000-0300-000000000000}"/>
    <dataValidation type="list" operator="greaterThan" allowBlank="1" showInputMessage="1" showErrorMessage="1" sqref="I9:M9" xr:uid="{00000000-0002-0000-0300-000001000000}">
      <formula1>IType</formula1>
    </dataValidation>
    <dataValidation type="whole" operator="lessThanOrEqual" allowBlank="1" showInputMessage="1" showErrorMessage="1" sqref="I11:M11" xr:uid="{00000000-0002-0000-0300-000002000000}">
      <formula1>12500</formula1>
    </dataValidation>
    <dataValidation allowBlank="1" showInputMessage="1" showErrorMessage="1" errorTitle="Invalid" sqref="L25:M25" xr:uid="{00000000-0002-0000-0300-000003000000}"/>
    <dataValidation type="list" allowBlank="1" showInputMessage="1" showErrorMessage="1" sqref="I13:M13" xr:uid="{00000000-0002-0000-0300-000004000000}">
      <formula1>LApproach</formula1>
    </dataValidation>
    <dataValidation type="list" allowBlank="1" showInputMessage="1" showErrorMessage="1" sqref="I14:M14" xr:uid="{00000000-0002-0000-0300-000005000000}">
      <formula1>RApproach</formula1>
    </dataValidation>
    <dataValidation type="list" allowBlank="1" showInputMessage="1" showErrorMessage="1" sqref="I15:M15" xr:uid="{00000000-0002-0000-0300-000006000000}">
      <formula1>ILight</formula1>
    </dataValidation>
    <dataValidation type="list" allowBlank="1" showInputMessage="1" showErrorMessage="1" sqref="F12" xr:uid="{00000000-0002-0000-0300-000007000000}">
      <formula1>Differ</formula1>
    </dataValidation>
    <dataValidation type="whole" allowBlank="1" showInputMessage="1" showErrorMessage="1" sqref="M12 J12" xr:uid="{00000000-0002-0000-0300-000008000000}">
      <formula1>0</formula1>
      <formula2>90</formula2>
    </dataValidation>
    <dataValidation type="whole" operator="greaterThan" allowBlank="1" showInputMessage="1" showErrorMessage="1" sqref="J7:M7" xr:uid="{00000000-0002-0000-0300-000009000000}">
      <formula1>1990</formula1>
    </dataValidation>
    <dataValidation type="decimal" allowBlank="1" showInputMessage="1" showErrorMessage="1" sqref="I16:M16" xr:uid="{00000000-0002-0000-0300-00000A000000}">
      <formula1>0</formula1>
      <formula2>10</formula2>
    </dataValidation>
    <dataValidation type="whole" operator="lessThanOrEqual" allowBlank="1" showInputMessage="1" showErrorMessage="1" sqref="I10:M10" xr:uid="{00000000-0002-0000-0300-00000B000000}">
      <formula1>25200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2:F55"/>
  <sheetViews>
    <sheetView zoomScale="90" zoomScaleNormal="90" workbookViewId="0">
      <selection activeCell="C3" sqref="C3"/>
    </sheetView>
  </sheetViews>
  <sheetFormatPr defaultColWidth="8.7265625" defaultRowHeight="14.5" x14ac:dyDescent="0.35"/>
  <cols>
    <col min="1" max="1" width="8.7265625" style="204"/>
    <col min="2" max="2" width="68.54296875" style="204" customWidth="1"/>
    <col min="3" max="3" width="55.54296875" style="204" customWidth="1"/>
    <col min="4" max="4" width="49.1796875" style="204" customWidth="1"/>
    <col min="5" max="5" width="55.54296875" style="204" customWidth="1"/>
    <col min="6" max="6" width="49.1796875" style="204" customWidth="1"/>
    <col min="7" max="15" width="8.7265625" style="204"/>
    <col min="16" max="16" width="68.54296875" style="204" customWidth="1"/>
    <col min="17" max="16384" width="8.7265625" style="204"/>
  </cols>
  <sheetData>
    <row r="2" spans="2:6" ht="26" x14ac:dyDescent="0.6">
      <c r="B2" s="209" t="s">
        <v>586</v>
      </c>
      <c r="C2" s="221"/>
      <c r="D2" s="212"/>
    </row>
    <row r="3" spans="2:6" ht="21" x14ac:dyDescent="0.5">
      <c r="B3" s="220" t="s">
        <v>231</v>
      </c>
      <c r="C3" s="243" t="s">
        <v>662</v>
      </c>
    </row>
    <row r="5" spans="2:6" ht="21" x14ac:dyDescent="0.5">
      <c r="B5" s="219" t="s">
        <v>584</v>
      </c>
      <c r="C5" s="218" t="s">
        <v>583</v>
      </c>
      <c r="D5" s="218" t="s">
        <v>582</v>
      </c>
      <c r="E5" s="218" t="s">
        <v>581</v>
      </c>
      <c r="F5" s="218" t="s">
        <v>580</v>
      </c>
    </row>
    <row r="6" spans="2:6" x14ac:dyDescent="0.35">
      <c r="B6" s="205" t="s">
        <v>579</v>
      </c>
      <c r="C6" s="249">
        <v>5000</v>
      </c>
      <c r="D6" s="240">
        <v>5000</v>
      </c>
      <c r="E6" s="240">
        <v>5000</v>
      </c>
      <c r="F6" s="240">
        <v>5000</v>
      </c>
    </row>
    <row r="7" spans="2:6" x14ac:dyDescent="0.35">
      <c r="B7" s="205" t="s">
        <v>438</v>
      </c>
      <c r="C7" s="248">
        <v>55</v>
      </c>
      <c r="D7" s="243">
        <v>55</v>
      </c>
      <c r="E7" s="243">
        <v>35</v>
      </c>
      <c r="F7" s="243">
        <v>35</v>
      </c>
    </row>
    <row r="8" spans="2:6" x14ac:dyDescent="0.35">
      <c r="B8" s="205" t="s">
        <v>460</v>
      </c>
      <c r="C8" s="248" t="s">
        <v>452</v>
      </c>
      <c r="D8" s="243" t="s">
        <v>452</v>
      </c>
      <c r="E8" s="243" t="s">
        <v>452</v>
      </c>
      <c r="F8" s="243" t="s">
        <v>452</v>
      </c>
    </row>
    <row r="9" spans="2:6" x14ac:dyDescent="0.35">
      <c r="B9" s="205" t="s">
        <v>578</v>
      </c>
      <c r="C9" s="248" t="s">
        <v>577</v>
      </c>
      <c r="D9" s="248" t="s">
        <v>577</v>
      </c>
      <c r="E9" s="248" t="s">
        <v>577</v>
      </c>
      <c r="F9" s="248" t="s">
        <v>577</v>
      </c>
    </row>
    <row r="11" spans="2:6" ht="21" x14ac:dyDescent="0.5">
      <c r="B11" s="219" t="s">
        <v>576</v>
      </c>
    </row>
    <row r="12" spans="2:6" x14ac:dyDescent="0.35">
      <c r="B12" s="205" t="s">
        <v>575</v>
      </c>
      <c r="C12" s="248" t="s">
        <v>471</v>
      </c>
      <c r="D12" s="243" t="s">
        <v>471</v>
      </c>
      <c r="E12" s="243" t="s">
        <v>471</v>
      </c>
      <c r="F12" s="243" t="s">
        <v>471</v>
      </c>
    </row>
    <row r="13" spans="2:6" x14ac:dyDescent="0.35">
      <c r="B13" s="205" t="s">
        <v>484</v>
      </c>
      <c r="C13" s="248" t="s">
        <v>485</v>
      </c>
      <c r="D13" s="243" t="s">
        <v>485</v>
      </c>
      <c r="E13" s="243" t="s">
        <v>485</v>
      </c>
      <c r="F13" s="243" t="s">
        <v>485</v>
      </c>
    </row>
    <row r="14" spans="2:6" x14ac:dyDescent="0.35">
      <c r="B14" s="205" t="s">
        <v>455</v>
      </c>
      <c r="C14" s="248" t="s">
        <v>456</v>
      </c>
      <c r="D14" s="243" t="s">
        <v>456</v>
      </c>
      <c r="E14" s="243" t="s">
        <v>456</v>
      </c>
      <c r="F14" s="243" t="s">
        <v>456</v>
      </c>
    </row>
    <row r="15" spans="2:6" x14ac:dyDescent="0.35">
      <c r="B15" s="205" t="s">
        <v>473</v>
      </c>
      <c r="C15" s="248" t="s">
        <v>474</v>
      </c>
      <c r="D15" s="243" t="s">
        <v>474</v>
      </c>
      <c r="E15" s="243" t="s">
        <v>474</v>
      </c>
      <c r="F15" s="243" t="s">
        <v>474</v>
      </c>
    </row>
    <row r="16" spans="2:6" x14ac:dyDescent="0.35">
      <c r="B16" s="205" t="s">
        <v>475</v>
      </c>
      <c r="C16" s="248" t="s">
        <v>476</v>
      </c>
      <c r="D16" s="243" t="s">
        <v>476</v>
      </c>
      <c r="E16" s="243" t="s">
        <v>476</v>
      </c>
      <c r="F16" s="243" t="s">
        <v>476</v>
      </c>
    </row>
    <row r="17" spans="2:6" x14ac:dyDescent="0.35">
      <c r="B17" s="205" t="s">
        <v>574</v>
      </c>
      <c r="C17" s="248" t="s">
        <v>480</v>
      </c>
      <c r="D17" s="243" t="s">
        <v>480</v>
      </c>
      <c r="E17" s="243" t="s">
        <v>480</v>
      </c>
      <c r="F17" s="243" t="s">
        <v>480</v>
      </c>
    </row>
    <row r="18" spans="2:6" x14ac:dyDescent="0.35">
      <c r="B18" s="205" t="s">
        <v>482</v>
      </c>
      <c r="C18" s="248" t="s">
        <v>458</v>
      </c>
      <c r="D18" s="243" t="s">
        <v>458</v>
      </c>
      <c r="E18" s="243" t="s">
        <v>458</v>
      </c>
      <c r="F18" s="243" t="s">
        <v>458</v>
      </c>
    </row>
    <row r="19" spans="2:6" x14ac:dyDescent="0.35">
      <c r="B19" s="205" t="s">
        <v>483</v>
      </c>
      <c r="C19" s="248" t="s">
        <v>458</v>
      </c>
      <c r="D19" s="243" t="s">
        <v>458</v>
      </c>
      <c r="E19" s="243" t="s">
        <v>458</v>
      </c>
      <c r="F19" s="243" t="s">
        <v>458</v>
      </c>
    </row>
    <row r="20" spans="2:6" x14ac:dyDescent="0.35">
      <c r="B20" s="205" t="s">
        <v>487</v>
      </c>
      <c r="C20" s="249">
        <v>0</v>
      </c>
      <c r="D20" s="240">
        <v>0</v>
      </c>
      <c r="E20" s="240">
        <v>0</v>
      </c>
      <c r="F20" s="240">
        <v>0</v>
      </c>
    </row>
    <row r="22" spans="2:6" ht="21" x14ac:dyDescent="0.5">
      <c r="B22" s="219" t="s">
        <v>573</v>
      </c>
      <c r="C22" s="218" t="s">
        <v>572</v>
      </c>
      <c r="E22" s="218" t="s">
        <v>571</v>
      </c>
    </row>
    <row r="23" spans="2:6" x14ac:dyDescent="0.35">
      <c r="B23" s="217" t="s">
        <v>570</v>
      </c>
      <c r="C23" s="243" t="s">
        <v>471</v>
      </c>
      <c r="E23" s="243" t="s">
        <v>471</v>
      </c>
    </row>
    <row r="24" spans="2:6" x14ac:dyDescent="0.35">
      <c r="B24" s="217" t="s">
        <v>569</v>
      </c>
      <c r="C24" s="243" t="s">
        <v>458</v>
      </c>
      <c r="E24" s="243" t="s">
        <v>458</v>
      </c>
    </row>
    <row r="25" spans="2:6" x14ac:dyDescent="0.35">
      <c r="B25" s="217" t="s">
        <v>568</v>
      </c>
      <c r="C25" s="243" t="s">
        <v>458</v>
      </c>
      <c r="E25" s="243" t="s">
        <v>458</v>
      </c>
    </row>
    <row r="26" spans="2:6" x14ac:dyDescent="0.35">
      <c r="B26" s="217" t="s">
        <v>567</v>
      </c>
      <c r="C26" s="243" t="s">
        <v>566</v>
      </c>
      <c r="E26" s="243" t="s">
        <v>566</v>
      </c>
    </row>
    <row r="27" spans="2:6" x14ac:dyDescent="0.35">
      <c r="B27" s="217" t="s">
        <v>565</v>
      </c>
      <c r="C27" s="243" t="s">
        <v>480</v>
      </c>
      <c r="E27" s="243" t="s">
        <v>480</v>
      </c>
    </row>
    <row r="28" spans="2:6" x14ac:dyDescent="0.35">
      <c r="B28" s="217" t="s">
        <v>564</v>
      </c>
      <c r="C28" s="243" t="s">
        <v>452</v>
      </c>
      <c r="E28" s="243" t="s">
        <v>452</v>
      </c>
    </row>
    <row r="55" ht="15" customHeight="1" x14ac:dyDescent="0.35"/>
  </sheetData>
  <pageMargins left="0.7" right="0.7" top="0.75" bottom="0.75" header="0.51180555555555496" footer="0.51180555555555496"/>
  <pageSetup firstPageNumber="0" orientation="portrait" horizontalDpi="300" verticalDpi="300"/>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400-000000000000}">
          <x14:formula1>
            <xm:f>'Reference Tables (Ped Segment)'!$B$23:$B$32</xm:f>
          </x14:formula1>
          <xm:sqref>D16</xm:sqref>
        </x14:dataValidation>
        <x14:dataValidation type="list" allowBlank="1" showInputMessage="1" showErrorMessage="1" xr:uid="{00000000-0002-0000-0400-000001000000}">
          <x14:formula1>
            <xm:f>'Reference Tables (Ped Intersct)'!$B$82:$B$91</xm:f>
          </x14:formula1>
          <xm:sqref>C3</xm:sqref>
        </x14:dataValidation>
        <x14:dataValidation type="list" allowBlank="1" showInputMessage="1" showErrorMessage="1" xr:uid="{00000000-0002-0000-0400-000002000000}">
          <x14:formula1>
            <xm:f>'Reference Tables (Ped Intersct)'!$B$64:$B$68</xm:f>
          </x14:formula1>
          <x14:formula2>
            <xm:f>0</xm:f>
          </x14:formula2>
          <xm:sqref>C9:F9</xm:sqref>
        </x14:dataValidation>
        <x14:dataValidation type="list" allowBlank="1" showInputMessage="1" showErrorMessage="1" xr:uid="{00000000-0002-0000-0400-000003000000}">
          <x14:formula1>
            <xm:f>'ReferenceTables (Bike Intersct)'!$B$4:$B$12</xm:f>
          </x14:formula1>
          <x14:formula2>
            <xm:f>0</xm:f>
          </x14:formula2>
          <xm:sqref>C24:C25 E24:E25</xm:sqref>
        </x14:dataValidation>
        <x14:dataValidation type="list" allowBlank="1" showInputMessage="1" showErrorMessage="1" xr:uid="{00000000-0002-0000-0400-000004000000}">
          <x14:formula1>
            <xm:f>'ReferenceTables (Bike Intersct)'!$B$93:$B$103</xm:f>
          </x14:formula1>
          <x14:formula2>
            <xm:f>0</xm:f>
          </x14:formula2>
          <xm:sqref>C23 E23</xm:sqref>
        </x14:dataValidation>
        <x14:dataValidation type="list" allowBlank="1" showInputMessage="1" showErrorMessage="1" xr:uid="{00000000-0002-0000-0400-000005000000}">
          <x14:formula1>
            <xm:f>'ReferenceTables (Bike Intersct)'!$B$39:$B$41</xm:f>
          </x14:formula1>
          <x14:formula2>
            <xm:f>0</xm:f>
          </x14:formula2>
          <xm:sqref>C27 E27</xm:sqref>
        </x14:dataValidation>
        <x14:dataValidation type="list" allowBlank="1" showInputMessage="1" showErrorMessage="1" xr:uid="{00000000-0002-0000-0400-000006000000}">
          <x14:formula1>
            <xm:f>'ReferenceTables (Bike Intersct)'!$B$45:$B$46</xm:f>
          </x14:formula1>
          <x14:formula2>
            <xm:f>0</xm:f>
          </x14:formula2>
          <xm:sqref>C28 E28</xm:sqref>
        </x14:dataValidation>
        <x14:dataValidation type="list" allowBlank="1" showInputMessage="1" showErrorMessage="1" xr:uid="{00000000-0002-0000-0400-000007000000}">
          <x14:formula1>
            <xm:f>'ReferenceTables (Bike Intersct)'!$B$16:$B$22</xm:f>
          </x14:formula1>
          <x14:formula2>
            <xm:f>0</xm:f>
          </x14:formula2>
          <xm:sqref>C26 E26</xm:sqref>
        </x14:dataValidation>
        <x14:dataValidation type="list" allowBlank="1" showInputMessage="1" showErrorMessage="1" xr:uid="{00000000-0002-0000-0400-000008000000}">
          <x14:formula1>
            <xm:f>'Reference Tables (Ped Intersct)'!$B$102:$B$112</xm:f>
          </x14:formula1>
          <x14:formula2>
            <xm:f>0</xm:f>
          </x14:formula2>
          <xm:sqref>C12:F12</xm:sqref>
        </x14:dataValidation>
        <x14:dataValidation type="list" allowBlank="1" showInputMessage="1" showErrorMessage="1" xr:uid="{00000000-0002-0000-0400-000009000000}">
          <x14:formula1>
            <xm:f>'Reference Tables (Ped Segment)'!$B$97:$B$98</xm:f>
          </x14:formula1>
          <x14:formula2>
            <xm:f>0</xm:f>
          </x14:formula2>
          <xm:sqref>D13 D15</xm:sqref>
        </x14:dataValidation>
        <x14:dataValidation type="list" allowBlank="1" showInputMessage="1" showErrorMessage="1" xr:uid="{00000000-0002-0000-0400-00000A000000}">
          <x14:formula1>
            <xm:f>'Reference Tables (Ped Intersct)'!$B$59:$B$60</xm:f>
          </x14:formula1>
          <x14:formula2>
            <xm:f>0</xm:f>
          </x14:formula2>
          <xm:sqref>C8:F8</xm:sqref>
        </x14:dataValidation>
        <x14:dataValidation type="list" allowBlank="1" showInputMessage="1" showErrorMessage="1" xr:uid="{00000000-0002-0000-0400-00000B000000}">
          <x14:formula1>
            <xm:f>'Reference Tables (Ped Intersct)'!$B$3:$B$17</xm:f>
          </x14:formula1>
          <x14:formula2>
            <xm:f>0</xm:f>
          </x14:formula2>
          <xm:sqref>C7:F7</xm:sqref>
        </x14:dataValidation>
        <x14:dataValidation type="list" allowBlank="1" showInputMessage="1" showErrorMessage="1" xr:uid="{00000000-0002-0000-0400-00000C000000}">
          <x14:formula1>
            <xm:f>'Reference Tables (Ped Intersct)'!$B$20:$B$23</xm:f>
          </x14:formula1>
          <x14:formula2>
            <xm:f>0</xm:f>
          </x14:formula2>
          <xm:sqref>C14:F14</xm:sqref>
        </x14:dataValidation>
        <x14:dataValidation type="list" allowBlank="1" showInputMessage="1" showErrorMessage="1" xr:uid="{00000000-0002-0000-0400-00000D000000}">
          <x14:formula1>
            <xm:f>'Reference Tables (Ped Intersct)'!$B$28:$B$37</xm:f>
          </x14:formula1>
          <x14:formula2>
            <xm:f>0</xm:f>
          </x14:formula2>
          <xm:sqref>C16 E16:F16</xm:sqref>
        </x14:dataValidation>
        <x14:dataValidation type="list" allowBlank="1" showInputMessage="1" showErrorMessage="1" xr:uid="{00000000-0002-0000-0400-00000E000000}">
          <x14:formula1>
            <xm:f>'Reference Tables (Ped Intersct)'!$C$27:$E$27</xm:f>
          </x14:formula1>
          <x14:formula2>
            <xm:f>0</xm:f>
          </x14:formula2>
          <xm:sqref>C15 E15:F15</xm:sqref>
        </x14:dataValidation>
        <x14:dataValidation type="list" allowBlank="1" showInputMessage="1" showErrorMessage="1" xr:uid="{00000000-0002-0000-0400-00000F000000}">
          <x14:formula1>
            <xm:f>'Reference Tables (Ped Intersct)'!$B$41:$B$43</xm:f>
          </x14:formula1>
          <x14:formula2>
            <xm:f>0</xm:f>
          </x14:formula2>
          <xm:sqref>C17:F17</xm:sqref>
        </x14:dataValidation>
        <x14:dataValidation type="list" allowBlank="1" showInputMessage="1" showErrorMessage="1" xr:uid="{00000000-0002-0000-0400-000010000000}">
          <x14:formula1>
            <xm:f>'Reference Tables (Ped Intersct)'!$B$47:$B$49</xm:f>
          </x14:formula1>
          <x14:formula2>
            <xm:f>0</xm:f>
          </x14:formula2>
          <xm:sqref>C18:F18</xm:sqref>
        </x14:dataValidation>
        <x14:dataValidation type="list" allowBlank="1" showInputMessage="1" showErrorMessage="1" xr:uid="{00000000-0002-0000-0400-000011000000}">
          <x14:formula1>
            <xm:f>'Reference Tables (Ped Intersct)'!$B$53:$B$55</xm:f>
          </x14:formula1>
          <x14:formula2>
            <xm:f>0</xm:f>
          </x14:formula2>
          <xm:sqref>C19:F19</xm:sqref>
        </x14:dataValidation>
        <x14:dataValidation type="list" allowBlank="1" showInputMessage="1" showErrorMessage="1" xr:uid="{00000000-0002-0000-0400-000012000000}">
          <x14:formula1>
            <xm:f>'Reference Tables (Ped Intersct)'!$B$72:$B$78</xm:f>
          </x14:formula1>
          <x14:formula2>
            <xm:f>0</xm:f>
          </x14:formula2>
          <xm:sqref>C13 E13:F13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B2:J56"/>
  <sheetViews>
    <sheetView topLeftCell="C25" zoomScale="110" zoomScaleNormal="110" workbookViewId="0">
      <selection activeCell="E49" sqref="E49"/>
    </sheetView>
  </sheetViews>
  <sheetFormatPr defaultColWidth="8.7265625" defaultRowHeight="14.5" x14ac:dyDescent="0.35"/>
  <cols>
    <col min="1" max="1" width="3" style="204" customWidth="1"/>
    <col min="2" max="2" width="45.26953125" style="204" customWidth="1"/>
    <col min="3" max="3" width="27.81640625" style="204" customWidth="1"/>
    <col min="4" max="4" width="45.7265625" style="204" customWidth="1"/>
    <col min="5" max="7" width="19" style="204" customWidth="1"/>
    <col min="8" max="8" width="4.26953125" style="204" customWidth="1"/>
    <col min="9" max="9" width="48" style="204" customWidth="1"/>
    <col min="10" max="10" width="26.54296875" style="204" customWidth="1"/>
    <col min="11" max="11" width="8.7265625" style="204"/>
    <col min="12" max="12" width="51.7265625" style="204" bestFit="1" customWidth="1"/>
    <col min="13" max="16384" width="8.7265625" style="204"/>
  </cols>
  <sheetData>
    <row r="2" spans="2:10" ht="30" customHeight="1" x14ac:dyDescent="0.6">
      <c r="B2" s="209" t="s">
        <v>563</v>
      </c>
      <c r="I2" s="209" t="s">
        <v>562</v>
      </c>
    </row>
    <row r="3" spans="2:10" ht="16.5" x14ac:dyDescent="0.45">
      <c r="B3" s="206" t="s">
        <v>561</v>
      </c>
      <c r="C3" s="216" t="s">
        <v>560</v>
      </c>
      <c r="D3" s="206" t="s">
        <v>559</v>
      </c>
      <c r="E3" s="215"/>
      <c r="I3" s="205" t="s">
        <v>558</v>
      </c>
      <c r="J3" s="250">
        <f>AVERAGE(VLOOKUP('Ped&amp;Bike (Segments)'!C21,'Reference Tables (Bike Segment)'!B4:C12,2,0),VLOOKUP('Ped&amp;Bike (Segments)'!D21,'Reference Tables (Bike Segment)'!B4:C12,2,0))</f>
        <v>85.5</v>
      </c>
    </row>
    <row r="4" spans="2:10" ht="16.5" x14ac:dyDescent="0.45">
      <c r="B4" s="205" t="s">
        <v>557</v>
      </c>
      <c r="C4" s="250">
        <f>VLOOKUP('Ped&amp;Bike (Segments)'!C16,'Reference Tables (Ped Segment)'!B3:C12,2,0)</f>
        <v>200</v>
      </c>
      <c r="D4" s="205" t="s">
        <v>557</v>
      </c>
      <c r="E4" s="250">
        <f>VLOOKUP('Ped&amp;Bike (Segments)'!D16,'Reference Tables (Ped Segment)'!B3:C12,2,0)</f>
        <v>200</v>
      </c>
      <c r="I4" s="205" t="s">
        <v>556</v>
      </c>
      <c r="J4" s="250">
        <f>AVERAGE(VLOOKUP('Ped&amp;Bike (Segments)'!C21,'Reference Tables (Bike Segment)'!B4:D12,3,0),VLOOKUP('Ped&amp;Bike (Segments)'!D21,'Reference Tables (Bike Segment)'!B4:D12,3,0))</f>
        <v>90</v>
      </c>
    </row>
    <row r="5" spans="2:10" ht="16.5" x14ac:dyDescent="0.45">
      <c r="B5" s="205" t="s">
        <v>555</v>
      </c>
      <c r="C5" s="250">
        <f>VLOOKUP('Ped&amp;Bike (Segments)'!C16,'Reference Tables (Ped Segment)'!B3:D12,3,0)</f>
        <v>90</v>
      </c>
      <c r="D5" s="205" t="s">
        <v>555</v>
      </c>
      <c r="E5" s="250">
        <f>VLOOKUP('Ped&amp;Bike (Segments)'!D16,'Reference Tables (Ped Segment)'!B3:D12,3,0)</f>
        <v>90</v>
      </c>
      <c r="I5" s="205" t="s">
        <v>554</v>
      </c>
      <c r="J5" s="250">
        <f>AVERAGE(VLOOKUP('Ped&amp;Bike (Segments)'!C10,'Reference Tables (Bike Segment)'!B16:C18,2,0),VLOOKUP('Ped&amp;Bike (Segments)'!D10,'Reference Tables (Bike Segment)'!B16:C18,2,0))</f>
        <v>1.5</v>
      </c>
    </row>
    <row r="6" spans="2:10" ht="16.5" x14ac:dyDescent="0.45">
      <c r="B6" s="205" t="s">
        <v>553</v>
      </c>
      <c r="C6" s="250">
        <f>VLOOKUP('Ped&amp;Bike (Segments)'!C17,'Reference Tables (Ped Segment)'!B16:C19,2,0)</f>
        <v>1</v>
      </c>
      <c r="D6" s="205" t="s">
        <v>553</v>
      </c>
      <c r="E6" s="250">
        <f>VLOOKUP('Ped&amp;Bike (Segments)'!D17,'Reference Tables (Ped Segment)'!B16:C19,2,0)</f>
        <v>1</v>
      </c>
      <c r="I6" s="205" t="s">
        <v>552</v>
      </c>
      <c r="J6" s="250">
        <f>VLOOKUP('Ped&amp;Bike (Segments)'!C11,'Reference Tables (Bike Segment)'!B22:C25,2,0)</f>
        <v>1</v>
      </c>
    </row>
    <row r="7" spans="2:10" ht="16.5" x14ac:dyDescent="0.45">
      <c r="B7" s="205" t="s">
        <v>551</v>
      </c>
      <c r="C7" s="250">
        <f>VLOOKUP('Ped&amp;Bike (Segments)'!C10,'Reference Tables (Ped Segment)'!B50:C52,2,0)</f>
        <v>1.5</v>
      </c>
      <c r="D7" s="205" t="s">
        <v>551</v>
      </c>
      <c r="E7" s="250">
        <f>VLOOKUP('Ped&amp;Bike (Segments)'!D10,'Reference Tables (Ped Segment)'!B50:C52,2,0)</f>
        <v>1.5</v>
      </c>
      <c r="I7" s="205" t="s">
        <v>550</v>
      </c>
      <c r="J7" s="250">
        <f>VLOOKUP('Ped&amp;Bike (Segments)'!C12,'Reference Tables (Bike Segment)'!B29:C31,2,0)</f>
        <v>1</v>
      </c>
    </row>
    <row r="8" spans="2:10" ht="16.5" x14ac:dyDescent="0.45">
      <c r="B8" s="205" t="s">
        <v>549</v>
      </c>
      <c r="C8" s="250">
        <f>VLOOKUP('Ped&amp;Bike (Segments)'!C11,'Reference Tables (Ped Segment)'!B56:C59,2,0)</f>
        <v>1</v>
      </c>
      <c r="D8" s="205" t="s">
        <v>549</v>
      </c>
      <c r="E8" s="250">
        <f>VLOOKUP('Ped&amp;Bike (Segments)'!D11,'Reference Tables (Ped Segment)'!B56:C59,2,0)</f>
        <v>1</v>
      </c>
      <c r="I8" s="205" t="s">
        <v>548</v>
      </c>
      <c r="J8" s="250">
        <f>VLOOKUP('Ped&amp;Bike (Segments)'!C13,'Reference Tables (Bike Segment)'!B35:C37,2,0)</f>
        <v>1</v>
      </c>
    </row>
    <row r="9" spans="2:10" ht="16.5" x14ac:dyDescent="0.45">
      <c r="B9" s="205" t="s">
        <v>547</v>
      </c>
      <c r="C9" s="250">
        <f>VLOOKUP('Ped&amp;Bike (Segments)'!C12,'Reference Tables (Ped Segment)'!B63:C65,2,0)</f>
        <v>1</v>
      </c>
      <c r="D9" s="205" t="s">
        <v>547</v>
      </c>
      <c r="E9" s="250">
        <f>VLOOKUP('Ped&amp;Bike (Segments)'!D12,'Reference Tables (Ped Segment)'!B63:C65,2,0)</f>
        <v>1</v>
      </c>
      <c r="I9" s="205" t="s">
        <v>546</v>
      </c>
      <c r="J9" s="250">
        <f>AVERAGE(VLOOKUP('Ped&amp;Bike (Segments)'!C14,'Reference Tables (Bike Segment)'!B41:C42,2,0),VLOOKUP('Ped&amp;Bike (Segments)'!D14,'Reference Tables (Bike Segment)'!B41:C42,2,0))</f>
        <v>1.1000000000000001</v>
      </c>
    </row>
    <row r="10" spans="2:10" ht="16.5" x14ac:dyDescent="0.45">
      <c r="B10" s="205" t="s">
        <v>545</v>
      </c>
      <c r="C10" s="250">
        <f>VLOOKUP('Ped&amp;Bike (Segments)'!C13,'Reference Tables (Ped Segment)'!B69:C71,2,0)</f>
        <v>1</v>
      </c>
      <c r="D10" s="205" t="s">
        <v>545</v>
      </c>
      <c r="E10" s="250">
        <f>VLOOKUP('Ped&amp;Bike (Segments)'!D13,'Reference Tables (Ped Segment)'!B69:C71,2,0)</f>
        <v>1</v>
      </c>
      <c r="I10" s="205" t="s">
        <v>544</v>
      </c>
      <c r="J10" s="250">
        <f>AVERAGE(VLOOKUP('Ped&amp;Bike (Segments)'!C15,'Reference Tables (Bike Segment)'!B46:C47,2,0),VLOOKUP('Ped&amp;Bike (Segments)'!D15,'Reference Tables (Bike Segment)'!B46:C47,2,0))</f>
        <v>1.25</v>
      </c>
    </row>
    <row r="11" spans="2:10" ht="16.5" x14ac:dyDescent="0.45">
      <c r="B11" s="205" t="s">
        <v>543</v>
      </c>
      <c r="C11" s="250">
        <f>VLOOKUP('Ped&amp;Bike (Segments)'!C14,'Reference Tables (Ped Segment)'!B75:C76,2,0)</f>
        <v>1.2</v>
      </c>
      <c r="D11" s="205" t="s">
        <v>543</v>
      </c>
      <c r="E11" s="250">
        <f>VLOOKUP('Ped&amp;Bike (Segments)'!D14,'Reference Tables (Ped Segment)'!B75:C76,2,0)</f>
        <v>1</v>
      </c>
      <c r="I11" s="205" t="s">
        <v>542</v>
      </c>
      <c r="J11" s="250">
        <f>VLOOKUP('Ped&amp;Bike (Segments)'!C19,'Reference Tables (Bike Segment)'!B51:C55,2,0)</f>
        <v>1.33</v>
      </c>
    </row>
    <row r="12" spans="2:10" ht="16.5" x14ac:dyDescent="0.45">
      <c r="B12" s="205" t="s">
        <v>541</v>
      </c>
      <c r="C12" s="250">
        <f>VLOOKUP('Ped&amp;Bike (Segments)'!C15,'Reference Tables (Ped Segment)'!B80:C81,2,0)</f>
        <v>1.25</v>
      </c>
      <c r="D12" s="205" t="s">
        <v>541</v>
      </c>
      <c r="E12" s="250">
        <f>VLOOKUP('Ped&amp;Bike (Segments)'!D15,'Reference Tables (Ped Segment)'!B80:C81,2,0)</f>
        <v>1.25</v>
      </c>
      <c r="I12" s="205" t="s">
        <v>540</v>
      </c>
      <c r="J12" s="250">
        <f>IF(OR('Ped&amp;Bike (Segments)'!C20="Present",'Ped&amp;Bike (Segments)'!D20="Present"),'Reference Tables (Bike Segment)'!C59,'Reference Tables (Bike Segment)'!C60)</f>
        <v>1.25</v>
      </c>
    </row>
    <row r="13" spans="2:10" ht="16.5" x14ac:dyDescent="0.45">
      <c r="B13" s="205" t="s">
        <v>539</v>
      </c>
      <c r="C13" s="250">
        <f>VLOOKUP('Ped&amp;Bike (Segments)'!C18,'Reference Tables (Ped Segment)'!B85:C89,2,0)</f>
        <v>1.33</v>
      </c>
      <c r="D13" s="205" t="s">
        <v>539</v>
      </c>
      <c r="E13" s="250">
        <f>VLOOKUP('Ped&amp;Bike (Segments)'!D18,'Reference Tables (Ped Segment)'!B85:C89,2,0)</f>
        <v>1</v>
      </c>
      <c r="I13" s="205" t="s">
        <v>538</v>
      </c>
      <c r="J13" s="250">
        <f>0.1*J3*J5*J6*J7*J8*J9*J10*J11*J12</f>
        <v>29.317148437500006</v>
      </c>
    </row>
    <row r="14" spans="2:10" ht="16.5" x14ac:dyDescent="0.45">
      <c r="B14" s="205" t="s">
        <v>537</v>
      </c>
      <c r="C14" s="250">
        <f>VLOOKUP('Ped&amp;Bike (Segments)'!C20,'Reference Tables (Ped Segment)'!B97:C98,2,0)</f>
        <v>1.25</v>
      </c>
      <c r="D14" s="205" t="s">
        <v>537</v>
      </c>
      <c r="E14" s="250">
        <f>VLOOKUP('Ped&amp;Bike (Segments)'!D20,'Reference Tables (Ped Segment)'!B97:C98,2,0)</f>
        <v>1.25</v>
      </c>
      <c r="I14" s="205" t="s">
        <v>536</v>
      </c>
      <c r="J14" s="250">
        <f>J4</f>
        <v>90</v>
      </c>
    </row>
    <row r="15" spans="2:10" ht="16.5" x14ac:dyDescent="0.45">
      <c r="B15" s="205" t="s">
        <v>535</v>
      </c>
      <c r="C15" s="250">
        <f>0.075*C4*C6*C7*C8*C9*C10*C11*C12*C13*C14</f>
        <v>56.109375</v>
      </c>
      <c r="D15" s="205" t="s">
        <v>534</v>
      </c>
      <c r="E15" s="250">
        <f>0.075*E4*E6*E7*E8*E9*E10*E11*E12*E13*E14</f>
        <v>35.15625</v>
      </c>
      <c r="I15" s="205" t="s">
        <v>533</v>
      </c>
      <c r="J15" s="250">
        <f>VLOOKUP('Ped&amp;Bike (Segments)'!C8,'Reference Tables (Bike Segment)'!B71:C85,2,0)</f>
        <v>0.505</v>
      </c>
    </row>
    <row r="16" spans="2:10" ht="16.5" x14ac:dyDescent="0.45">
      <c r="B16" s="205" t="s">
        <v>532</v>
      </c>
      <c r="C16" s="250">
        <f>C5</f>
        <v>90</v>
      </c>
      <c r="D16" s="205" t="s">
        <v>531</v>
      </c>
      <c r="E16" s="250">
        <f>E5</f>
        <v>90</v>
      </c>
      <c r="I16" s="205" t="s">
        <v>530</v>
      </c>
      <c r="J16" s="250">
        <f>0.000166*('Ped&amp;Bike (Segments)'!C5)^0.65</f>
        <v>4.2115173178399856E-2</v>
      </c>
    </row>
    <row r="17" spans="2:10" ht="16.5" x14ac:dyDescent="0.45">
      <c r="B17" s="205" t="s">
        <v>510</v>
      </c>
      <c r="C17" s="250">
        <f>VLOOKUP('Ped&amp;Bike (Segments)'!C8,'Reference Tables (Ped Segment)'!B128:C142,2,0)</f>
        <v>0.59</v>
      </c>
      <c r="D17" s="205" t="s">
        <v>510</v>
      </c>
      <c r="E17" s="250">
        <f>VLOOKUP('Ped&amp;Bike (Segments)'!C8,'Reference Tables (Ped Segment)'!B128:C142,2,0)</f>
        <v>0.59</v>
      </c>
      <c r="I17" s="205" t="s">
        <v>529</v>
      </c>
      <c r="J17" s="250">
        <f>VLOOKUP('Ped&amp;Bike (Segments)'!C7,'Reference Tables (Bike Segment)'!B89:C99,2,0)</f>
        <v>2E-3</v>
      </c>
    </row>
    <row r="18" spans="2:10" ht="16.5" x14ac:dyDescent="0.45">
      <c r="B18" s="205" t="s">
        <v>509</v>
      </c>
      <c r="C18"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c r="D18" s="205" t="s">
        <v>509</v>
      </c>
      <c r="E18"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row>
    <row r="19" spans="2:10" ht="16.5" x14ac:dyDescent="0.45">
      <c r="B19" s="205" t="s">
        <v>528</v>
      </c>
      <c r="C19" s="250">
        <f>VLOOKUP('Ped&amp;Bike (Segments)'!C6,'Reference Tables (Ped Segment)'!B146:C156,2,0)</f>
        <v>2E-3</v>
      </c>
      <c r="D19" s="205" t="s">
        <v>527</v>
      </c>
      <c r="E19" s="250">
        <f>VLOOKUP('Ped&amp;Bike (Segments)'!D6,'Reference Tables (Ped Segment)'!B146:C156,2,0)</f>
        <v>2E-3</v>
      </c>
      <c r="I19" s="205" t="s">
        <v>526</v>
      </c>
      <c r="J19" s="250">
        <f>J13*J14*J15*J16*J17*'Ped&amp;Bike (Segments)'!C4/0.062</f>
        <v>1.8102248003868227</v>
      </c>
    </row>
    <row r="20" spans="2:10" ht="16.5" x14ac:dyDescent="0.45">
      <c r="B20" s="205" t="s">
        <v>525</v>
      </c>
      <c r="C20" s="250">
        <f>C15*C16*C17*C18*C19*'Ped&amp;Bike (Segments)'!C4/0.062</f>
        <v>24.027482358870966</v>
      </c>
      <c r="D20" s="205" t="s">
        <v>524</v>
      </c>
      <c r="E20" s="250">
        <f>E15*E16*E17*E18*E19*'Ped&amp;Bike (Segments)'!C4/0.062</f>
        <v>15.054813508064518</v>
      </c>
      <c r="I20" s="205" t="s">
        <v>523</v>
      </c>
      <c r="J20" s="250">
        <v>8.26E-3</v>
      </c>
    </row>
    <row r="21" spans="2:10" ht="16.5" x14ac:dyDescent="0.45">
      <c r="I21" s="205" t="s">
        <v>522</v>
      </c>
      <c r="J21" s="240">
        <v>1</v>
      </c>
    </row>
    <row r="22" spans="2:10" x14ac:dyDescent="0.35">
      <c r="C22" s="206" t="s">
        <v>465</v>
      </c>
      <c r="D22" s="206" t="s">
        <v>466</v>
      </c>
      <c r="E22" s="206" t="s">
        <v>467</v>
      </c>
      <c r="F22" s="206" t="s">
        <v>468</v>
      </c>
      <c r="G22" s="206" t="s">
        <v>469</v>
      </c>
    </row>
    <row r="23" spans="2:10" ht="16.5" x14ac:dyDescent="0.45">
      <c r="B23" s="205" t="s">
        <v>521</v>
      </c>
      <c r="C23" s="250">
        <f>VLOOKUP('Ped&amp;Bike (Segments)'!C28,'Reference Tables (Ped Segment)'!B16:D19,3,0)</f>
        <v>1</v>
      </c>
      <c r="D23" s="250">
        <f>VLOOKUP('Ped&amp;Bike (Segments)'!D28,'Reference Tables (Ped Segment)'!B16:D19,3,0)</f>
        <v>1</v>
      </c>
      <c r="E23" s="250">
        <f>VLOOKUP('Ped&amp;Bike (Segments)'!E28,'Reference Tables (Ped Segment)'!B16:D19,3,0)</f>
        <v>0.9</v>
      </c>
      <c r="F23" s="250">
        <f>VLOOKUP('Ped&amp;Bike (Segments)'!F28,'Reference Tables (Ped Segment)'!B16:D19,3,0)</f>
        <v>0.9</v>
      </c>
      <c r="G23" s="250">
        <f>VLOOKUP('Ped&amp;Bike (Segments)'!G28,'Reference Tables (Ped Segment)'!B16:D19,3,0)</f>
        <v>0.9</v>
      </c>
    </row>
    <row r="24" spans="2:10" ht="16.5" x14ac:dyDescent="0.45">
      <c r="B24" s="205" t="s">
        <v>520</v>
      </c>
      <c r="C24" s="250">
        <f>VLOOKUP('Ped&amp;Bike (Segments)'!C27,'Reference Tables (Ped Segment)'!B22:E32,HLOOKUP('Ped&amp;Bike (Segments)'!C26,'Reference Tables (Ped Segment)'!C22:E35,12,0),0)</f>
        <v>6.7</v>
      </c>
      <c r="D24" s="250">
        <f>VLOOKUP('Ped&amp;Bike (Segments)'!D27,'Reference Tables (Ped Segment)'!B22:E32,HLOOKUP('Ped&amp;Bike (Segments)'!D26,'Reference Tables (Ped Segment)'!C22:E35,12,0),0)</f>
        <v>6.7</v>
      </c>
      <c r="E24" s="250">
        <f>VLOOKUP('Ped&amp;Bike (Segments)'!E27,'Reference Tables (Ped Segment)'!B22:E32,HLOOKUP('Ped&amp;Bike (Segments)'!E26,'Reference Tables (Ped Segment)'!C22:E35,12,0),0)</f>
        <v>2.15</v>
      </c>
      <c r="F24" s="250">
        <f>VLOOKUP('Ped&amp;Bike (Segments)'!F27,'Reference Tables (Ped Segment)'!B22:E32,HLOOKUP('Ped&amp;Bike (Segments)'!F26,'Reference Tables (Ped Segment)'!C22:E35,12,0),0)</f>
        <v>2.15</v>
      </c>
      <c r="G24" s="250">
        <f>VLOOKUP('Ped&amp;Bike (Segments)'!G27,'Reference Tables (Ped Segment)'!B22:E32,HLOOKUP('Ped&amp;Bike (Segments)'!G26,'Reference Tables (Ped Segment)'!C22:E35,12,0),0)</f>
        <v>2.15</v>
      </c>
    </row>
    <row r="25" spans="2:10" ht="16.5" x14ac:dyDescent="0.45">
      <c r="B25" s="205" t="s">
        <v>519</v>
      </c>
      <c r="C25" s="250">
        <f>VLOOKUP('Ped&amp;Bike (Segments)'!C27,'Reference Tables (Ped Segment)'!B23:F32,5,0)</f>
        <v>90</v>
      </c>
      <c r="D25" s="250">
        <f>VLOOKUP('Ped&amp;Bike (Segments)'!D27,'Reference Tables (Ped Segment)'!B23:F32,5,0)</f>
        <v>90</v>
      </c>
      <c r="E25" s="250">
        <f>VLOOKUP('Ped&amp;Bike (Segments)'!E27,'Reference Tables (Ped Segment)'!B23:F32,5,0)</f>
        <v>90</v>
      </c>
      <c r="F25" s="250">
        <f>VLOOKUP('Ped&amp;Bike (Segments)'!F27,'Reference Tables (Ped Segment)'!B23:F32,5,0)</f>
        <v>90</v>
      </c>
      <c r="G25" s="250">
        <f>VLOOKUP('Ped&amp;Bike (Segments)'!G27,'Reference Tables (Ped Segment)'!B23:F32,5,0)</f>
        <v>90</v>
      </c>
    </row>
    <row r="26" spans="2:10" ht="16.5" x14ac:dyDescent="0.45">
      <c r="B26" s="205" t="s">
        <v>518</v>
      </c>
      <c r="C26" s="250">
        <f>VLOOKUP('Ped&amp;Bike (Segments)'!C29,'Reference Tables (Ped Segment)'!B38:C40,2,0)</f>
        <v>1</v>
      </c>
      <c r="D26" s="250">
        <f>VLOOKUP('Ped&amp;Bike (Segments)'!D29,'Reference Tables (Ped Segment)'!B38:C40,2,0)</f>
        <v>1</v>
      </c>
      <c r="E26" s="250">
        <f>VLOOKUP('Ped&amp;Bike (Segments)'!E29,'Reference Tables (Ped Segment)'!B38:C40,2,0)</f>
        <v>1.5</v>
      </c>
      <c r="F26" s="250">
        <f>VLOOKUP('Ped&amp;Bike (Segments)'!F29,'Reference Tables (Ped Segment)'!B38:C40,2,0)</f>
        <v>1.5</v>
      </c>
      <c r="G26" s="250">
        <f>VLOOKUP('Ped&amp;Bike (Segments)'!G29,'Reference Tables (Ped Segment)'!B38:C40,2,0)</f>
        <v>1.5</v>
      </c>
    </row>
    <row r="27" spans="2:10" ht="16.5" x14ac:dyDescent="0.45">
      <c r="B27" s="205" t="s">
        <v>517</v>
      </c>
      <c r="C27" s="250">
        <f>VLOOKUP('Ped&amp;Bike (Segments)'!C30,'Reference Tables (Ped Segment)'!B44:C46,2,0)</f>
        <v>1.25</v>
      </c>
      <c r="D27" s="250">
        <f>VLOOKUP('Ped&amp;Bike (Segments)'!D30,'Reference Tables (Ped Segment)'!B44:C46,2,0)</f>
        <v>1.25</v>
      </c>
      <c r="E27" s="250">
        <f>VLOOKUP('Ped&amp;Bike (Segments)'!E30,'Reference Tables (Ped Segment)'!B44:C46,2,0)</f>
        <v>1.25</v>
      </c>
      <c r="F27" s="250">
        <f>VLOOKUP('Ped&amp;Bike (Segments)'!F30,'Reference Tables (Ped Segment)'!B44:C46,2,0)</f>
        <v>1.25</v>
      </c>
      <c r="G27" s="250">
        <f>VLOOKUP('Ped&amp;Bike (Segments)'!G30,'Reference Tables (Ped Segment)'!B44:C46,2,0)</f>
        <v>1.25</v>
      </c>
    </row>
    <row r="28" spans="2:10" ht="16.5" x14ac:dyDescent="0.45">
      <c r="B28" s="205" t="s">
        <v>516</v>
      </c>
      <c r="C28" s="250">
        <f>VLOOKUP('Ped&amp;Bike (Segments)'!C31,'Reference Tables (Ped Segment)'!B92:C94,2,0)</f>
        <v>1</v>
      </c>
      <c r="D28" s="250">
        <f>VLOOKUP('Ped&amp;Bike (Segments)'!D31,'Reference Tables (Ped Segment)'!B92:C94,2,0)</f>
        <v>1</v>
      </c>
      <c r="E28" s="250">
        <f>VLOOKUP('Ped&amp;Bike (Segments)'!E31,'Reference Tables (Ped Segment)'!B92:C94,2,0)</f>
        <v>1</v>
      </c>
      <c r="F28" s="250">
        <f>VLOOKUP('Ped&amp;Bike (Segments)'!F31,'Reference Tables (Ped Segment)'!B92:C94,2,0)</f>
        <v>1</v>
      </c>
      <c r="G28" s="250">
        <f>VLOOKUP('Ped&amp;Bike (Segments)'!G31,'Reference Tables (Ped Segment)'!B92:C94,2,0)</f>
        <v>1</v>
      </c>
    </row>
    <row r="29" spans="2:10" ht="16.5" x14ac:dyDescent="0.45">
      <c r="B29" s="205" t="s">
        <v>515</v>
      </c>
      <c r="C29" s="250">
        <f>VLOOKUP('Ped&amp;Bike (Segments)'!C32,'Reference Tables (Ped Segment)'!B97:C98,2,0)</f>
        <v>1.25</v>
      </c>
      <c r="D29" s="250">
        <f>VLOOKUP('Ped&amp;Bike (Segments)'!D32,'Reference Tables (Ped Segment)'!B97:C98,2,0)</f>
        <v>1.25</v>
      </c>
      <c r="E29" s="250">
        <f>VLOOKUP('Ped&amp;Bike (Segments)'!E32,'Reference Tables (Ped Segment)'!B97:C98,2,0)</f>
        <v>1.25</v>
      </c>
      <c r="F29" s="250">
        <f>VLOOKUP('Ped&amp;Bike (Segments)'!F32,'Reference Tables (Ped Segment)'!B97:C98,2,0)</f>
        <v>1.25</v>
      </c>
      <c r="G29" s="250">
        <f>VLOOKUP('Ped&amp;Bike (Segments)'!G32,'Reference Tables (Ped Segment)'!B97:C98,2,0)</f>
        <v>1.25</v>
      </c>
    </row>
    <row r="30" spans="2:10" ht="16.5" x14ac:dyDescent="0.45">
      <c r="B30" s="205" t="s">
        <v>514</v>
      </c>
      <c r="C30" s="250">
        <f>VLOOKUP((VLOOKUP('Ped&amp;Bike (Segments)'!C9,'Reference Tables (Ped Segment)'!B102:C107,2,0)+VLOOKUP('Ped&amp;Bike (Segments)'!D9,'Reference Tables (Ped Segment)'!B102:C107,2,0)+'Ped&amp;Bike (Segments)'!C34),'Reference Tables (Ped Segment)'!C103:D107,2,0)</f>
        <v>1.8</v>
      </c>
      <c r="D30" s="250">
        <f>VLOOKUP((VLOOKUP('Ped&amp;Bike (Segments)'!C9,'Reference Tables (Ped Segment)'!B102:C107,2,0)+VLOOKUP('Ped&amp;Bike (Segments)'!D9,'Reference Tables (Ped Segment)'!B102:C107,2,0)+'Ped&amp;Bike (Segments)'!D34),'Reference Tables (Ped Segment)'!C103:D107,2,0)</f>
        <v>1</v>
      </c>
      <c r="E30" s="250">
        <f>VLOOKUP((VLOOKUP('Ped&amp;Bike (Segments)'!C9,'Reference Tables (Ped Segment)'!B102:C107,2,0)+VLOOKUP('Ped&amp;Bike (Segments)'!D9,'Reference Tables (Ped Segment)'!B102:C107,2,0)+'Ped&amp;Bike (Segments)'!E34),'Reference Tables (Ped Segment)'!C103:D107,2,0)</f>
        <v>1</v>
      </c>
      <c r="F30" s="250">
        <f>VLOOKUP((VLOOKUP('Ped&amp;Bike (Segments)'!C9,'Reference Tables (Ped Segment)'!B102:C107,2,0)+VLOOKUP('Ped&amp;Bike (Segments)'!D9,'Reference Tables (Ped Segment)'!B102:C107,2,0)+'Ped&amp;Bike (Segments)'!F34),'Reference Tables (Ped Segment)'!C103:D107,2,0)</f>
        <v>1</v>
      </c>
      <c r="G30" s="250">
        <f>VLOOKUP((VLOOKUP('Ped&amp;Bike (Segments)'!C9,'Reference Tables (Ped Segment)'!B102:C107,2,0)+VLOOKUP('Ped&amp;Bike (Segments)'!D9,'Reference Tables (Ped Segment)'!B102:C107,2,0)+'Ped&amp;Bike (Segments)'!G34),'Reference Tables (Ped Segment)'!C103:D107,2,0)</f>
        <v>1</v>
      </c>
    </row>
    <row r="31" spans="2:10" ht="16.5" x14ac:dyDescent="0.45">
      <c r="B31" s="205" t="s">
        <v>513</v>
      </c>
      <c r="C31" s="250">
        <f>VLOOKUP('Ped&amp;Bike (Segments)'!C33,'Reference Tables (Ped Segment)'!B111:C117,2,0)</f>
        <v>3</v>
      </c>
      <c r="D31" s="250">
        <f>VLOOKUP('Ped&amp;Bike (Segments)'!D33,'Reference Tables (Ped Segment)'!B111:C117,2,0)</f>
        <v>3</v>
      </c>
      <c r="E31" s="250">
        <f>VLOOKUP('Ped&amp;Bike (Segments)'!E33,'Reference Tables (Ped Segment)'!B111:C117,2,0)</f>
        <v>2.7</v>
      </c>
      <c r="F31" s="250">
        <f>VLOOKUP('Ped&amp;Bike (Segments)'!F33,'Reference Tables (Ped Segment)'!B111:C117,2,0)</f>
        <v>2.7</v>
      </c>
      <c r="G31" s="250">
        <f>VLOOKUP('Ped&amp;Bike (Segments)'!G33,'Reference Tables (Ped Segment)'!B111:C117,2,0)</f>
        <v>2.7</v>
      </c>
    </row>
    <row r="32" spans="2:10" ht="16.5" x14ac:dyDescent="0.45">
      <c r="B32" s="205" t="s">
        <v>512</v>
      </c>
      <c r="C32" s="250">
        <f>C23*C24*C26*C27*C28*C29*C30*C31</f>
        <v>56.53125</v>
      </c>
      <c r="D32" s="250">
        <f>D23*D24*D26*D27*D28*D29*D30*D31</f>
        <v>31.40625</v>
      </c>
      <c r="E32" s="250">
        <f>E23*E24*E26*E27*E28*E29*E30*E31</f>
        <v>12.244921875000001</v>
      </c>
      <c r="F32" s="250">
        <f>F23*F24*F26*F27*F28*F29*F30*F31</f>
        <v>12.244921875000001</v>
      </c>
      <c r="G32" s="250">
        <f>G23*G24*G26*G27*G28*G29*G30*G31</f>
        <v>12.244921875000001</v>
      </c>
    </row>
    <row r="33" spans="2:10" ht="16.5" x14ac:dyDescent="0.45">
      <c r="B33" s="205" t="s">
        <v>511</v>
      </c>
      <c r="C33" s="250">
        <f>C25</f>
        <v>90</v>
      </c>
      <c r="D33" s="250">
        <f>D25</f>
        <v>90</v>
      </c>
      <c r="E33" s="250">
        <f>E25</f>
        <v>90</v>
      </c>
      <c r="F33" s="250">
        <f>F25</f>
        <v>90</v>
      </c>
      <c r="G33" s="250">
        <f>G25</f>
        <v>90</v>
      </c>
    </row>
    <row r="34" spans="2:10" ht="16.5" x14ac:dyDescent="0.45">
      <c r="B34" s="205" t="s">
        <v>510</v>
      </c>
      <c r="C34" s="250">
        <f>VLOOKUP('Ped&amp;Bike (Segments)'!C8,'Reference Tables (Ped Segment)'!B128:C142,2,0)</f>
        <v>0.59</v>
      </c>
      <c r="D34" s="250">
        <f>VLOOKUP('Ped&amp;Bike (Segments)'!C8,'Reference Tables (Ped Segment)'!B128:C142,2,0)</f>
        <v>0.59</v>
      </c>
      <c r="E34" s="250">
        <f>VLOOKUP('Ped&amp;Bike (Segments)'!C8,'Reference Tables (Ped Segment)'!B128:C142,2,0)</f>
        <v>0.59</v>
      </c>
      <c r="F34" s="250">
        <f>VLOOKUP('Ped&amp;Bike (Segments)'!C8,'Reference Tables (Ped Segment)'!B128:C142,2,0)</f>
        <v>0.59</v>
      </c>
      <c r="G34" s="250">
        <f>VLOOKUP('Ped&amp;Bike (Segments)'!C8,'Reference Tables (Ped Segment)'!B128:C142,2,0)</f>
        <v>0.59</v>
      </c>
    </row>
    <row r="35" spans="2:10" ht="16.5" x14ac:dyDescent="0.45">
      <c r="B35" s="205" t="s">
        <v>509</v>
      </c>
      <c r="C35"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c r="D35"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c r="E35"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c r="F35"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c r="G35" s="250">
        <f>IF(('Ped&amp;Bike (Segments)'!C5+'Ped&amp;Bike (Segments)'!D5)/((VLOOKUP('Ped&amp;Bike (Segments)'!C9,'Reference Tables (Ped Segment)'!B102:C107,2,0)+VLOOKUP('Ped&amp;Bike (Segments)'!D9,'Reference Tables (Ped Segment)'!B102:C107,2,0))*20000)&gt;=1,1,('Ped&amp;Bike (Segments)'!C5+'Ped&amp;Bike (Segments)'!D5)/((VLOOKUP('Ped&amp;Bike (Segments)'!C9,'Reference Tables (Ped Segment)'!B102:C107,2,0)+VLOOKUP('Ped&amp;Bike (Segments)'!D9,'Reference Tables (Ped Segment)'!B102:C107,2,0))*20000))</f>
        <v>0.25</v>
      </c>
    </row>
    <row r="36" spans="2:10" ht="16.5" x14ac:dyDescent="0.45">
      <c r="B36" s="205" t="s">
        <v>508</v>
      </c>
      <c r="C36" s="250">
        <f>VLOOKUP('Ped&amp;Bike (Segments)'!C25,'Reference Tables (Ped Segment)'!B146:C156,2,0)</f>
        <v>2E-3</v>
      </c>
      <c r="D36" s="250">
        <f>VLOOKUP('Ped&amp;Bike (Segments)'!D25,'Reference Tables (Ped Segment)'!B146:C156,2,0)</f>
        <v>2E-3</v>
      </c>
      <c r="E36" s="250">
        <f>VLOOKUP('Ped&amp;Bike (Segments)'!E25,'Reference Tables (Ped Segment)'!B146:C156,2,0)</f>
        <v>2E-3</v>
      </c>
      <c r="F36" s="250">
        <f>VLOOKUP('Ped&amp;Bike (Segments)'!F25,'Reference Tables (Ped Segment)'!B146:C156,2,0)</f>
        <v>2E-3</v>
      </c>
      <c r="G36" s="250">
        <f>VLOOKUP('Ped&amp;Bike (Segments)'!G25,'Reference Tables (Ped Segment)'!B146:C156,2,0)</f>
        <v>2E-3</v>
      </c>
    </row>
    <row r="37" spans="2:10" ht="16.5" x14ac:dyDescent="0.45">
      <c r="B37" s="205" t="s">
        <v>507</v>
      </c>
      <c r="C37" s="250">
        <f>C32*C33*C34*C35*C36</f>
        <v>1.5009046874999998</v>
      </c>
      <c r="D37" s="250">
        <f>D32*D33*D34*D35*D36</f>
        <v>0.83383593750000007</v>
      </c>
      <c r="E37" s="250">
        <f>E32*E33*E34*E35*E36</f>
        <v>0.32510267578124996</v>
      </c>
      <c r="F37" s="250">
        <f>F32*F33*F34*F35*F36</f>
        <v>0.32510267578124996</v>
      </c>
      <c r="G37" s="250">
        <f>G32*G33*G34*G35*G36</f>
        <v>0.32510267578124996</v>
      </c>
    </row>
    <row r="39" spans="2:10" ht="16.5" x14ac:dyDescent="0.45">
      <c r="B39" s="205" t="s">
        <v>506</v>
      </c>
      <c r="C39" s="251">
        <f>IF('Ped&amp;Bike (Segments)'!D23=0,(C20+E20),IF('Ped&amp;Bike (Segments)'!D23=1,(C20+E20+C37),IF('Ped&amp;Bike (Segments)'!D23=2,(C20+E20+C37+D37),IF('Ped&amp;Bike (Segments)'!D23=3,(C20+E20+C37+D37+E37),IF('Ped&amp;Bike (Segments)'!D23=4,(C20+E20+C37+D37+E37+F37),IF('Ped&amp;Bike (Segments)'!D23=5,(C20+E20+C37+D37+E37+F37+G37)))))))</f>
        <v>39.082295866935482</v>
      </c>
    </row>
    <row r="40" spans="2:10" ht="16.5" x14ac:dyDescent="0.45">
      <c r="B40" s="205" t="s">
        <v>505</v>
      </c>
      <c r="C40" s="252">
        <v>4.2000000000000002E-4</v>
      </c>
    </row>
    <row r="41" spans="2:10" ht="16.5" x14ac:dyDescent="0.45">
      <c r="B41" s="205" t="s">
        <v>504</v>
      </c>
      <c r="C41" s="246">
        <v>1</v>
      </c>
    </row>
    <row r="43" spans="2:10" ht="18" customHeight="1" x14ac:dyDescent="0.35">
      <c r="B43" s="253" t="s">
        <v>502</v>
      </c>
      <c r="C43" s="253" t="s">
        <v>503</v>
      </c>
      <c r="I43" s="253" t="s">
        <v>502</v>
      </c>
      <c r="J43" s="253" t="s">
        <v>501</v>
      </c>
    </row>
    <row r="44" spans="2:10" ht="16.5" x14ac:dyDescent="0.45">
      <c r="B44" s="211" t="s">
        <v>497</v>
      </c>
      <c r="C44" s="213">
        <f>C39*C40*C41</f>
        <v>1.6414564264112905E-2</v>
      </c>
      <c r="D44" s="214"/>
      <c r="E44" s="212"/>
      <c r="F44" s="212"/>
      <c r="G44" s="212"/>
      <c r="I44" s="206" t="s">
        <v>496</v>
      </c>
      <c r="J44" s="213">
        <f>J19*J20*J21</f>
        <v>1.4952456851195155E-2</v>
      </c>
    </row>
    <row r="45" spans="2:10" ht="16.5" x14ac:dyDescent="0.45">
      <c r="B45" s="211" t="s">
        <v>495</v>
      </c>
      <c r="C45" s="210">
        <f>C44*'Reference Tables (Ped Segment)'!C121</f>
        <v>5.0228566648185483E-3</v>
      </c>
      <c r="D45" s="212"/>
      <c r="E45" s="212"/>
      <c r="F45" s="212"/>
      <c r="G45" s="212"/>
      <c r="I45" s="206" t="s">
        <v>494</v>
      </c>
      <c r="J45" s="210">
        <f>$J$44*'Reference Tables (Bike Segment)'!C64</f>
        <v>6.7286055830378195E-4</v>
      </c>
    </row>
    <row r="46" spans="2:10" ht="16.5" x14ac:dyDescent="0.45">
      <c r="B46" s="211" t="s">
        <v>493</v>
      </c>
      <c r="C46" s="210">
        <f>C44*'Reference Tables (Ped Segment)'!C122</f>
        <v>3.7096915236895164E-3</v>
      </c>
      <c r="D46" s="212"/>
      <c r="E46" s="212"/>
      <c r="F46" s="212"/>
      <c r="G46" s="212"/>
      <c r="I46" s="206" t="s">
        <v>492</v>
      </c>
      <c r="J46" s="210">
        <f>$J$44*'Reference Tables (Bike Segment)'!C65</f>
        <v>4.710023908126474E-3</v>
      </c>
    </row>
    <row r="47" spans="2:10" ht="16.5" x14ac:dyDescent="0.45">
      <c r="B47" s="211" t="s">
        <v>491</v>
      </c>
      <c r="C47" s="210">
        <f>C44*'Reference Tables (Ped Segment)'!C123</f>
        <v>3.9723245519153226E-3</v>
      </c>
      <c r="D47" s="212"/>
      <c r="E47" s="212"/>
      <c r="F47" s="212"/>
      <c r="G47" s="212"/>
      <c r="I47" s="206" t="s">
        <v>490</v>
      </c>
      <c r="J47" s="210">
        <f>$J$44*'Reference Tables (Bike Segment)'!C66</f>
        <v>6.6837482124842348E-3</v>
      </c>
    </row>
    <row r="48" spans="2:10" ht="16.5" x14ac:dyDescent="0.45">
      <c r="B48" s="211" t="s">
        <v>489</v>
      </c>
      <c r="C48" s="210">
        <f>C44*'Reference Tables (Ped Segment)'!C124</f>
        <v>3.7096915236895164E-3</v>
      </c>
      <c r="D48" s="212"/>
      <c r="E48" s="212"/>
      <c r="F48" s="212"/>
      <c r="G48" s="212"/>
      <c r="I48" s="206" t="s">
        <v>488</v>
      </c>
      <c r="J48" s="210">
        <f>$J$44*'Reference Tables (Bike Segment)'!C67</f>
        <v>2.8858241722806649E-3</v>
      </c>
    </row>
    <row r="51" spans="2:10" x14ac:dyDescent="0.35">
      <c r="B51" s="253" t="s">
        <v>499</v>
      </c>
      <c r="C51" s="253" t="s">
        <v>500</v>
      </c>
      <c r="I51" s="253" t="s">
        <v>499</v>
      </c>
      <c r="J51" s="253" t="s">
        <v>498</v>
      </c>
    </row>
    <row r="52" spans="2:10" ht="16.5" x14ac:dyDescent="0.45">
      <c r="B52" s="211" t="s">
        <v>497</v>
      </c>
      <c r="C52" s="210">
        <f>1.05*C44</f>
        <v>1.7235292477318552E-2</v>
      </c>
      <c r="I52" s="206" t="s">
        <v>496</v>
      </c>
      <c r="J52" s="210">
        <f>1.05*J44</f>
        <v>1.5700079693754913E-2</v>
      </c>
    </row>
    <row r="53" spans="2:10" ht="16.5" x14ac:dyDescent="0.45">
      <c r="B53" s="211" t="s">
        <v>495</v>
      </c>
      <c r="C53" s="210">
        <f>1.05*C45</f>
        <v>5.2739994980594762E-3</v>
      </c>
      <c r="I53" s="206" t="s">
        <v>494</v>
      </c>
      <c r="J53" s="210">
        <f>1.05*J45</f>
        <v>7.0650358621897108E-4</v>
      </c>
    </row>
    <row r="54" spans="2:10" ht="16.5" x14ac:dyDescent="0.45">
      <c r="B54" s="211" t="s">
        <v>493</v>
      </c>
      <c r="C54" s="210">
        <f>1.05*C46</f>
        <v>3.8951760998739925E-3</v>
      </c>
      <c r="I54" s="206" t="s">
        <v>492</v>
      </c>
      <c r="J54" s="210">
        <f>1.05*J46</f>
        <v>4.9455251035327979E-3</v>
      </c>
    </row>
    <row r="55" spans="2:10" ht="16.5" x14ac:dyDescent="0.45">
      <c r="B55" s="211" t="s">
        <v>491</v>
      </c>
      <c r="C55" s="210">
        <f>1.05*C47</f>
        <v>4.1709407795110891E-3</v>
      </c>
      <c r="I55" s="206" t="s">
        <v>490</v>
      </c>
      <c r="J55" s="210">
        <f>1.05*J47</f>
        <v>7.0179356231084471E-3</v>
      </c>
    </row>
    <row r="56" spans="2:10" ht="16.5" x14ac:dyDescent="0.45">
      <c r="B56" s="211" t="s">
        <v>489</v>
      </c>
      <c r="C56" s="210">
        <f>1.05*C48</f>
        <v>3.8951760998739925E-3</v>
      </c>
      <c r="I56" s="206" t="s">
        <v>488</v>
      </c>
      <c r="J56" s="210">
        <f>1.05*J48</f>
        <v>3.0301153808946985E-3</v>
      </c>
    </row>
  </sheetData>
  <dataValidations count="1">
    <dataValidation allowBlank="1" showInputMessage="1" showErrorMessage="1" sqref="C3 E3" xr:uid="{00000000-0002-0000-0500-000000000000}">
      <formula1>0</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2:K93"/>
  <sheetViews>
    <sheetView topLeftCell="B1" zoomScale="110" zoomScaleNormal="110" workbookViewId="0">
      <selection activeCell="I23" sqref="I23"/>
    </sheetView>
  </sheetViews>
  <sheetFormatPr defaultColWidth="8.7265625" defaultRowHeight="14.5" x14ac:dyDescent="0.35"/>
  <cols>
    <col min="1" max="1" width="8.7265625" style="204"/>
    <col min="2" max="2" width="47" style="204" customWidth="1"/>
    <col min="3" max="3" width="29" style="204" customWidth="1"/>
    <col min="4" max="4" width="17.54296875" style="204" customWidth="1"/>
    <col min="5" max="5" width="49" style="204" customWidth="1"/>
    <col min="6" max="6" width="25.453125" style="204" customWidth="1"/>
    <col min="7" max="7" width="8.7265625" style="204"/>
    <col min="8" max="8" width="19.54296875" style="204" customWidth="1"/>
    <col min="9" max="9" width="51.7265625" style="204" bestFit="1" customWidth="1"/>
    <col min="10" max="10" width="11.7265625" style="204" customWidth="1"/>
    <col min="11" max="11" width="11.81640625" style="204" customWidth="1"/>
    <col min="12" max="16384" width="8.7265625" style="204"/>
  </cols>
  <sheetData>
    <row r="2" spans="2:11" ht="26" x14ac:dyDescent="0.6">
      <c r="B2" s="209" t="s">
        <v>563</v>
      </c>
      <c r="E2" s="209" t="s">
        <v>562</v>
      </c>
      <c r="H2" s="632" t="s">
        <v>670</v>
      </c>
      <c r="I2" s="632"/>
      <c r="J2" s="632"/>
      <c r="K2" s="632"/>
    </row>
    <row r="3" spans="2:11" x14ac:dyDescent="0.35">
      <c r="B3" s="206" t="s">
        <v>669</v>
      </c>
      <c r="E3" s="206" t="s">
        <v>572</v>
      </c>
      <c r="H3" s="226" t="s">
        <v>239</v>
      </c>
      <c r="I3" s="226" t="s">
        <v>380</v>
      </c>
      <c r="J3" s="226" t="s">
        <v>668</v>
      </c>
      <c r="K3" s="226" t="s">
        <v>667</v>
      </c>
    </row>
    <row r="4" spans="2:11" ht="16.5" x14ac:dyDescent="0.45">
      <c r="B4" s="205" t="s">
        <v>615</v>
      </c>
      <c r="C4" s="250">
        <f>VLOOKUP('Ped&amp;Bike (Intersections)'!C14,'Reference Tables (Ped Intersct)'!$B$20:$C$23,2,0)</f>
        <v>1</v>
      </c>
      <c r="E4" s="205" t="s">
        <v>646</v>
      </c>
      <c r="F4" s="250">
        <f>AVERAGE(VLOOKUP('Ped&amp;Bike (Intersections)'!C24,'ReferenceTables (Bike Intersct)'!B4:C12,2,0),VLOOKUP('Ped&amp;Bike (Intersections)'!C25,'ReferenceTables (Bike Intersct)'!B4:C12,2,0))</f>
        <v>1.2</v>
      </c>
      <c r="H4" s="205" t="s">
        <v>204</v>
      </c>
      <c r="I4" s="205" t="s">
        <v>666</v>
      </c>
      <c r="J4" s="270">
        <v>1</v>
      </c>
      <c r="K4" s="270">
        <v>1</v>
      </c>
    </row>
    <row r="5" spans="2:11" ht="16.5" x14ac:dyDescent="0.45">
      <c r="B5" s="205" t="s">
        <v>614</v>
      </c>
      <c r="C5" s="250">
        <f>VLOOKUP('Ped&amp;Bike (Intersections)'!C16,'Reference Tables (Ped Intersct)'!$B$28:$F$37,HLOOKUP('Ped&amp;Bike (Intersections)'!C15,'Reference Tables (Ped Intersct)'!$C$27:$E$38,12,0),0)</f>
        <v>6.7</v>
      </c>
      <c r="E5" s="205" t="s">
        <v>644</v>
      </c>
      <c r="F5" s="250">
        <f>VLOOKUP('Ped&amp;Bike (Intersections)'!C26,'ReferenceTables (Bike Intersct)'!B16:C22,2,0)</f>
        <v>1</v>
      </c>
      <c r="H5" s="205" t="s">
        <v>204</v>
      </c>
      <c r="I5" s="205" t="s">
        <v>665</v>
      </c>
      <c r="J5" s="270">
        <v>1</v>
      </c>
      <c r="K5" s="270">
        <v>1</v>
      </c>
    </row>
    <row r="6" spans="2:11" ht="16.5" x14ac:dyDescent="0.45">
      <c r="B6" s="205" t="s">
        <v>613</v>
      </c>
      <c r="C6" s="250">
        <f>VLOOKUP('Ped&amp;Bike (Intersections)'!C16,'Reference Tables (Ped Intersct)'!$B$28:$F$37,5,0)</f>
        <v>90</v>
      </c>
      <c r="E6" s="205" t="s">
        <v>643</v>
      </c>
      <c r="F6" s="250">
        <f>VLOOKUP('Ped&amp;Bike (Intersections)'!C3,'ReferenceTables (Bike Intersct)'!B26:C35,2,0)</f>
        <v>40</v>
      </c>
      <c r="H6" s="205" t="s">
        <v>663</v>
      </c>
      <c r="I6" s="205" t="s">
        <v>664</v>
      </c>
      <c r="J6" s="270">
        <v>1</v>
      </c>
      <c r="K6" s="270">
        <v>1</v>
      </c>
    </row>
    <row r="7" spans="2:11" ht="16.5" x14ac:dyDescent="0.45">
      <c r="B7" s="205" t="s">
        <v>612</v>
      </c>
      <c r="C7" s="250">
        <f>VLOOKUP('Ped&amp;Bike (Intersections)'!C17,'Reference Tables (Ped Intersct)'!B41:C43,2,0)</f>
        <v>1</v>
      </c>
      <c r="E7" s="205" t="s">
        <v>642</v>
      </c>
      <c r="F7" s="250">
        <f>VLOOKUP('Ped&amp;Bike (Intersections)'!C3,'ReferenceTables (Bike Intersct)'!B26:D35,3,0)</f>
        <v>45</v>
      </c>
      <c r="H7" s="205" t="s">
        <v>663</v>
      </c>
      <c r="I7" s="205" t="s">
        <v>662</v>
      </c>
      <c r="J7" s="270">
        <v>1</v>
      </c>
      <c r="K7" s="270">
        <v>1</v>
      </c>
    </row>
    <row r="8" spans="2:11" ht="16.5" x14ac:dyDescent="0.45">
      <c r="B8" s="205" t="s">
        <v>611</v>
      </c>
      <c r="C8" s="250">
        <f>VLOOKUP('Ped&amp;Bike (Intersections)'!C18,'Reference Tables (Ped Intersct)'!B47:C49,2,0)</f>
        <v>1.25</v>
      </c>
      <c r="E8" s="205" t="s">
        <v>641</v>
      </c>
      <c r="F8" s="250">
        <f>VLOOKUP('Ped&amp;Bike (Intersections)'!C27,'ReferenceTables (Bike Intersct)'!B39:C41,2,0)</f>
        <v>1</v>
      </c>
      <c r="H8" s="205" t="s">
        <v>205</v>
      </c>
      <c r="I8" s="205" t="s">
        <v>661</v>
      </c>
      <c r="J8" s="270">
        <v>1</v>
      </c>
      <c r="K8" s="270">
        <v>1</v>
      </c>
    </row>
    <row r="9" spans="2:11" ht="16.5" x14ac:dyDescent="0.45">
      <c r="B9" s="205" t="s">
        <v>610</v>
      </c>
      <c r="C9" s="250">
        <f>VLOOKUP('Ped&amp;Bike (Intersections)'!C19,'Reference Tables (Ped Intersct)'!B53:C55,2,0)</f>
        <v>1</v>
      </c>
      <c r="E9" s="205" t="s">
        <v>640</v>
      </c>
      <c r="F9" s="250">
        <f>VLOOKUP('Ped&amp;Bike (Intersections)'!C28,'ReferenceTables (Bike Intersct)'!B45:C46,2,0)</f>
        <v>1.2</v>
      </c>
      <c r="H9" s="205" t="s">
        <v>205</v>
      </c>
      <c r="I9" s="205" t="s">
        <v>660</v>
      </c>
      <c r="J9" s="270">
        <v>1</v>
      </c>
      <c r="K9" s="270">
        <v>1</v>
      </c>
    </row>
    <row r="10" spans="2:11" ht="16.5" x14ac:dyDescent="0.45">
      <c r="B10" s="205" t="s">
        <v>609</v>
      </c>
      <c r="C10" s="250">
        <f>VLOOKUP('Ped&amp;Bike (Intersections)'!C8,'Reference Tables (Ped Intersct)'!$B$59:$C$60,2,0)</f>
        <v>1.25</v>
      </c>
      <c r="E10" s="205" t="s">
        <v>639</v>
      </c>
      <c r="F10" s="250">
        <f>VLOOKUP('Ped&amp;Bike (Intersections)'!C8,'ReferenceTables (Bike Intersct)'!B50:C51,2,0)</f>
        <v>1.25</v>
      </c>
      <c r="H10" s="205" t="s">
        <v>206</v>
      </c>
      <c r="I10" s="205" t="s">
        <v>659</v>
      </c>
      <c r="J10" s="270">
        <v>1</v>
      </c>
      <c r="K10" s="270">
        <v>1</v>
      </c>
    </row>
    <row r="11" spans="2:11" ht="16.5" x14ac:dyDescent="0.45">
      <c r="B11" s="205" t="s">
        <v>608</v>
      </c>
      <c r="C11" s="250">
        <f>VLOOKUP(VLOOKUP('Ped&amp;Bike (Intersections)'!C9,'Reference Tables (Ped Intersct)'!B64:C68,2,0)+'Ped&amp;Bike (Intersections)'!C20,'Reference Tables (Ped Intersct)'!C64:D68,2,0)</f>
        <v>1</v>
      </c>
      <c r="E11" s="205" t="s">
        <v>658</v>
      </c>
      <c r="F11" s="250">
        <f>F4*F5*F6*F8*F9*F10</f>
        <v>72</v>
      </c>
      <c r="H11" s="205" t="s">
        <v>206</v>
      </c>
      <c r="I11" s="205" t="s">
        <v>585</v>
      </c>
      <c r="J11" s="270">
        <v>1</v>
      </c>
      <c r="K11" s="270">
        <v>1</v>
      </c>
    </row>
    <row r="12" spans="2:11" ht="16.5" x14ac:dyDescent="0.45">
      <c r="B12" s="205" t="s">
        <v>607</v>
      </c>
      <c r="C12" s="250">
        <f>VLOOKUP('Ped&amp;Bike (Intersections)'!C13,'Reference Tables (Ped Intersct)'!$B$72:$C$78,2,0)</f>
        <v>3</v>
      </c>
      <c r="E12" s="205" t="s">
        <v>657</v>
      </c>
      <c r="F12" s="250">
        <f>F7</f>
        <v>45</v>
      </c>
      <c r="I12" s="278"/>
      <c r="J12" s="278"/>
      <c r="K12" s="278"/>
    </row>
    <row r="13" spans="2:11" ht="16.5" x14ac:dyDescent="0.45">
      <c r="B13" s="205" t="s">
        <v>606</v>
      </c>
      <c r="C13" s="250">
        <f>VLOOKUP('Ped&amp;Bike (Intersections)'!C3,'Reference Tables (Ped Intersct)'!$B$82:$C$91,2,0)</f>
        <v>1.1000000000000001</v>
      </c>
      <c r="E13" s="205" t="s">
        <v>656</v>
      </c>
      <c r="F13" s="250">
        <f>IF('Ped&amp;Bike (Intersections)'!C7="20 or less",VLOOKUP('Ped&amp;Bike (Intersections)'!D7,'ReferenceTables (Bike Intersct)'!B62:C76,2,0),IF('Ped&amp;Bike (Intersections)'!D7="20 or less",VLOOKUP('Ped&amp;Bike (Intersections)'!C7,'ReferenceTables (Bike Intersct)'!B62:C76,2,0),VLOOKUP(MAX('Ped&amp;Bike (Intersections)'!C7,'Ped&amp;Bike (Intersections)'!D7),'ReferenceTables (Bike Intersct)'!B62:C76,2,0)))</f>
        <v>0.505</v>
      </c>
    </row>
    <row r="14" spans="2:11" ht="16.5" x14ac:dyDescent="0.45">
      <c r="B14" s="205" t="s">
        <v>655</v>
      </c>
      <c r="C14" s="250">
        <f>C4*C5*C7*C8*C9*C10*C11*C12*C13</f>
        <v>34.546875</v>
      </c>
      <c r="E14" s="205" t="s">
        <v>654</v>
      </c>
      <c r="F14" s="250">
        <f>0.000166*(MAX('Ped&amp;Bike (Intersections)'!E6,'Ped&amp;Bike (Intersections)'!F6)/VLOOKUP('Ped&amp;Bike (Intersections)'!E9,'Reference Tables (Ped Intersct)'!B64:C68,2,0))^0.65</f>
        <v>2.6839170772960327E-2</v>
      </c>
    </row>
    <row r="15" spans="2:11" ht="16.5" x14ac:dyDescent="0.45">
      <c r="B15" s="205" t="s">
        <v>653</v>
      </c>
      <c r="C15" s="250">
        <f>C6</f>
        <v>90</v>
      </c>
      <c r="E15" s="205" t="s">
        <v>652</v>
      </c>
      <c r="F15" s="250">
        <f>VLOOKUP('Ped&amp;Bike (Intersections)'!C23,'ReferenceTables (Bike Intersct)'!B93:C103,2,0)</f>
        <v>2E-3</v>
      </c>
    </row>
    <row r="16" spans="2:11" ht="16.5" x14ac:dyDescent="0.45">
      <c r="B16" s="205" t="s">
        <v>651</v>
      </c>
      <c r="C16" s="250">
        <f>VLOOKUP('Ped&amp;Bike (Intersections)'!C7,'Reference Tables (Ped Intersct)'!$B$3:$C$17,2,0)</f>
        <v>0.59</v>
      </c>
    </row>
    <row r="17" spans="2:6" ht="16.5" x14ac:dyDescent="0.45">
      <c r="B17" s="205" t="s">
        <v>650</v>
      </c>
      <c r="C17" s="250">
        <f>IF('Ped&amp;Bike (Intersections)'!C6/(VLOOKUP('Ped&amp;Bike (Intersections)'!C9,'Reference Tables (Ped Intersct)'!$B$64:$C$68,2,0)*20000)&gt;=1,1,'Ped&amp;Bike (Intersections)'!C6/(VLOOKUP('Ped&amp;Bike (Intersections)'!C9,'Reference Tables (Ped Intersct)'!$B$64:$C$68,2,0)*20000))</f>
        <v>0.125</v>
      </c>
      <c r="E17" s="205" t="s">
        <v>649</v>
      </c>
      <c r="F17" s="250">
        <f>F11*F12*F13*F14*F15</f>
        <v>8.7828502437435382E-2</v>
      </c>
    </row>
    <row r="18" spans="2:6" ht="16.5" x14ac:dyDescent="0.45">
      <c r="B18" s="205" t="s">
        <v>648</v>
      </c>
      <c r="C18" s="250">
        <f>VLOOKUP('Ped&amp;Bike (Intersections)'!C12,'Reference Tables (Ped Intersct)'!$B$102:$C$112,2,0)</f>
        <v>2E-3</v>
      </c>
    </row>
    <row r="19" spans="2:6" ht="16.5" x14ac:dyDescent="0.45">
      <c r="B19" s="205" t="s">
        <v>647</v>
      </c>
      <c r="C19" s="250">
        <f>C14*C15*C16*C17*C18</f>
        <v>0.458609765625</v>
      </c>
      <c r="E19" s="206" t="s">
        <v>571</v>
      </c>
    </row>
    <row r="20" spans="2:6" ht="16.5" x14ac:dyDescent="0.45">
      <c r="E20" s="205" t="s">
        <v>646</v>
      </c>
      <c r="F20" s="250">
        <f>AVERAGE(VLOOKUP('Ped&amp;Bike (Intersections)'!E24,'ReferenceTables (Bike Intersct)'!B4:C12,2,0),VLOOKUP('Ped&amp;Bike (Intersections)'!E25,'ReferenceTables (Bike Intersct)'!B4:C12,2,0))</f>
        <v>1.2</v>
      </c>
    </row>
    <row r="21" spans="2:6" ht="16.5" x14ac:dyDescent="0.45">
      <c r="B21" s="206" t="s">
        <v>645</v>
      </c>
      <c r="E21" s="205" t="s">
        <v>644</v>
      </c>
      <c r="F21" s="250">
        <f>VLOOKUP('Ped&amp;Bike (Intersections)'!E26,'ReferenceTables (Bike Intersct)'!B16:C22,2,0)</f>
        <v>1</v>
      </c>
    </row>
    <row r="22" spans="2:6" ht="16.5" x14ac:dyDescent="0.45">
      <c r="B22" s="205" t="s">
        <v>615</v>
      </c>
      <c r="C22" s="250">
        <f>VLOOKUP('Ped&amp;Bike (Intersections)'!D14,'Reference Tables (Ped Intersct)'!$B$20:$C$23,2,0)</f>
        <v>1</v>
      </c>
      <c r="E22" s="205" t="s">
        <v>643</v>
      </c>
      <c r="F22" s="250">
        <f>VLOOKUP('Ped&amp;Bike (Intersections)'!C3,'ReferenceTables (Bike Intersct)'!B26:C35,2,0)</f>
        <v>40</v>
      </c>
    </row>
    <row r="23" spans="2:6" ht="16.5" x14ac:dyDescent="0.45">
      <c r="B23" s="205" t="s">
        <v>614</v>
      </c>
      <c r="C23" s="250">
        <f>VLOOKUP('Ped&amp;Bike (Intersections)'!D16,'Reference Tables (Ped Intersct)'!$B$28:$F$37,HLOOKUP('Ped&amp;Bike (Intersections)'!D15,'Reference Tables (Ped Intersct)'!$C$27:$E$38,12,0),0)</f>
        <v>6.7</v>
      </c>
      <c r="E23" s="205" t="s">
        <v>642</v>
      </c>
      <c r="F23" s="250">
        <f>VLOOKUP('Ped&amp;Bike (Intersections)'!C3,'ReferenceTables (Bike Intersct)'!B26:D35,3,0)</f>
        <v>45</v>
      </c>
    </row>
    <row r="24" spans="2:6" ht="16.5" x14ac:dyDescent="0.45">
      <c r="B24" s="205" t="s">
        <v>613</v>
      </c>
      <c r="C24" s="250">
        <f>VLOOKUP('Ped&amp;Bike (Intersections)'!D16,'Reference Tables (Ped Intersct)'!$B$28:$F$37,5,0)</f>
        <v>90</v>
      </c>
      <c r="E24" s="205" t="s">
        <v>641</v>
      </c>
      <c r="F24" s="250">
        <f>VLOOKUP('Ped&amp;Bike (Intersections)'!E27,'ReferenceTables (Bike Intersct)'!B39:C41,2,0)</f>
        <v>1</v>
      </c>
    </row>
    <row r="25" spans="2:6" ht="16.5" x14ac:dyDescent="0.45">
      <c r="B25" s="205" t="s">
        <v>612</v>
      </c>
      <c r="C25" s="250">
        <f>VLOOKUP('Ped&amp;Bike (Intersections)'!D17,'Reference Tables (Ped Intersct)'!$B$41:$C$43,2,0)</f>
        <v>1</v>
      </c>
      <c r="E25" s="205" t="s">
        <v>640</v>
      </c>
      <c r="F25" s="250">
        <f>VLOOKUP('Ped&amp;Bike (Intersections)'!E28,'ReferenceTables (Bike Intersct)'!B45:C46,2,0)</f>
        <v>1.2</v>
      </c>
    </row>
    <row r="26" spans="2:6" ht="16.5" x14ac:dyDescent="0.45">
      <c r="B26" s="205" t="s">
        <v>611</v>
      </c>
      <c r="C26" s="250">
        <f>VLOOKUP('Ped&amp;Bike (Intersections)'!D18,'Reference Tables (Ped Intersct)'!$B$47:$C$49,2,0)</f>
        <v>1.25</v>
      </c>
      <c r="E26" s="205" t="s">
        <v>639</v>
      </c>
      <c r="F26" s="250">
        <f>VLOOKUP('Ped&amp;Bike (Intersections)'!E8,'ReferenceTables (Bike Intersct)'!B50:C51,2,0)</f>
        <v>1.25</v>
      </c>
    </row>
    <row r="27" spans="2:6" ht="16.5" x14ac:dyDescent="0.45">
      <c r="B27" s="205" t="s">
        <v>610</v>
      </c>
      <c r="C27" s="250">
        <f>VLOOKUP('Ped&amp;Bike (Intersections)'!D19,'Reference Tables (Ped Intersct)'!B53:C55,2,0)</f>
        <v>1</v>
      </c>
      <c r="E27" s="205" t="s">
        <v>638</v>
      </c>
      <c r="F27" s="250">
        <f>F20*F21*F22*F24*F25*F26</f>
        <v>72</v>
      </c>
    </row>
    <row r="28" spans="2:6" ht="16.5" x14ac:dyDescent="0.45">
      <c r="B28" s="205" t="s">
        <v>609</v>
      </c>
      <c r="C28" s="250">
        <f>VLOOKUP('Ped&amp;Bike (Intersections)'!D$8,'Reference Tables (Ped Intersct)'!$B$59:$C$60,2,0)</f>
        <v>1.25</v>
      </c>
      <c r="E28" s="205" t="s">
        <v>637</v>
      </c>
      <c r="F28" s="250">
        <f>F23</f>
        <v>45</v>
      </c>
    </row>
    <row r="29" spans="2:6" ht="16.5" x14ac:dyDescent="0.45">
      <c r="B29" s="205" t="s">
        <v>608</v>
      </c>
      <c r="C29" s="250">
        <f>VLOOKUP(VLOOKUP('Ped&amp;Bike (Intersections)'!D9,'Reference Tables (Ped Intersct)'!B64:C68,2,0)+'Ped&amp;Bike (Intersections)'!D20,'Reference Tables (Ped Intersct)'!C64:D68,2,0)</f>
        <v>1</v>
      </c>
      <c r="E29" s="205" t="s">
        <v>636</v>
      </c>
      <c r="F29" s="250">
        <f>IF('Ped&amp;Bike (Intersections)'!F7="20 or less",VLOOKUP('Ped&amp;Bike (Intersections)'!E7,'ReferenceTables (Bike Intersct)'!B62:C76,2,0),IF('Ped&amp;Bike (Intersections)'!E7="20 or less",VLOOKUP('Ped&amp;Bike (Intersections)'!F7,'ReferenceTables (Bike Intersct)'!B62:C76,2,0),VLOOKUP(MAX('Ped&amp;Bike (Intersections)'!E7,'Ped&amp;Bike (Intersections)'!F7),'ReferenceTables (Bike Intersct)'!B62:C76,2,0)))</f>
        <v>0.112</v>
      </c>
    </row>
    <row r="30" spans="2:6" ht="16.5" x14ac:dyDescent="0.45">
      <c r="B30" s="205" t="s">
        <v>607</v>
      </c>
      <c r="C30" s="250">
        <f>VLOOKUP('Ped&amp;Bike (Intersections)'!D13,'Reference Tables (Ped Intersct)'!$B$72:$C$78,2,0)</f>
        <v>3</v>
      </c>
      <c r="E30" s="205" t="s">
        <v>635</v>
      </c>
      <c r="F30" s="250">
        <f>0.000166*(MAX('Ped&amp;Bike (Intersections)'!C6,'Ped&amp;Bike (Intersections)'!D6)/VLOOKUP('Ped&amp;Bike (Intersections)'!C9,'Reference Tables (Ped Intersct)'!B64:C68,2,0))^0.65</f>
        <v>2.6839170772960327E-2</v>
      </c>
    </row>
    <row r="31" spans="2:6" ht="16.5" x14ac:dyDescent="0.45">
      <c r="B31" s="205" t="s">
        <v>606</v>
      </c>
      <c r="C31" s="250">
        <f>VLOOKUP('Ped&amp;Bike (Intersections)'!C$3,'Reference Tables (Ped Intersct)'!$B$82:$C$91,2,0)</f>
        <v>1.1000000000000001</v>
      </c>
      <c r="E31" s="205" t="s">
        <v>634</v>
      </c>
      <c r="F31" s="250">
        <f>VLOOKUP('Ped&amp;Bike (Intersections)'!E23,'ReferenceTables (Bike Intersct)'!B93:C103,2,0)</f>
        <v>2E-3</v>
      </c>
    </row>
    <row r="32" spans="2:6" ht="16.5" x14ac:dyDescent="0.45">
      <c r="B32" s="205" t="s">
        <v>633</v>
      </c>
      <c r="C32" s="250">
        <f>C22*C23*C25*C26*C27*C28*C29*C30*C31</f>
        <v>34.546875</v>
      </c>
    </row>
    <row r="33" spans="2:6" ht="16.5" x14ac:dyDescent="0.45">
      <c r="B33" s="205" t="s">
        <v>632</v>
      </c>
      <c r="C33" s="250">
        <f>C24</f>
        <v>90</v>
      </c>
      <c r="E33" s="205" t="s">
        <v>631</v>
      </c>
      <c r="F33" s="250">
        <f>F27*F28*F29*F30*F31</f>
        <v>1.9478796580183689E-2</v>
      </c>
    </row>
    <row r="34" spans="2:6" ht="16.5" x14ac:dyDescent="0.45">
      <c r="B34" s="205" t="s">
        <v>630</v>
      </c>
      <c r="C34" s="250">
        <f>VLOOKUP('Ped&amp;Bike (Intersections)'!D7,'Reference Tables (Ped Intersct)'!$B$3:$C$17,2,0)</f>
        <v>0.59</v>
      </c>
    </row>
    <row r="35" spans="2:6" ht="16.5" x14ac:dyDescent="0.45">
      <c r="B35" s="205" t="s">
        <v>629</v>
      </c>
      <c r="C35" s="250">
        <f>IF('Ped&amp;Bike (Intersections)'!D6/(VLOOKUP('Ped&amp;Bike (Intersections)'!D9,'Reference Tables (Ped Intersct)'!$B$64:$C$68,2,0)*20000)&gt;=1,1,'Ped&amp;Bike (Intersections)'!D6/(VLOOKUP('Ped&amp;Bike (Intersections)'!D9,'Reference Tables (Ped Intersct)'!$B$64:$C$68,2,0)*20000))</f>
        <v>0.125</v>
      </c>
      <c r="E35" s="204" t="s">
        <v>628</v>
      </c>
      <c r="F35" s="250">
        <f>F17+F33</f>
        <v>0.10730729901761907</v>
      </c>
    </row>
    <row r="36" spans="2:6" ht="16.5" x14ac:dyDescent="0.45">
      <c r="B36" s="205" t="s">
        <v>627</v>
      </c>
      <c r="C36" s="250">
        <f>VLOOKUP('Ped&amp;Bike (Intersections)'!D12,'Reference Tables (Ped Intersct)'!$B$102:$C$112,2,0)</f>
        <v>2E-3</v>
      </c>
      <c r="E36" s="205" t="s">
        <v>626</v>
      </c>
      <c r="F36" s="250">
        <f>VLOOKUP('Ped&amp;Bike (Intersections)'!C3,'ReferenceTables (Bike Intersct)'!B26:E35,4,0)</f>
        <v>3.5200000000000002E-2</v>
      </c>
    </row>
    <row r="37" spans="2:6" ht="16.5" x14ac:dyDescent="0.45">
      <c r="B37" s="205" t="s">
        <v>625</v>
      </c>
      <c r="C37" s="250">
        <f>C32*C33*C34*C35*C36</f>
        <v>0.458609765625</v>
      </c>
      <c r="E37" s="205" t="s">
        <v>624</v>
      </c>
      <c r="F37" s="269">
        <f>VLOOKUP('Ped&amp;Bike (Intersections)'!C3,I4:K13,3,0)</f>
        <v>1</v>
      </c>
    </row>
    <row r="39" spans="2:6" x14ac:dyDescent="0.35">
      <c r="B39" s="206" t="s">
        <v>623</v>
      </c>
    </row>
    <row r="40" spans="2:6" ht="16.5" x14ac:dyDescent="0.45">
      <c r="B40" s="205" t="s">
        <v>615</v>
      </c>
      <c r="C40" s="250">
        <f>VLOOKUP('Ped&amp;Bike (Intersections)'!E14,'Reference Tables (Ped Intersct)'!$B$20:$C$23,2,0)</f>
        <v>1</v>
      </c>
    </row>
    <row r="41" spans="2:6" ht="16.5" x14ac:dyDescent="0.45">
      <c r="B41" s="205" t="s">
        <v>614</v>
      </c>
      <c r="C41" s="250">
        <f>VLOOKUP('Ped&amp;Bike (Intersections)'!E16,'Reference Tables (Ped Intersct)'!$B$28:$F$37,HLOOKUP('Ped&amp;Bike (Intersections)'!E15,'Reference Tables (Ped Intersct)'!$C$27:$E$38,12,0),0)</f>
        <v>6.7</v>
      </c>
    </row>
    <row r="42" spans="2:6" ht="16.5" x14ac:dyDescent="0.45">
      <c r="B42" s="205" t="s">
        <v>613</v>
      </c>
      <c r="C42" s="250">
        <f>VLOOKUP('Ped&amp;Bike (Intersections)'!E16,'Reference Tables (Ped Intersct)'!$B$28:$F$37,5,0)</f>
        <v>90</v>
      </c>
    </row>
    <row r="43" spans="2:6" ht="16.5" x14ac:dyDescent="0.45">
      <c r="B43" s="205" t="s">
        <v>612</v>
      </c>
      <c r="C43" s="250">
        <f>VLOOKUP('Ped&amp;Bike (Intersections)'!E17,'Reference Tables (Ped Intersct)'!$B$41:$C$43,2,0)</f>
        <v>1</v>
      </c>
    </row>
    <row r="44" spans="2:6" ht="16.5" x14ac:dyDescent="0.45">
      <c r="B44" s="205" t="s">
        <v>611</v>
      </c>
      <c r="C44" s="250">
        <f>VLOOKUP('Ped&amp;Bike (Intersections)'!E18,'Reference Tables (Ped Intersct)'!$B$47:$C$49,2,0)</f>
        <v>1.25</v>
      </c>
    </row>
    <row r="45" spans="2:6" ht="16.5" x14ac:dyDescent="0.45">
      <c r="B45" s="205" t="s">
        <v>610</v>
      </c>
      <c r="C45" s="250">
        <f>VLOOKUP('Ped&amp;Bike (Intersections)'!E19,'Reference Tables (Ped Intersct)'!B53:C55,2,0)</f>
        <v>1</v>
      </c>
    </row>
    <row r="46" spans="2:6" ht="16.5" x14ac:dyDescent="0.45">
      <c r="B46" s="205" t="s">
        <v>609</v>
      </c>
      <c r="C46" s="250">
        <f>VLOOKUP('Ped&amp;Bike (Intersections)'!E$8,'Reference Tables (Ped Intersct)'!$B$59:$C$60,2,0)</f>
        <v>1.25</v>
      </c>
    </row>
    <row r="47" spans="2:6" ht="16.5" x14ac:dyDescent="0.45">
      <c r="B47" s="205" t="s">
        <v>608</v>
      </c>
      <c r="C47" s="250">
        <f>VLOOKUP(VLOOKUP('Ped&amp;Bike (Intersections)'!E9,'Reference Tables (Ped Intersct)'!B64:C68,2,0)+'Ped&amp;Bike (Intersections)'!E20,'Reference Tables (Ped Intersct)'!C64:D68,2,0)</f>
        <v>1</v>
      </c>
    </row>
    <row r="48" spans="2:6" ht="16.5" x14ac:dyDescent="0.45">
      <c r="B48" s="205" t="s">
        <v>607</v>
      </c>
      <c r="C48" s="250">
        <f>VLOOKUP('Ped&amp;Bike (Intersections)'!E13,'Reference Tables (Ped Intersct)'!$B$72:$C$78,2,0)</f>
        <v>3</v>
      </c>
    </row>
    <row r="49" spans="2:3" ht="16.5" x14ac:dyDescent="0.45">
      <c r="B49" s="205" t="s">
        <v>606</v>
      </c>
      <c r="C49" s="250">
        <f>VLOOKUP('Ped&amp;Bike (Intersections)'!C$3,'Reference Tables (Ped Intersct)'!$B$82:$C$91,2,0)</f>
        <v>1.1000000000000001</v>
      </c>
    </row>
    <row r="50" spans="2:3" ht="16.5" x14ac:dyDescent="0.45">
      <c r="B50" s="205" t="s">
        <v>622</v>
      </c>
      <c r="C50" s="250">
        <f>C40*C41*C43*C44*C45*C46*C47*C48*C49</f>
        <v>34.546875</v>
      </c>
    </row>
    <row r="51" spans="2:3" ht="16.5" x14ac:dyDescent="0.45">
      <c r="B51" s="205" t="s">
        <v>621</v>
      </c>
      <c r="C51" s="250">
        <f>C42</f>
        <v>90</v>
      </c>
    </row>
    <row r="52" spans="2:3" ht="16.5" x14ac:dyDescent="0.45">
      <c r="B52" s="205" t="s">
        <v>620</v>
      </c>
      <c r="C52" s="250">
        <f>VLOOKUP('Ped&amp;Bike (Intersections)'!E7,'Reference Tables (Ped Intersct)'!$B$3:$C$17,2,0)</f>
        <v>0.183</v>
      </c>
    </row>
    <row r="53" spans="2:3" ht="16.5" x14ac:dyDescent="0.45">
      <c r="B53" s="205" t="s">
        <v>619</v>
      </c>
      <c r="C53" s="250">
        <f>IF('Ped&amp;Bike (Intersections)'!E6/(VLOOKUP('Ped&amp;Bike (Intersections)'!E9,'Reference Tables (Ped Intersct)'!$B$64:$C$68,2,0)*20000)&gt;=1,1,'Ped&amp;Bike (Intersections)'!E6/(VLOOKUP('Ped&amp;Bike (Intersections)'!E9,'Reference Tables (Ped Intersct)'!$B$64:$C$68,2,0)*20000))</f>
        <v>0.125</v>
      </c>
    </row>
    <row r="54" spans="2:3" ht="16.5" x14ac:dyDescent="0.45">
      <c r="B54" s="205" t="s">
        <v>618</v>
      </c>
      <c r="C54" s="250">
        <f>VLOOKUP('Ped&amp;Bike (Intersections)'!E12,'Reference Tables (Ped Intersct)'!$B$102:$C$112,2,0)</f>
        <v>2E-3</v>
      </c>
    </row>
    <row r="55" spans="2:3" ht="16.5" x14ac:dyDescent="0.45">
      <c r="B55" s="205" t="s">
        <v>617</v>
      </c>
      <c r="C55" s="250">
        <f>C50*C51*C52*C53*C54</f>
        <v>0.14224675781249999</v>
      </c>
    </row>
    <row r="57" spans="2:3" x14ac:dyDescent="0.35">
      <c r="B57" s="206" t="s">
        <v>616</v>
      </c>
    </row>
    <row r="58" spans="2:3" ht="16.5" x14ac:dyDescent="0.45">
      <c r="B58" s="205" t="s">
        <v>615</v>
      </c>
      <c r="C58" s="250">
        <f>VLOOKUP('Ped&amp;Bike (Intersections)'!F14,'Reference Tables (Ped Intersct)'!$B$20:$C$23,2,0)</f>
        <v>1</v>
      </c>
    </row>
    <row r="59" spans="2:3" ht="16.5" x14ac:dyDescent="0.45">
      <c r="B59" s="205" t="s">
        <v>614</v>
      </c>
      <c r="C59" s="250">
        <f>VLOOKUP('Ped&amp;Bike (Intersections)'!F16,'Reference Tables (Ped Intersct)'!$B$28:$F$37,HLOOKUP('Ped&amp;Bike (Intersections)'!F15,'Reference Tables (Ped Intersct)'!$C$27:$E$38,12,0),0)</f>
        <v>6.7</v>
      </c>
    </row>
    <row r="60" spans="2:3" ht="16.5" x14ac:dyDescent="0.45">
      <c r="B60" s="205" t="s">
        <v>613</v>
      </c>
      <c r="C60" s="250">
        <f>VLOOKUP('Ped&amp;Bike (Intersections)'!F16,'Reference Tables (Ped Intersct)'!$B$28:$F$37,5,0)</f>
        <v>90</v>
      </c>
    </row>
    <row r="61" spans="2:3" ht="16.5" x14ac:dyDescent="0.45">
      <c r="B61" s="205" t="s">
        <v>612</v>
      </c>
      <c r="C61" s="250">
        <f>VLOOKUP('Ped&amp;Bike (Intersections)'!F17,'Reference Tables (Ped Intersct)'!$B$41:$C$43,2,0)</f>
        <v>1</v>
      </c>
    </row>
    <row r="62" spans="2:3" ht="16.5" x14ac:dyDescent="0.45">
      <c r="B62" s="205" t="s">
        <v>611</v>
      </c>
      <c r="C62" s="250">
        <f>VLOOKUP('Ped&amp;Bike (Intersections)'!F18,'Reference Tables (Ped Intersct)'!$B$47:$C$49,2,0)</f>
        <v>1.25</v>
      </c>
    </row>
    <row r="63" spans="2:3" ht="16.5" x14ac:dyDescent="0.45">
      <c r="B63" s="205" t="s">
        <v>610</v>
      </c>
      <c r="C63" s="250">
        <f>VLOOKUP('Ped&amp;Bike (Intersections)'!F19,'Reference Tables (Ped Intersct)'!B53:C55,2,0)</f>
        <v>1</v>
      </c>
    </row>
    <row r="64" spans="2:3" ht="16.5" x14ac:dyDescent="0.45">
      <c r="B64" s="205" t="s">
        <v>609</v>
      </c>
      <c r="C64" s="250">
        <f>VLOOKUP('Ped&amp;Bike (Intersections)'!F8,'Reference Tables (Ped Intersct)'!$B$59:$C$60,2,0)</f>
        <v>1.25</v>
      </c>
    </row>
    <row r="65" spans="2:6" ht="16.5" x14ac:dyDescent="0.45">
      <c r="B65" s="205" t="s">
        <v>608</v>
      </c>
      <c r="C65" s="250">
        <f>VLOOKUP(VLOOKUP('Ped&amp;Bike (Intersections)'!F9,'Reference Tables (Ped Intersct)'!B64:C68,2,0)+'Ped&amp;Bike (Intersections)'!F20,'Reference Tables (Ped Intersct)'!C64:D68,2,0)</f>
        <v>1</v>
      </c>
    </row>
    <row r="66" spans="2:6" ht="16.5" x14ac:dyDescent="0.45">
      <c r="B66" s="205" t="s">
        <v>607</v>
      </c>
      <c r="C66" s="250">
        <f>VLOOKUP('Ped&amp;Bike (Intersections)'!F13,'Reference Tables (Ped Intersct)'!$B$72:$C$78,2,0)</f>
        <v>3</v>
      </c>
    </row>
    <row r="67" spans="2:6" ht="16.5" x14ac:dyDescent="0.45">
      <c r="B67" s="205" t="s">
        <v>606</v>
      </c>
      <c r="C67" s="250">
        <f>VLOOKUP('Ped&amp;Bike (Intersections)'!C$3,'Reference Tables (Ped Intersct)'!$B$82:$C$91,2,0)</f>
        <v>1.1000000000000001</v>
      </c>
    </row>
    <row r="68" spans="2:6" ht="16.5" x14ac:dyDescent="0.45">
      <c r="B68" s="205" t="s">
        <v>605</v>
      </c>
      <c r="C68" s="250">
        <f>C58*C59*C61*C62*C63*C64*C65*C66*C67</f>
        <v>34.546875</v>
      </c>
    </row>
    <row r="69" spans="2:6" ht="16.5" x14ac:dyDescent="0.45">
      <c r="B69" s="205" t="s">
        <v>604</v>
      </c>
      <c r="C69" s="250">
        <f>C60</f>
        <v>90</v>
      </c>
    </row>
    <row r="70" spans="2:6" ht="16.5" x14ac:dyDescent="0.45">
      <c r="B70" s="205" t="s">
        <v>603</v>
      </c>
      <c r="C70" s="250">
        <f>VLOOKUP('Ped&amp;Bike (Intersections)'!F7,'Reference Tables (Ped Intersct)'!$B$3:$C$17,2,0)</f>
        <v>0.183</v>
      </c>
    </row>
    <row r="71" spans="2:6" ht="16.5" x14ac:dyDescent="0.45">
      <c r="B71" s="205" t="s">
        <v>602</v>
      </c>
      <c r="C71" s="250">
        <f>IF('Ped&amp;Bike (Intersections)'!F6/(VLOOKUP('Ped&amp;Bike (Intersections)'!F9,'Reference Tables (Ped Intersct)'!$B$64:$C$681,2,0)*20000)&gt;=1,1,'Ped&amp;Bike (Intersections)'!F6/(VLOOKUP('Ped&amp;Bike (Intersections)'!F9,'Reference Tables (Ped Intersct)'!$B$64:$C$68,2,0)*20000))</f>
        <v>0.125</v>
      </c>
    </row>
    <row r="72" spans="2:6" ht="16.5" x14ac:dyDescent="0.45">
      <c r="B72" s="205" t="s">
        <v>601</v>
      </c>
      <c r="C72" s="250">
        <f>VLOOKUP('Ped&amp;Bike (Intersections)'!F12,'Reference Tables (Ped Intersct)'!$B$102:$C$112,2,0)</f>
        <v>2E-3</v>
      </c>
    </row>
    <row r="73" spans="2:6" ht="16.5" x14ac:dyDescent="0.45">
      <c r="B73" s="205" t="s">
        <v>600</v>
      </c>
      <c r="C73" s="250">
        <f>C68*C69*C70*C71*C72</f>
        <v>0.14224675781249999</v>
      </c>
    </row>
    <row r="75" spans="2:6" x14ac:dyDescent="0.35">
      <c r="B75" s="205" t="s">
        <v>599</v>
      </c>
      <c r="C75" s="267">
        <f>IF(ISNUMBER(SEARCH("3-leg",'Ped&amp;Bike (Intersections)'!C3)),(C19+C37+C55),(C19+C37+C55+C73))</f>
        <v>1.0594662890625</v>
      </c>
    </row>
    <row r="76" spans="2:6" ht="16.5" x14ac:dyDescent="0.45">
      <c r="B76" s="225" t="s">
        <v>598</v>
      </c>
      <c r="C76" s="268">
        <f>VLOOKUP('Ped&amp;Bike (Intersections)'!C3,'Reference Tables (Ped Intersct)'!B82:D91,3,0)</f>
        <v>1.67E-3</v>
      </c>
    </row>
    <row r="77" spans="2:6" ht="16.5" x14ac:dyDescent="0.45">
      <c r="B77" s="205" t="s">
        <v>597</v>
      </c>
      <c r="C77" s="269">
        <f>VLOOKUP('Ped&amp;Bike (Intersections)'!C3,'Ped&amp;Bike (Intersection Results)'!I4:J13,2,0)</f>
        <v>1</v>
      </c>
    </row>
    <row r="79" spans="2:6" x14ac:dyDescent="0.35">
      <c r="B79" s="253" t="s">
        <v>502</v>
      </c>
      <c r="C79" s="253" t="s">
        <v>503</v>
      </c>
      <c r="E79" s="253" t="s">
        <v>502</v>
      </c>
      <c r="F79" s="253" t="s">
        <v>501</v>
      </c>
    </row>
    <row r="80" spans="2:6" ht="16.5" x14ac:dyDescent="0.45">
      <c r="B80" s="207" t="s">
        <v>596</v>
      </c>
      <c r="C80" s="224">
        <f>C75*C76*C77</f>
        <v>1.7693087027343751E-3</v>
      </c>
      <c r="E80" s="206" t="s">
        <v>595</v>
      </c>
      <c r="F80" s="223">
        <f>F35*F36*F37</f>
        <v>3.7772169254201913E-3</v>
      </c>
    </row>
    <row r="81" spans="2:6" ht="16.5" x14ac:dyDescent="0.45">
      <c r="B81" s="206" t="s">
        <v>594</v>
      </c>
      <c r="C81" s="210">
        <f>IF(ISNUMBER(SEARCH("3-leg",'Ped&amp;Bike (Intersections)'!C3)),C80*'Reference Tables (Ped Intersct)'!C95,C80*'Reference Tables (Ped Intersct)'!D95)</f>
        <v>2.2116358784179688E-4</v>
      </c>
      <c r="E81" s="206" t="s">
        <v>593</v>
      </c>
      <c r="F81" s="210">
        <f>IF(ISNUMBER(SEARCH("3-leg",'Ped&amp;Bike (Intersections)'!C3)),$F$80*'ReferenceTables (Bike Intersct)'!C55,$F$80*'ReferenceTables (Bike Intersct)'!D55)</f>
        <v>2.9084570325735472E-4</v>
      </c>
    </row>
    <row r="82" spans="2:6" ht="16.5" x14ac:dyDescent="0.45">
      <c r="B82" s="206" t="s">
        <v>592</v>
      </c>
      <c r="C82" s="210">
        <f>IF(ISNUMBER(SEARCH("3-leg",'Ped&amp;Bike (Intersections)'!C3)),C80*'Reference Tables (Ped Intersct)'!C96,C80*'Reference Tables (Ped Intersct)'!D96)</f>
        <v>6.6349076352539068E-4</v>
      </c>
      <c r="E82" s="206" t="s">
        <v>591</v>
      </c>
      <c r="F82" s="210">
        <f>IF(ISNUMBER(SEARCH("3-leg",'Ped&amp;Bike (Intersections)'!C3)),$F$80*'ReferenceTables (Bike Intersct)'!C56,$F$80*'ReferenceTables (Bike Intersct)'!D56)</f>
        <v>2.9084570325735472E-4</v>
      </c>
    </row>
    <row r="83" spans="2:6" ht="16.5" x14ac:dyDescent="0.45">
      <c r="B83" s="206" t="s">
        <v>590</v>
      </c>
      <c r="C83" s="210">
        <f>IF(ISNUMBER(SEARCH("3-leg",'Ped&amp;Bike (Intersections)'!C3)),C80*'Reference Tables (Ped Intersct)'!C97,C80*'Reference Tables (Ped Intersct)'!D97)</f>
        <v>4.4232717568359377E-4</v>
      </c>
      <c r="E83" s="206" t="s">
        <v>589</v>
      </c>
      <c r="F83" s="210">
        <f>IF(ISNUMBER(SEARCH("3-leg",'Ped&amp;Bike (Intersections)'!C3)),$F$80*'ReferenceTables (Bike Intersct)'!C57,$F$80*'ReferenceTables (Bike Intersct)'!D57)</f>
        <v>2.904679815648127E-3</v>
      </c>
    </row>
    <row r="84" spans="2:6" ht="16.5" x14ac:dyDescent="0.45">
      <c r="B84" s="206" t="s">
        <v>588</v>
      </c>
      <c r="C84" s="210">
        <f>IF(ISNUMBER(SEARCH("3-leg",'Ped&amp;Bike (Intersections)'!C3)),C80*'Reference Tables (Ped Intersct)'!C98,C80*'Reference Tables (Ped Intersct)'!D98)</f>
        <v>4.4232717568359377E-4</v>
      </c>
      <c r="E84" s="206" t="s">
        <v>587</v>
      </c>
      <c r="F84" s="210">
        <f>IF(ISNUMBER(SEARCH("3-leg",'Ped&amp;Bike (Intersections)'!C3)),$F$80*'ReferenceTables (Bike Intersct)'!C58,$F$80*'ReferenceTables (Bike Intersct)'!D58)</f>
        <v>2.9084570325735472E-4</v>
      </c>
    </row>
    <row r="87" spans="2:6" x14ac:dyDescent="0.35">
      <c r="B87" s="253" t="s">
        <v>499</v>
      </c>
      <c r="C87" s="253" t="s">
        <v>500</v>
      </c>
      <c r="E87" s="253" t="s">
        <v>499</v>
      </c>
      <c r="F87" s="253" t="s">
        <v>498</v>
      </c>
    </row>
    <row r="88" spans="2:6" ht="16.5" x14ac:dyDescent="0.45">
      <c r="B88" s="207" t="s">
        <v>596</v>
      </c>
      <c r="C88" s="222">
        <f>1.21*C80</f>
        <v>2.1408635303085937E-3</v>
      </c>
      <c r="E88" s="206" t="s">
        <v>595</v>
      </c>
      <c r="F88" s="222">
        <f>1.01*F80</f>
        <v>3.8149890946743933E-3</v>
      </c>
    </row>
    <row r="89" spans="2:6" ht="16.5" x14ac:dyDescent="0.45">
      <c r="B89" s="206" t="s">
        <v>594</v>
      </c>
      <c r="C89" s="222">
        <f>1.21*C81</f>
        <v>2.6760794128857421E-4</v>
      </c>
      <c r="E89" s="206" t="s">
        <v>593</v>
      </c>
      <c r="F89" s="222">
        <f>1.01*F81</f>
        <v>2.9375416028992827E-4</v>
      </c>
    </row>
    <row r="90" spans="2:6" ht="16.5" x14ac:dyDescent="0.45">
      <c r="B90" s="206" t="s">
        <v>592</v>
      </c>
      <c r="C90" s="222">
        <f>1.21*C82</f>
        <v>8.0282382386572275E-4</v>
      </c>
      <c r="E90" s="206" t="s">
        <v>591</v>
      </c>
      <c r="F90" s="222">
        <f>1.01*F82</f>
        <v>2.9375416028992827E-4</v>
      </c>
    </row>
    <row r="91" spans="2:6" ht="16.5" x14ac:dyDescent="0.45">
      <c r="B91" s="206" t="s">
        <v>590</v>
      </c>
      <c r="C91" s="222">
        <f>1.21*C83</f>
        <v>5.3521588257714843E-4</v>
      </c>
      <c r="E91" s="206" t="s">
        <v>589</v>
      </c>
      <c r="F91" s="222">
        <f>1.01*F83</f>
        <v>2.9337266138046085E-3</v>
      </c>
    </row>
    <row r="92" spans="2:6" ht="16.5" x14ac:dyDescent="0.45">
      <c r="B92" s="206" t="s">
        <v>588</v>
      </c>
      <c r="C92" s="210">
        <f>1.21*C84</f>
        <v>5.3521588257714843E-4</v>
      </c>
      <c r="E92" s="206" t="s">
        <v>587</v>
      </c>
      <c r="F92" s="222">
        <f>1.01*F84</f>
        <v>2.9375416028992827E-4</v>
      </c>
    </row>
    <row r="93" spans="2:6" x14ac:dyDescent="0.35">
      <c r="C93" s="212"/>
    </row>
  </sheetData>
  <mergeCells count="1">
    <mergeCell ref="H2:K2"/>
  </mergeCells>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BA82"/>
  <sheetViews>
    <sheetView topLeftCell="A2" zoomScale="90" zoomScaleNormal="90" workbookViewId="0">
      <selection activeCell="N23" sqref="N23"/>
    </sheetView>
  </sheetViews>
  <sheetFormatPr defaultColWidth="9.1796875" defaultRowHeight="12.5" x14ac:dyDescent="0.25"/>
  <cols>
    <col min="1" max="3" width="13.7265625" customWidth="1"/>
    <col min="4" max="4" width="16.1796875" customWidth="1"/>
    <col min="5" max="5" width="15" customWidth="1"/>
    <col min="6" max="6" width="15.453125" customWidth="1"/>
    <col min="7" max="7" width="15.7265625" customWidth="1"/>
    <col min="8" max="8" width="15.26953125" customWidth="1"/>
    <col min="9" max="9" width="13.7265625" customWidth="1"/>
    <col min="10" max="10" width="15.81640625" customWidth="1"/>
    <col min="11" max="11" width="20.7265625" customWidth="1"/>
    <col min="12" max="12" width="20.1796875" customWidth="1"/>
    <col min="13" max="13" width="21" customWidth="1"/>
    <col min="14" max="17" width="13.7265625" customWidth="1"/>
    <col min="18" max="27" width="12.7265625" customWidth="1"/>
    <col min="34" max="34" width="11" customWidth="1"/>
    <col min="35" max="35" width="12.453125" customWidth="1"/>
    <col min="36" max="36" width="10.453125" customWidth="1"/>
    <col min="37" max="37" width="10.7265625" customWidth="1"/>
    <col min="38" max="38" width="12.453125" customWidth="1"/>
    <col min="39" max="39" width="10.453125" customWidth="1"/>
    <col min="40" max="40" width="11.7265625" customWidth="1"/>
    <col min="41" max="41" width="10.453125" customWidth="1"/>
    <col min="44" max="44" width="10.1796875" customWidth="1"/>
  </cols>
  <sheetData>
    <row r="1" spans="1:53" ht="63" customHeight="1" x14ac:dyDescent="0.25">
      <c r="L1" s="46"/>
      <c r="O1" s="1"/>
      <c r="U1" s="96"/>
    </row>
    <row r="2" spans="1:53" x14ac:dyDescent="0.25">
      <c r="L2" s="46"/>
      <c r="O2" s="1"/>
      <c r="U2" s="96"/>
    </row>
    <row r="3" spans="1:53" ht="13.5" customHeight="1" x14ac:dyDescent="0.3">
      <c r="A3" s="94"/>
      <c r="B3" s="697" t="s">
        <v>267</v>
      </c>
      <c r="C3" s="697"/>
      <c r="D3" s="697"/>
      <c r="E3" s="697"/>
      <c r="F3" s="697"/>
      <c r="G3" s="697"/>
      <c r="H3" s="697"/>
      <c r="I3" s="697"/>
      <c r="J3" s="697"/>
      <c r="K3" s="697"/>
      <c r="L3" s="697"/>
      <c r="M3" s="697"/>
      <c r="N3" s="68"/>
      <c r="O3" s="68"/>
      <c r="P3" s="68"/>
      <c r="Q3" s="68"/>
      <c r="R3" s="68"/>
      <c r="S3" s="68"/>
      <c r="T3" s="68"/>
      <c r="U3" s="97"/>
      <c r="V3" s="97"/>
      <c r="W3" s="9"/>
      <c r="X3" s="9"/>
      <c r="Y3" s="9"/>
      <c r="AH3" s="9"/>
      <c r="AR3" s="9"/>
      <c r="AS3" s="9"/>
      <c r="AT3" s="9"/>
      <c r="AU3" s="9"/>
      <c r="AV3" s="9"/>
      <c r="AW3" s="9"/>
      <c r="AX3" s="9"/>
      <c r="AY3" s="9"/>
      <c r="AZ3" s="9"/>
      <c r="BA3" s="9"/>
    </row>
    <row r="4" spans="1:53" ht="13" x14ac:dyDescent="0.3">
      <c r="A4" s="9"/>
      <c r="B4" s="697"/>
      <c r="C4" s="697"/>
      <c r="D4" s="697"/>
      <c r="E4" s="697"/>
      <c r="F4" s="697"/>
      <c r="G4" s="697"/>
      <c r="H4" s="697"/>
      <c r="I4" s="697"/>
      <c r="J4" s="697"/>
      <c r="K4" s="697"/>
      <c r="L4" s="697"/>
      <c r="M4" s="697"/>
      <c r="N4" s="68"/>
      <c r="O4" s="68"/>
      <c r="P4" s="68"/>
      <c r="Q4" s="68"/>
      <c r="R4" s="68"/>
      <c r="S4" s="68"/>
      <c r="T4" s="68"/>
      <c r="U4" s="97"/>
      <c r="V4" s="97"/>
      <c r="W4" s="1"/>
      <c r="X4" s="1"/>
      <c r="Y4" s="1"/>
      <c r="AR4" s="9"/>
      <c r="AS4" s="9"/>
      <c r="AT4" s="9"/>
      <c r="AU4" s="9"/>
      <c r="AV4" s="9"/>
      <c r="AW4" s="9"/>
      <c r="AX4" s="9"/>
      <c r="AY4" s="9"/>
      <c r="AZ4" s="9"/>
      <c r="BA4" s="9"/>
    </row>
    <row r="5" spans="1:53" ht="13" x14ac:dyDescent="0.3">
      <c r="B5" s="646" t="s">
        <v>32</v>
      </c>
      <c r="C5" s="647"/>
      <c r="D5" s="275" t="s">
        <v>33</v>
      </c>
      <c r="E5" s="275" t="s">
        <v>34</v>
      </c>
      <c r="F5" s="275" t="s">
        <v>35</v>
      </c>
      <c r="G5" s="275" t="s">
        <v>36</v>
      </c>
      <c r="H5" s="275" t="s">
        <v>37</v>
      </c>
      <c r="I5" s="275" t="s">
        <v>38</v>
      </c>
      <c r="J5" s="276" t="s">
        <v>39</v>
      </c>
      <c r="K5" s="284" t="s">
        <v>40</v>
      </c>
      <c r="L5" s="285" t="s">
        <v>41</v>
      </c>
      <c r="M5" s="285" t="s">
        <v>42</v>
      </c>
      <c r="N5" s="67"/>
      <c r="O5" s="92"/>
      <c r="P5" s="92"/>
      <c r="Q5" s="92"/>
      <c r="R5" s="92"/>
      <c r="S5" s="92"/>
      <c r="T5" s="92"/>
      <c r="W5" s="92"/>
      <c r="X5" s="92"/>
      <c r="Y5" s="92"/>
      <c r="AH5" s="9"/>
      <c r="AI5" s="9"/>
      <c r="AJ5" s="9"/>
      <c r="AK5" s="1"/>
      <c r="AL5" s="9"/>
      <c r="AM5" s="1"/>
      <c r="AN5" s="1"/>
      <c r="AO5" s="1"/>
      <c r="AR5" s="9"/>
      <c r="AS5" s="9"/>
      <c r="AT5" s="9"/>
      <c r="AU5" s="9"/>
      <c r="AV5" s="9"/>
      <c r="AW5" s="9"/>
      <c r="AX5" s="9"/>
      <c r="AY5" s="9"/>
      <c r="AZ5" s="9"/>
      <c r="BA5" s="9"/>
    </row>
    <row r="6" spans="1:53" ht="12.75" customHeight="1" x14ac:dyDescent="0.3">
      <c r="B6" s="648" t="s">
        <v>268</v>
      </c>
      <c r="C6" s="649"/>
      <c r="D6" s="652" t="s">
        <v>860</v>
      </c>
      <c r="E6" s="653"/>
      <c r="F6" s="653"/>
      <c r="G6" s="591" t="s">
        <v>859</v>
      </c>
      <c r="H6" s="591" t="s">
        <v>81</v>
      </c>
      <c r="I6" s="591" t="s">
        <v>270</v>
      </c>
      <c r="J6" s="358" t="s">
        <v>861</v>
      </c>
      <c r="K6" s="591" t="s">
        <v>916</v>
      </c>
      <c r="L6" s="591" t="s">
        <v>915</v>
      </c>
      <c r="M6" s="591" t="s">
        <v>894</v>
      </c>
      <c r="N6" s="97"/>
      <c r="O6" s="92"/>
      <c r="P6" s="92"/>
      <c r="Q6" s="92"/>
      <c r="S6" s="9"/>
      <c r="W6" s="9"/>
      <c r="X6" s="9"/>
      <c r="Y6" s="9"/>
      <c r="AH6" s="9"/>
      <c r="AI6" s="9"/>
      <c r="AJ6" s="1"/>
      <c r="AK6" s="1"/>
      <c r="AL6" s="1"/>
      <c r="AM6" s="1"/>
      <c r="AN6" s="1"/>
      <c r="AO6" s="1"/>
      <c r="AR6" s="9"/>
      <c r="AS6" s="9"/>
      <c r="AT6" s="9"/>
      <c r="AU6" s="9"/>
      <c r="AV6" s="9"/>
      <c r="AW6" s="9"/>
      <c r="AX6" s="9"/>
      <c r="AY6" s="9"/>
      <c r="AZ6" s="9"/>
      <c r="BA6" s="9"/>
    </row>
    <row r="7" spans="1:53" ht="13" x14ac:dyDescent="0.3">
      <c r="B7" s="592"/>
      <c r="C7" s="593"/>
      <c r="D7" s="653"/>
      <c r="E7" s="653"/>
      <c r="F7" s="653"/>
      <c r="G7" s="591"/>
      <c r="H7" s="655"/>
      <c r="I7" s="591"/>
      <c r="J7" s="358"/>
      <c r="K7" s="591"/>
      <c r="L7" s="591"/>
      <c r="M7" s="591"/>
      <c r="N7" s="1"/>
      <c r="O7" s="99"/>
      <c r="P7" s="99"/>
      <c r="Q7" s="99"/>
      <c r="R7" s="99"/>
      <c r="S7" s="99"/>
      <c r="T7" s="99"/>
      <c r="U7" s="99"/>
      <c r="V7" s="99"/>
      <c r="W7" s="1"/>
      <c r="X7" s="9"/>
      <c r="Y7" s="1"/>
      <c r="AH7" s="1"/>
      <c r="AI7" s="1"/>
      <c r="AJ7" s="1"/>
      <c r="AK7" s="1"/>
      <c r="AL7" s="100"/>
      <c r="AM7" s="100"/>
      <c r="AN7" s="100"/>
      <c r="AO7" s="100"/>
      <c r="AR7" s="46"/>
      <c r="AS7" s="53"/>
      <c r="AT7" s="53"/>
      <c r="AU7" s="53"/>
      <c r="AV7" s="53"/>
      <c r="AW7" s="53"/>
      <c r="AX7" s="53"/>
      <c r="AY7" s="53"/>
      <c r="AZ7" s="53"/>
      <c r="BA7" s="53"/>
    </row>
    <row r="8" spans="1:53" ht="54" customHeight="1" x14ac:dyDescent="0.25">
      <c r="B8" s="592"/>
      <c r="C8" s="593"/>
      <c r="D8" s="654"/>
      <c r="E8" s="654"/>
      <c r="F8" s="654"/>
      <c r="G8" s="591"/>
      <c r="H8" s="655"/>
      <c r="I8" s="593"/>
      <c r="J8" s="703"/>
      <c r="K8" s="591"/>
      <c r="L8" s="591"/>
      <c r="M8" s="593"/>
      <c r="O8" s="60"/>
      <c r="P8" s="60"/>
      <c r="Q8" s="60"/>
      <c r="R8" s="60"/>
      <c r="S8" s="60"/>
      <c r="T8" s="60"/>
      <c r="U8" s="60"/>
      <c r="V8" s="60"/>
      <c r="W8" s="1"/>
      <c r="X8" s="1"/>
      <c r="Y8" s="1"/>
      <c r="AH8" s="1"/>
      <c r="AI8" s="1"/>
      <c r="AJ8" s="1"/>
      <c r="AK8" s="1"/>
      <c r="AL8" s="102"/>
      <c r="AM8" s="102"/>
      <c r="AN8" s="102"/>
      <c r="AO8" s="102"/>
      <c r="AR8" s="46"/>
      <c r="AS8" s="53"/>
      <c r="AT8" s="53"/>
      <c r="AU8" s="53"/>
      <c r="AV8" s="53"/>
      <c r="AW8" s="53"/>
      <c r="AX8" s="53"/>
      <c r="AY8" s="53"/>
      <c r="AZ8" s="53"/>
      <c r="BA8" s="53"/>
    </row>
    <row r="9" spans="1:53" ht="13" x14ac:dyDescent="0.3">
      <c r="A9" s="9"/>
      <c r="B9" s="592"/>
      <c r="C9" s="593"/>
      <c r="D9" s="657" t="s">
        <v>896</v>
      </c>
      <c r="E9" s="657" t="s">
        <v>897</v>
      </c>
      <c r="F9" s="657" t="s">
        <v>898</v>
      </c>
      <c r="G9" s="591"/>
      <c r="H9" s="655"/>
      <c r="I9" s="657" t="s">
        <v>273</v>
      </c>
      <c r="J9" s="658" t="s">
        <v>274</v>
      </c>
      <c r="K9" s="594"/>
      <c r="L9" s="512"/>
      <c r="M9" s="512"/>
      <c r="N9" s="89"/>
      <c r="O9" s="90"/>
      <c r="P9" s="90"/>
      <c r="Q9" s="90"/>
      <c r="R9" s="59"/>
      <c r="S9" s="59"/>
      <c r="T9" s="59"/>
      <c r="U9" s="59"/>
      <c r="V9" s="59"/>
      <c r="AH9" s="50"/>
      <c r="AI9" s="1"/>
      <c r="AJ9" s="103"/>
      <c r="AK9" s="1"/>
      <c r="AL9" s="104"/>
      <c r="AM9" s="104"/>
      <c r="AN9" s="105"/>
      <c r="AO9" s="105"/>
      <c r="AR9" s="46"/>
      <c r="AS9" s="53"/>
      <c r="AT9" s="53"/>
      <c r="AU9" s="53"/>
      <c r="AV9" s="53"/>
      <c r="AW9" s="53"/>
      <c r="AX9" s="53"/>
      <c r="AY9" s="53"/>
      <c r="AZ9" s="53"/>
      <c r="BA9" s="53"/>
    </row>
    <row r="10" spans="1:53" ht="13" x14ac:dyDescent="0.3">
      <c r="A10" s="9"/>
      <c r="B10" s="592"/>
      <c r="C10" s="593"/>
      <c r="D10" s="655"/>
      <c r="E10" s="655"/>
      <c r="F10" s="655"/>
      <c r="G10" s="593"/>
      <c r="H10" s="593"/>
      <c r="I10" s="657"/>
      <c r="J10" s="658"/>
      <c r="K10" s="594"/>
      <c r="L10" s="512"/>
      <c r="M10" s="512"/>
      <c r="N10" s="89"/>
      <c r="O10" s="90"/>
      <c r="P10" s="90"/>
      <c r="Q10" s="90"/>
      <c r="R10" s="59"/>
      <c r="S10" s="59"/>
      <c r="T10" s="59"/>
      <c r="U10" s="59"/>
      <c r="V10" s="59"/>
      <c r="AH10" s="50"/>
      <c r="AI10" s="1"/>
      <c r="AJ10" s="103"/>
      <c r="AK10" s="1"/>
      <c r="AL10" s="104"/>
      <c r="AM10" s="104"/>
      <c r="AN10" s="105"/>
      <c r="AO10" s="105"/>
      <c r="AR10" s="46"/>
      <c r="AS10" s="53"/>
      <c r="AT10" s="53"/>
      <c r="AU10" s="53"/>
      <c r="AV10" s="53"/>
      <c r="AW10" s="53"/>
      <c r="AX10" s="53"/>
      <c r="AY10" s="53"/>
      <c r="AZ10" s="53"/>
      <c r="BA10" s="53"/>
    </row>
    <row r="11" spans="1:53" ht="18.649999999999999" customHeight="1" thickBot="1" x14ac:dyDescent="0.3">
      <c r="A11" s="46"/>
      <c r="B11" s="650"/>
      <c r="C11" s="651"/>
      <c r="D11" s="651"/>
      <c r="E11" s="651"/>
      <c r="F11" s="651"/>
      <c r="G11" s="651"/>
      <c r="H11" s="651"/>
      <c r="I11" s="651"/>
      <c r="J11" s="659"/>
      <c r="K11" s="660"/>
      <c r="L11" s="661"/>
      <c r="M11" s="661"/>
      <c r="N11" s="89"/>
      <c r="O11" s="59"/>
      <c r="P11" s="59"/>
      <c r="Q11" s="59"/>
      <c r="R11" s="59"/>
      <c r="S11" s="59"/>
      <c r="T11" s="59"/>
      <c r="U11" s="59"/>
      <c r="V11" s="59"/>
      <c r="W11" s="8"/>
      <c r="X11" s="8"/>
      <c r="Y11" s="8"/>
      <c r="AH11" s="1"/>
      <c r="AI11" s="1"/>
      <c r="AJ11" s="1"/>
      <c r="AK11" s="1"/>
      <c r="AL11" s="104"/>
      <c r="AM11" s="104"/>
      <c r="AN11" s="104"/>
      <c r="AO11" s="104"/>
      <c r="AR11" s="46"/>
      <c r="AS11" s="53"/>
      <c r="AT11" s="53"/>
      <c r="AU11" s="53"/>
      <c r="AV11" s="53"/>
      <c r="AW11" s="53"/>
      <c r="AX11" s="53"/>
      <c r="AY11" s="53"/>
      <c r="AZ11" s="53"/>
      <c r="BA11" s="53"/>
    </row>
    <row r="12" spans="1:53" ht="13" x14ac:dyDescent="0.3">
      <c r="A12" s="46"/>
      <c r="B12" s="690" t="s">
        <v>275</v>
      </c>
      <c r="C12" s="690"/>
      <c r="D12" s="690"/>
      <c r="E12" s="690"/>
      <c r="F12" s="690"/>
      <c r="G12" s="690"/>
      <c r="H12" s="690"/>
      <c r="I12" s="690"/>
      <c r="J12" s="690"/>
      <c r="K12" s="96"/>
      <c r="L12" s="89"/>
      <c r="M12" s="89"/>
      <c r="N12" s="89"/>
      <c r="O12" s="59"/>
      <c r="P12" s="59"/>
      <c r="Q12" s="59"/>
      <c r="R12" s="59"/>
      <c r="S12" s="59"/>
      <c r="T12" s="59"/>
      <c r="U12" s="59"/>
      <c r="V12" s="59"/>
      <c r="W12" s="8"/>
      <c r="X12" s="8"/>
      <c r="Y12" s="8"/>
      <c r="AH12" s="1"/>
      <c r="AI12" s="1"/>
      <c r="AJ12" s="1"/>
      <c r="AK12" s="1"/>
      <c r="AL12" s="104"/>
      <c r="AM12" s="104"/>
      <c r="AN12" s="104"/>
      <c r="AO12" s="104"/>
      <c r="AR12" s="46"/>
      <c r="AS12" s="53"/>
      <c r="AT12" s="53"/>
      <c r="AU12" s="53"/>
      <c r="AV12" s="53"/>
      <c r="AW12" s="53"/>
      <c r="AX12" s="53"/>
      <c r="AY12" s="53"/>
      <c r="AZ12" s="53"/>
      <c r="BA12" s="53"/>
    </row>
    <row r="13" spans="1:53" ht="18" x14ac:dyDescent="0.4">
      <c r="A13" s="46"/>
      <c r="B13" s="656" t="s">
        <v>387</v>
      </c>
      <c r="C13" s="584"/>
      <c r="D13" s="255">
        <f t="shared" ref="D13:D20" ca="1" si="0">IFERROR(INDIRECT(B13 &amp; "!" &amp; "$L$49"),0)</f>
        <v>4.0075988670500111</v>
      </c>
      <c r="E13" s="255">
        <f t="shared" ref="E13:E20" ca="1" si="1">IFERROR(INDIRECT(B13 &amp; "!" &amp; "$L$50"),0)</f>
        <v>1.2864392363230537</v>
      </c>
      <c r="F13" s="255">
        <f t="shared" ref="F13:F20" ca="1" si="2">IFERROR(INDIRECT(B13 &amp; "!" &amp; "$L$51"),0)</f>
        <v>2.7211596307269579</v>
      </c>
      <c r="G13" s="195">
        <v>5</v>
      </c>
      <c r="H13" s="255">
        <f ca="1">IFERROR(INDIRECT(B13 &amp; "!" &amp; "$D$49"),0)</f>
        <v>0.23599999999999999</v>
      </c>
      <c r="I13" s="256">
        <f ca="1">1/(1+H13*D13)</f>
        <v>0.51392919444921281</v>
      </c>
      <c r="J13" s="257">
        <f ca="1">(+I13*+D13+((1-I13)*G13))</f>
        <v>4.4899760851725254</v>
      </c>
      <c r="K13" s="255">
        <f>Segment_1!D64</f>
        <v>1.6414564264112905E-2</v>
      </c>
      <c r="L13" s="255">
        <f>Segment_1!D63</f>
        <v>1.4952456851195155E-2</v>
      </c>
      <c r="M13" s="286">
        <f ca="1">J13+K13+L13</f>
        <v>4.5213431062878335</v>
      </c>
      <c r="N13" s="273" t="s">
        <v>857</v>
      </c>
      <c r="O13" s="59"/>
      <c r="P13" s="59"/>
      <c r="Q13" s="59"/>
      <c r="S13" s="59"/>
      <c r="T13" s="59"/>
      <c r="U13" s="59"/>
      <c r="V13" s="59"/>
      <c r="W13" s="8"/>
      <c r="X13" s="8"/>
      <c r="Y13" s="8"/>
      <c r="AH13" s="107"/>
      <c r="AI13" s="108"/>
      <c r="AJ13" s="103"/>
      <c r="AK13" s="1"/>
      <c r="AL13" s="104"/>
      <c r="AM13" s="104"/>
      <c r="AN13" s="105"/>
      <c r="AO13" s="105"/>
      <c r="AR13" s="85"/>
    </row>
    <row r="14" spans="1:53" x14ac:dyDescent="0.25">
      <c r="A14" s="46"/>
      <c r="B14" s="656" t="s">
        <v>388</v>
      </c>
      <c r="C14" s="584"/>
      <c r="D14" s="7">
        <f t="shared" ca="1" si="0"/>
        <v>0</v>
      </c>
      <c r="E14" s="7">
        <f t="shared" ca="1" si="1"/>
        <v>0</v>
      </c>
      <c r="F14" s="7">
        <f t="shared" ca="1" si="2"/>
        <v>0</v>
      </c>
      <c r="G14" s="195">
        <v>0</v>
      </c>
      <c r="H14" s="7">
        <f t="shared" ref="H14:H20" ca="1" si="3">IFERROR(INDIRECT(B14 &amp; "!" &amp; "$D$49"),0)</f>
        <v>0</v>
      </c>
      <c r="I14" s="106">
        <f t="shared" ref="I14:I20" ca="1" si="4">1/(1+H14*D14)</f>
        <v>1</v>
      </c>
      <c r="J14" s="188">
        <f t="shared" ref="J14:J20" ca="1" si="5">+I14*+D14+((1-I14)*G14)</f>
        <v>0</v>
      </c>
      <c r="K14" s="272">
        <v>0</v>
      </c>
      <c r="L14" s="272">
        <v>0</v>
      </c>
      <c r="M14" s="279">
        <f t="shared" ref="M14:M20" ca="1" si="6">J14+K14+L14</f>
        <v>0</v>
      </c>
      <c r="N14" s="633" t="s">
        <v>902</v>
      </c>
      <c r="O14" s="633"/>
      <c r="P14" s="633"/>
      <c r="Q14" s="633"/>
      <c r="V14" s="59"/>
      <c r="W14" s="8"/>
      <c r="X14" s="8"/>
      <c r="Y14" s="8"/>
      <c r="AH14" s="108"/>
      <c r="AI14" s="108"/>
      <c r="AJ14" s="1"/>
      <c r="AK14" s="1"/>
      <c r="AL14" s="104"/>
      <c r="AM14" s="104"/>
      <c r="AN14" s="104"/>
      <c r="AO14" s="104"/>
    </row>
    <row r="15" spans="1:53" x14ac:dyDescent="0.25">
      <c r="A15" s="46"/>
      <c r="B15" s="656" t="s">
        <v>389</v>
      </c>
      <c r="C15" s="584"/>
      <c r="D15" s="7">
        <f t="shared" ca="1" si="0"/>
        <v>0</v>
      </c>
      <c r="E15" s="7">
        <f t="shared" ca="1" si="1"/>
        <v>0</v>
      </c>
      <c r="F15" s="7">
        <f t="shared" ca="1" si="2"/>
        <v>0</v>
      </c>
      <c r="G15" s="192">
        <v>0</v>
      </c>
      <c r="H15" s="7">
        <f t="shared" ca="1" si="3"/>
        <v>0</v>
      </c>
      <c r="I15" s="106">
        <f t="shared" ca="1" si="4"/>
        <v>1</v>
      </c>
      <c r="J15" s="188">
        <f t="shared" ca="1" si="5"/>
        <v>0</v>
      </c>
      <c r="K15" s="272">
        <v>0</v>
      </c>
      <c r="L15" s="272">
        <v>0</v>
      </c>
      <c r="M15" s="279">
        <f t="shared" ca="1" si="6"/>
        <v>0</v>
      </c>
      <c r="N15" s="633"/>
      <c r="O15" s="633"/>
      <c r="P15" s="633"/>
      <c r="Q15" s="633"/>
      <c r="V15" s="59"/>
      <c r="W15" s="8"/>
      <c r="X15" s="8"/>
      <c r="Y15" s="8"/>
      <c r="AH15" s="108"/>
      <c r="AI15" s="108"/>
      <c r="AJ15" s="103"/>
      <c r="AK15" s="53"/>
      <c r="AL15" s="53"/>
      <c r="AM15" s="53"/>
      <c r="AN15" s="53"/>
      <c r="AO15" s="53"/>
    </row>
    <row r="16" spans="1:53" x14ac:dyDescent="0.25">
      <c r="A16" s="46"/>
      <c r="B16" s="656" t="s">
        <v>390</v>
      </c>
      <c r="C16" s="584"/>
      <c r="D16" s="7">
        <f t="shared" ca="1" si="0"/>
        <v>0</v>
      </c>
      <c r="E16" s="7">
        <f t="shared" ca="1" si="1"/>
        <v>0</v>
      </c>
      <c r="F16" s="7">
        <f t="shared" ca="1" si="2"/>
        <v>0</v>
      </c>
      <c r="G16" s="192">
        <v>0</v>
      </c>
      <c r="H16" s="7">
        <f t="shared" ca="1" si="3"/>
        <v>0</v>
      </c>
      <c r="I16" s="106">
        <f t="shared" ca="1" si="4"/>
        <v>1</v>
      </c>
      <c r="J16" s="188">
        <f ca="1">+I16*+D16+((1-I16)*G16)</f>
        <v>0</v>
      </c>
      <c r="K16" s="272">
        <v>0</v>
      </c>
      <c r="L16" s="272">
        <v>0</v>
      </c>
      <c r="M16" s="279">
        <f t="shared" ca="1" si="6"/>
        <v>0</v>
      </c>
      <c r="N16" s="633"/>
      <c r="O16" s="633"/>
      <c r="P16" s="633"/>
      <c r="Q16" s="633"/>
      <c r="V16" s="59"/>
      <c r="W16" s="8"/>
      <c r="X16" s="8"/>
      <c r="Y16" s="8"/>
      <c r="AH16" s="71"/>
      <c r="AI16" s="71"/>
      <c r="AJ16" s="41"/>
      <c r="AK16" s="41"/>
      <c r="AL16" s="41"/>
      <c r="AM16" s="41"/>
      <c r="AN16" s="41"/>
      <c r="AO16" s="41"/>
    </row>
    <row r="17" spans="1:48" x14ac:dyDescent="0.25">
      <c r="A17" s="46"/>
      <c r="B17" s="656" t="s">
        <v>391</v>
      </c>
      <c r="C17" s="584"/>
      <c r="D17" s="7">
        <f t="shared" ca="1" si="0"/>
        <v>0</v>
      </c>
      <c r="E17" s="7">
        <f t="shared" ca="1" si="1"/>
        <v>0</v>
      </c>
      <c r="F17" s="7">
        <f t="shared" ca="1" si="2"/>
        <v>0</v>
      </c>
      <c r="G17" s="192">
        <v>0</v>
      </c>
      <c r="H17" s="7">
        <f t="shared" ca="1" si="3"/>
        <v>0</v>
      </c>
      <c r="I17" s="106">
        <f t="shared" ca="1" si="4"/>
        <v>1</v>
      </c>
      <c r="J17" s="188">
        <f t="shared" ca="1" si="5"/>
        <v>0</v>
      </c>
      <c r="K17" s="272">
        <v>0</v>
      </c>
      <c r="L17" s="272">
        <v>0</v>
      </c>
      <c r="M17" s="279">
        <f t="shared" ca="1" si="6"/>
        <v>0</v>
      </c>
      <c r="N17" s="633"/>
      <c r="O17" s="633"/>
      <c r="P17" s="633"/>
      <c r="Q17" s="633"/>
      <c r="V17" s="59"/>
      <c r="W17" s="8"/>
      <c r="X17" s="8"/>
      <c r="Y17" s="8"/>
      <c r="AH17" s="41"/>
      <c r="AI17" s="41"/>
      <c r="AJ17" s="41"/>
      <c r="AK17" s="41"/>
      <c r="AL17" s="41"/>
      <c r="AM17" s="41"/>
      <c r="AN17" s="41"/>
      <c r="AO17" s="41"/>
      <c r="AR17" s="46"/>
      <c r="AV17" s="53"/>
    </row>
    <row r="18" spans="1:48" x14ac:dyDescent="0.25">
      <c r="A18" s="46"/>
      <c r="B18" s="656" t="s">
        <v>392</v>
      </c>
      <c r="C18" s="584"/>
      <c r="D18" s="7">
        <f t="shared" ca="1" si="0"/>
        <v>0</v>
      </c>
      <c r="E18" s="7">
        <f t="shared" ca="1" si="1"/>
        <v>0</v>
      </c>
      <c r="F18" s="7">
        <f t="shared" ca="1" si="2"/>
        <v>0</v>
      </c>
      <c r="G18" s="192">
        <v>0</v>
      </c>
      <c r="H18" s="7">
        <f t="shared" ca="1" si="3"/>
        <v>0</v>
      </c>
      <c r="I18" s="106">
        <f t="shared" ca="1" si="4"/>
        <v>1</v>
      </c>
      <c r="J18" s="188">
        <f t="shared" ca="1" si="5"/>
        <v>0</v>
      </c>
      <c r="K18" s="272">
        <v>0</v>
      </c>
      <c r="L18" s="272">
        <v>0</v>
      </c>
      <c r="M18" s="279">
        <f t="shared" ca="1" si="6"/>
        <v>0</v>
      </c>
      <c r="N18" s="633"/>
      <c r="O18" s="633"/>
      <c r="P18" s="633"/>
      <c r="Q18" s="633"/>
      <c r="V18" s="69"/>
      <c r="W18" s="8"/>
      <c r="X18" s="8"/>
      <c r="Y18" s="8"/>
      <c r="AH18" s="41"/>
      <c r="AI18" s="71"/>
      <c r="AJ18" s="41"/>
      <c r="AK18" s="41"/>
      <c r="AL18" s="41"/>
      <c r="AM18" s="41"/>
      <c r="AN18" s="41"/>
      <c r="AO18" s="41"/>
    </row>
    <row r="19" spans="1:48" x14ac:dyDescent="0.25">
      <c r="A19" s="46"/>
      <c r="B19" s="656" t="s">
        <v>393</v>
      </c>
      <c r="C19" s="584"/>
      <c r="D19" s="7">
        <f t="shared" ca="1" si="0"/>
        <v>0</v>
      </c>
      <c r="E19" s="7">
        <f t="shared" ca="1" si="1"/>
        <v>0</v>
      </c>
      <c r="F19" s="7">
        <f t="shared" ca="1" si="2"/>
        <v>0</v>
      </c>
      <c r="G19" s="192">
        <v>0</v>
      </c>
      <c r="H19" s="7">
        <f t="shared" ca="1" si="3"/>
        <v>0</v>
      </c>
      <c r="I19" s="106">
        <f t="shared" ca="1" si="4"/>
        <v>1</v>
      </c>
      <c r="J19" s="188">
        <f t="shared" ca="1" si="5"/>
        <v>0</v>
      </c>
      <c r="K19" s="272">
        <v>0</v>
      </c>
      <c r="L19" s="272">
        <v>0</v>
      </c>
      <c r="M19" s="279">
        <f t="shared" ca="1" si="6"/>
        <v>0</v>
      </c>
      <c r="N19" s="633"/>
      <c r="O19" s="633"/>
      <c r="P19" s="633"/>
      <c r="Q19" s="633"/>
      <c r="V19" s="1"/>
      <c r="W19" s="8"/>
      <c r="X19" s="8"/>
      <c r="Y19" s="8"/>
      <c r="AH19" s="41"/>
      <c r="AI19" s="41"/>
      <c r="AJ19" s="41"/>
      <c r="AK19" s="41"/>
      <c r="AL19" s="41"/>
      <c r="AM19" s="41"/>
      <c r="AN19" s="41"/>
      <c r="AO19" s="41"/>
      <c r="AR19" s="46"/>
      <c r="AV19" s="53"/>
    </row>
    <row r="20" spans="1:48" ht="13" thickBot="1" x14ac:dyDescent="0.3">
      <c r="A20" s="46"/>
      <c r="B20" s="656" t="s">
        <v>394</v>
      </c>
      <c r="C20" s="584"/>
      <c r="D20" s="7">
        <f t="shared" ca="1" si="0"/>
        <v>0</v>
      </c>
      <c r="E20" s="7">
        <f t="shared" ca="1" si="1"/>
        <v>0</v>
      </c>
      <c r="F20" s="7">
        <f t="shared" ca="1" si="2"/>
        <v>0</v>
      </c>
      <c r="G20" s="192">
        <v>0</v>
      </c>
      <c r="H20" s="7">
        <f t="shared" ca="1" si="3"/>
        <v>0</v>
      </c>
      <c r="I20" s="106">
        <f t="shared" ca="1" si="4"/>
        <v>1</v>
      </c>
      <c r="J20" s="188">
        <f t="shared" ca="1" si="5"/>
        <v>0</v>
      </c>
      <c r="K20" s="281">
        <v>0</v>
      </c>
      <c r="L20" s="281">
        <v>0</v>
      </c>
      <c r="M20" s="280">
        <f t="shared" ca="1" si="6"/>
        <v>0</v>
      </c>
      <c r="N20" s="633"/>
      <c r="O20" s="633"/>
      <c r="P20" s="633"/>
      <c r="Q20" s="633"/>
      <c r="V20" s="1"/>
      <c r="W20" s="8"/>
      <c r="X20" s="8"/>
      <c r="Y20" s="8"/>
      <c r="AH20" s="41"/>
      <c r="AI20" s="41"/>
      <c r="AJ20" s="41"/>
      <c r="AK20" s="41"/>
      <c r="AL20" s="41"/>
      <c r="AM20" s="41"/>
      <c r="AN20" s="41"/>
      <c r="AO20" s="41"/>
      <c r="AR20" s="46"/>
      <c r="AV20" s="53"/>
    </row>
    <row r="21" spans="1:48" ht="13.5" thickBot="1" x14ac:dyDescent="0.3">
      <c r="B21" s="691" t="s">
        <v>375</v>
      </c>
      <c r="C21" s="692"/>
      <c r="D21" s="164">
        <f ca="1">SUM(D13:D20)</f>
        <v>4.0075988670500111</v>
      </c>
      <c r="E21" s="164">
        <f ca="1">SUM(E13:E20)</f>
        <v>1.2864392363230537</v>
      </c>
      <c r="F21" s="164">
        <f ca="1">SUM(F13:F20)</f>
        <v>2.7211596307269579</v>
      </c>
      <c r="G21" s="196">
        <f>SUM(G13:G20)</f>
        <v>5</v>
      </c>
      <c r="H21" s="164"/>
      <c r="I21" s="168"/>
      <c r="J21" s="189">
        <f ca="1">SUM(J13:J20)</f>
        <v>4.4899760851725254</v>
      </c>
      <c r="K21" s="189">
        <f>SUM(K13:K20)</f>
        <v>1.6414564264112905E-2</v>
      </c>
      <c r="L21" s="164">
        <f>SUM(L13:L20)</f>
        <v>1.4952456851195155E-2</v>
      </c>
      <c r="M21" s="164">
        <f ca="1">SUM(M13:M20)</f>
        <v>4.5213431062878335</v>
      </c>
      <c r="N21" s="68"/>
      <c r="O21" s="68"/>
      <c r="P21" s="68"/>
      <c r="Q21" s="68"/>
      <c r="R21" s="68"/>
      <c r="S21" s="68"/>
      <c r="T21" s="68"/>
      <c r="U21" s="97"/>
      <c r="V21" s="97"/>
      <c r="W21" s="8"/>
      <c r="X21" s="8"/>
      <c r="Y21" s="8"/>
    </row>
    <row r="22" spans="1:48" ht="13" x14ac:dyDescent="0.3">
      <c r="B22" s="690" t="s">
        <v>276</v>
      </c>
      <c r="C22" s="690"/>
      <c r="D22" s="690"/>
      <c r="E22" s="690"/>
      <c r="F22" s="690"/>
      <c r="G22" s="690"/>
      <c r="H22" s="690"/>
      <c r="I22" s="690"/>
      <c r="J22" s="690"/>
      <c r="K22" s="92"/>
      <c r="L22" s="68"/>
      <c r="M22" s="68"/>
      <c r="N22" s="68"/>
      <c r="O22" s="68"/>
      <c r="P22" s="68"/>
      <c r="Q22" s="68"/>
      <c r="R22" s="68"/>
      <c r="S22" s="68"/>
      <c r="T22" s="68"/>
      <c r="U22" s="97"/>
      <c r="V22" s="97"/>
      <c r="W22" s="1"/>
      <c r="X22" s="1"/>
      <c r="Y22" s="1"/>
      <c r="Z22" s="1"/>
      <c r="AA22" s="1"/>
      <c r="AB22" s="1"/>
      <c r="AC22" s="1"/>
      <c r="AD22" s="1"/>
      <c r="AE22" s="1"/>
      <c r="AH22" s="9"/>
      <c r="AI22" s="9"/>
      <c r="AJ22" s="9"/>
      <c r="AK22" s="9"/>
      <c r="AL22" s="9"/>
      <c r="AM22" s="1"/>
      <c r="AN22" s="1"/>
      <c r="AO22" s="1"/>
    </row>
    <row r="23" spans="1:48" ht="18" x14ac:dyDescent="0.4">
      <c r="A23" s="84"/>
      <c r="B23" s="656" t="s">
        <v>395</v>
      </c>
      <c r="C23" s="584"/>
      <c r="D23" s="255">
        <f t="shared" ref="D23:D30" ca="1" si="7">IFERROR(INDIRECT(B23 &amp; "!" &amp; "$L$33"),0)</f>
        <v>16.249249721178604</v>
      </c>
      <c r="E23" s="255">
        <f t="shared" ref="E23:E30" ca="1" si="8">IFERROR(INDIRECT(B23 &amp; "!" &amp; "$L$34"),0)</f>
        <v>5.524744905200726</v>
      </c>
      <c r="F23" s="258">
        <f t="shared" ref="F23:F30" ca="1" si="9">IFERROR(INDIRECT(B23 &amp; "!" &amp; "$L$35"),0)</f>
        <v>10.724504815977879</v>
      </c>
      <c r="G23" s="192">
        <v>10</v>
      </c>
      <c r="H23" s="255">
        <f ca="1">IFERROR(INDIRECT(B23 &amp; "!" &amp; "$E$33"),0)</f>
        <v>0.11</v>
      </c>
      <c r="I23" s="256">
        <f ca="1">1/(1+H23*D23)</f>
        <v>0.35875501642762275</v>
      </c>
      <c r="J23" s="257">
        <f ca="1">(+I23*+D23+((1-I23)*G23)) + Intersection_1!D49 + Intersection_1!D50</f>
        <v>12.247496212009901</v>
      </c>
      <c r="K23" s="255">
        <f>Intersection_1!D50</f>
        <v>1.7693087027343751E-3</v>
      </c>
      <c r="L23" s="255">
        <f>Intersection_1!D49</f>
        <v>3.7772169254201913E-3</v>
      </c>
      <c r="M23" s="286">
        <f ca="1">J23+K23+L23</f>
        <v>12.253042737638054</v>
      </c>
      <c r="N23" s="273" t="s">
        <v>858</v>
      </c>
      <c r="O23" s="9"/>
      <c r="P23" s="1"/>
      <c r="Q23" s="9"/>
      <c r="W23" s="92"/>
      <c r="X23" s="92"/>
      <c r="Y23" s="92"/>
      <c r="Z23" s="92"/>
      <c r="AA23" s="92"/>
      <c r="AB23" s="92"/>
      <c r="AC23" s="92"/>
      <c r="AD23" s="92"/>
      <c r="AE23" s="92"/>
      <c r="AH23" s="9"/>
      <c r="AI23" s="9"/>
      <c r="AJ23" s="9"/>
      <c r="AK23" s="1"/>
      <c r="AL23" s="9"/>
      <c r="AM23" s="1"/>
      <c r="AN23" s="1"/>
      <c r="AO23" s="1"/>
    </row>
    <row r="24" spans="1:48" ht="13" x14ac:dyDescent="0.3">
      <c r="A24" s="110"/>
      <c r="B24" s="601" t="s">
        <v>396</v>
      </c>
      <c r="C24" s="584"/>
      <c r="D24" s="7">
        <f t="shared" ca="1" si="7"/>
        <v>0</v>
      </c>
      <c r="E24" s="7">
        <f t="shared" ca="1" si="8"/>
        <v>0</v>
      </c>
      <c r="F24" s="109">
        <f t="shared" ca="1" si="9"/>
        <v>0</v>
      </c>
      <c r="G24" s="192">
        <v>0</v>
      </c>
      <c r="H24" s="7">
        <f t="shared" ref="H24:H30" ca="1" si="10">IFERROR(INDIRECT(B24 &amp; "!" &amp; "$E$33"),0)</f>
        <v>0</v>
      </c>
      <c r="I24" s="106">
        <f t="shared" ref="I24:I30" ca="1" si="11">1/(1+H24*D24)</f>
        <v>1</v>
      </c>
      <c r="J24" s="188">
        <f t="shared" ref="J24:J30" ca="1" si="12">+I24*+D24+((1-I24)*G24)</f>
        <v>0</v>
      </c>
      <c r="K24" s="7">
        <v>0</v>
      </c>
      <c r="L24" s="7">
        <v>0</v>
      </c>
      <c r="M24" s="279">
        <f t="shared" ref="M24:M30" ca="1" si="13">J24+K24+L24</f>
        <v>0</v>
      </c>
      <c r="N24" s="633" t="s">
        <v>903</v>
      </c>
      <c r="O24" s="633"/>
      <c r="P24" s="633"/>
      <c r="Q24" s="633"/>
      <c r="W24" s="68"/>
      <c r="X24" s="68"/>
      <c r="Y24" s="68"/>
      <c r="Z24" s="68"/>
      <c r="AA24" s="68"/>
      <c r="AB24" s="68"/>
      <c r="AC24" s="68"/>
      <c r="AD24" s="68"/>
      <c r="AE24" s="68"/>
      <c r="AH24" s="9"/>
      <c r="AI24" s="9"/>
      <c r="AJ24" s="1"/>
      <c r="AK24" s="1"/>
      <c r="AL24" s="1"/>
      <c r="AM24" s="1"/>
      <c r="AN24" s="1"/>
      <c r="AO24" s="1"/>
    </row>
    <row r="25" spans="1:48" ht="13" x14ac:dyDescent="0.25">
      <c r="A25" s="97"/>
      <c r="B25" s="656" t="s">
        <v>397</v>
      </c>
      <c r="C25" s="584"/>
      <c r="D25" s="7">
        <f t="shared" ca="1" si="7"/>
        <v>0</v>
      </c>
      <c r="E25" s="7">
        <f t="shared" ca="1" si="8"/>
        <v>0</v>
      </c>
      <c r="F25" s="109">
        <f t="shared" ca="1" si="9"/>
        <v>0</v>
      </c>
      <c r="G25" s="192">
        <v>0</v>
      </c>
      <c r="H25" s="7">
        <f t="shared" ca="1" si="10"/>
        <v>0</v>
      </c>
      <c r="I25" s="106">
        <f t="shared" ca="1" si="11"/>
        <v>1</v>
      </c>
      <c r="J25" s="188">
        <f t="shared" ca="1" si="12"/>
        <v>0</v>
      </c>
      <c r="K25" s="7">
        <v>0</v>
      </c>
      <c r="L25" s="7">
        <v>0</v>
      </c>
      <c r="M25" s="279">
        <f t="shared" ca="1" si="13"/>
        <v>0</v>
      </c>
      <c r="N25" s="633"/>
      <c r="O25" s="633"/>
      <c r="P25" s="633"/>
      <c r="Q25" s="633"/>
      <c r="W25" s="68"/>
      <c r="X25" s="68"/>
      <c r="Y25" s="68"/>
      <c r="Z25" s="68"/>
      <c r="AA25" s="68"/>
      <c r="AB25" s="68"/>
      <c r="AC25" s="68"/>
      <c r="AD25" s="68"/>
      <c r="AE25" s="68"/>
      <c r="AH25" s="1"/>
      <c r="AI25" s="1"/>
      <c r="AJ25" s="1"/>
      <c r="AK25" s="1"/>
      <c r="AL25" s="100"/>
      <c r="AM25" s="100"/>
      <c r="AN25" s="100"/>
      <c r="AO25" s="100"/>
    </row>
    <row r="26" spans="1:48" ht="13" x14ac:dyDescent="0.25">
      <c r="A26" s="97"/>
      <c r="B26" s="601" t="s">
        <v>398</v>
      </c>
      <c r="C26" s="584"/>
      <c r="D26" s="7">
        <f t="shared" ca="1" si="7"/>
        <v>0</v>
      </c>
      <c r="E26" s="7">
        <f t="shared" ca="1" si="8"/>
        <v>0</v>
      </c>
      <c r="F26" s="109">
        <f t="shared" ca="1" si="9"/>
        <v>0</v>
      </c>
      <c r="G26" s="192">
        <v>0</v>
      </c>
      <c r="H26" s="7">
        <f t="shared" ca="1" si="10"/>
        <v>0</v>
      </c>
      <c r="I26" s="106">
        <f t="shared" ca="1" si="11"/>
        <v>1</v>
      </c>
      <c r="J26" s="188">
        <f t="shared" ca="1" si="12"/>
        <v>0</v>
      </c>
      <c r="K26" s="7">
        <v>0</v>
      </c>
      <c r="L26" s="7">
        <v>0</v>
      </c>
      <c r="M26" s="279">
        <f t="shared" ca="1" si="13"/>
        <v>0</v>
      </c>
      <c r="N26" s="633"/>
      <c r="O26" s="633"/>
      <c r="P26" s="633"/>
      <c r="Q26" s="633"/>
      <c r="V26" s="60"/>
      <c r="W26" s="111"/>
      <c r="X26" s="111"/>
      <c r="Y26" s="111"/>
      <c r="Z26" s="111"/>
      <c r="AA26" s="111"/>
      <c r="AB26" s="111"/>
      <c r="AC26" s="111"/>
      <c r="AD26" s="111"/>
      <c r="AE26" s="111"/>
      <c r="AH26" s="1"/>
      <c r="AI26" s="1"/>
      <c r="AJ26" s="1"/>
      <c r="AK26" s="1"/>
      <c r="AL26" s="102"/>
      <c r="AM26" s="102"/>
      <c r="AN26" s="102"/>
      <c r="AO26" s="102"/>
    </row>
    <row r="27" spans="1:48" ht="13" x14ac:dyDescent="0.25">
      <c r="A27" s="112"/>
      <c r="B27" s="656" t="s">
        <v>399</v>
      </c>
      <c r="C27" s="584"/>
      <c r="D27" s="7">
        <f t="shared" ca="1" si="7"/>
        <v>0</v>
      </c>
      <c r="E27" s="7">
        <f t="shared" ca="1" si="8"/>
        <v>0</v>
      </c>
      <c r="F27" s="109">
        <f t="shared" ca="1" si="9"/>
        <v>0</v>
      </c>
      <c r="G27" s="192">
        <v>0</v>
      </c>
      <c r="H27" s="7">
        <f t="shared" ca="1" si="10"/>
        <v>0</v>
      </c>
      <c r="I27" s="106">
        <f t="shared" ca="1" si="11"/>
        <v>1</v>
      </c>
      <c r="J27" s="188">
        <f t="shared" ca="1" si="12"/>
        <v>0</v>
      </c>
      <c r="K27" s="272">
        <v>0</v>
      </c>
      <c r="L27" s="272">
        <v>0</v>
      </c>
      <c r="M27" s="279">
        <f t="shared" ca="1" si="13"/>
        <v>0</v>
      </c>
      <c r="N27" s="633"/>
      <c r="O27" s="633"/>
      <c r="P27" s="633"/>
      <c r="Q27" s="633"/>
      <c r="V27" s="60"/>
      <c r="W27" s="113"/>
      <c r="X27" s="113"/>
      <c r="Y27" s="113"/>
      <c r="Z27" s="113"/>
      <c r="AA27" s="113"/>
      <c r="AB27" s="113"/>
      <c r="AC27" s="113"/>
      <c r="AD27" s="113"/>
      <c r="AE27" s="113"/>
      <c r="AH27" s="50"/>
      <c r="AI27" s="1"/>
      <c r="AJ27" s="103"/>
      <c r="AK27" s="1"/>
      <c r="AL27" s="104"/>
      <c r="AM27" s="104"/>
      <c r="AN27" s="105"/>
      <c r="AO27" s="105"/>
    </row>
    <row r="28" spans="1:48" ht="13" x14ac:dyDescent="0.3">
      <c r="A28" s="112"/>
      <c r="B28" s="601" t="s">
        <v>400</v>
      </c>
      <c r="C28" s="584"/>
      <c r="D28" s="7">
        <f t="shared" ca="1" si="7"/>
        <v>0</v>
      </c>
      <c r="E28" s="7">
        <f t="shared" ca="1" si="8"/>
        <v>0</v>
      </c>
      <c r="F28" s="109">
        <f t="shared" ca="1" si="9"/>
        <v>0</v>
      </c>
      <c r="G28" s="192">
        <v>0</v>
      </c>
      <c r="H28" s="7">
        <f t="shared" ca="1" si="10"/>
        <v>0</v>
      </c>
      <c r="I28" s="106">
        <f t="shared" ca="1" si="11"/>
        <v>1</v>
      </c>
      <c r="J28" s="188">
        <f t="shared" ca="1" si="12"/>
        <v>0</v>
      </c>
      <c r="K28" s="272">
        <v>0</v>
      </c>
      <c r="L28" s="272">
        <v>0</v>
      </c>
      <c r="M28" s="279">
        <f t="shared" ca="1" si="13"/>
        <v>0</v>
      </c>
      <c r="N28" s="633"/>
      <c r="O28" s="633"/>
      <c r="P28" s="633"/>
      <c r="Q28" s="633"/>
      <c r="V28" s="59"/>
      <c r="W28" s="9"/>
      <c r="X28" s="1"/>
      <c r="Y28" s="1"/>
      <c r="Z28" s="1"/>
      <c r="AA28" s="1"/>
      <c r="AB28" s="1"/>
      <c r="AC28" s="1"/>
      <c r="AD28" s="1"/>
      <c r="AE28" s="1"/>
      <c r="AH28" s="1"/>
      <c r="AI28" s="1"/>
      <c r="AJ28" s="1"/>
      <c r="AK28" s="1"/>
      <c r="AL28" s="104"/>
      <c r="AM28" s="104"/>
      <c r="AN28" s="104"/>
      <c r="AO28" s="104"/>
    </row>
    <row r="29" spans="1:48" ht="13" x14ac:dyDescent="0.3">
      <c r="A29" s="53"/>
      <c r="B29" s="656" t="s">
        <v>401</v>
      </c>
      <c r="C29" s="584"/>
      <c r="D29" s="7">
        <f t="shared" ca="1" si="7"/>
        <v>0</v>
      </c>
      <c r="E29" s="7">
        <f t="shared" ca="1" si="8"/>
        <v>0</v>
      </c>
      <c r="F29" s="109">
        <f t="shared" ca="1" si="9"/>
        <v>0</v>
      </c>
      <c r="G29" s="192">
        <v>0</v>
      </c>
      <c r="H29" s="7">
        <f t="shared" ca="1" si="10"/>
        <v>0</v>
      </c>
      <c r="I29" s="106">
        <f t="shared" ca="1" si="11"/>
        <v>1</v>
      </c>
      <c r="J29" s="188">
        <f t="shared" ca="1" si="12"/>
        <v>0</v>
      </c>
      <c r="K29" s="272">
        <v>0</v>
      </c>
      <c r="L29" s="272">
        <v>0</v>
      </c>
      <c r="M29" s="279">
        <f t="shared" ca="1" si="13"/>
        <v>0</v>
      </c>
      <c r="N29" s="633"/>
      <c r="O29" s="633"/>
      <c r="P29" s="633"/>
      <c r="Q29" s="633"/>
      <c r="V29" s="59"/>
      <c r="W29" s="9"/>
      <c r="X29" s="1"/>
      <c r="Y29" s="1"/>
      <c r="Z29" s="1"/>
      <c r="AA29" s="1"/>
      <c r="AB29" s="1"/>
      <c r="AC29" s="1"/>
      <c r="AD29" s="1"/>
      <c r="AE29" s="1"/>
      <c r="AH29" s="1"/>
      <c r="AI29" s="1"/>
      <c r="AJ29" s="1"/>
      <c r="AK29" s="1"/>
      <c r="AL29" s="104"/>
      <c r="AM29" s="104"/>
      <c r="AN29" s="104"/>
      <c r="AO29" s="104"/>
    </row>
    <row r="30" spans="1:48" ht="13" thickBot="1" x14ac:dyDescent="0.3">
      <c r="A30" s="46"/>
      <c r="B30" s="601" t="s">
        <v>402</v>
      </c>
      <c r="C30" s="584"/>
      <c r="D30" s="7">
        <f t="shared" ca="1" si="7"/>
        <v>0</v>
      </c>
      <c r="E30" s="7">
        <f t="shared" ca="1" si="8"/>
        <v>0</v>
      </c>
      <c r="F30" s="109">
        <f t="shared" ca="1" si="9"/>
        <v>0</v>
      </c>
      <c r="G30" s="193">
        <v>0</v>
      </c>
      <c r="H30" s="7">
        <f t="shared" ca="1" si="10"/>
        <v>0</v>
      </c>
      <c r="I30" s="106">
        <f t="shared" ca="1" si="11"/>
        <v>1</v>
      </c>
      <c r="J30" s="188">
        <f t="shared" ca="1" si="12"/>
        <v>0</v>
      </c>
      <c r="K30" s="81">
        <v>0</v>
      </c>
      <c r="L30" s="81">
        <v>0</v>
      </c>
      <c r="M30" s="282">
        <f t="shared" ca="1" si="13"/>
        <v>0</v>
      </c>
      <c r="N30" s="633"/>
      <c r="O30" s="633"/>
      <c r="P30" s="633"/>
      <c r="Q30" s="633"/>
      <c r="V30" s="59"/>
      <c r="W30" s="8"/>
      <c r="X30" s="8"/>
      <c r="Y30" s="8"/>
      <c r="Z30" s="8"/>
      <c r="AA30" s="8"/>
      <c r="AB30" s="8"/>
      <c r="AC30" s="8"/>
      <c r="AD30" s="8"/>
      <c r="AE30" s="8"/>
      <c r="AH30" s="107"/>
      <c r="AI30" s="108"/>
      <c r="AJ30" s="103"/>
      <c r="AK30" s="1"/>
      <c r="AL30" s="104"/>
      <c r="AM30" s="104"/>
      <c r="AN30" s="105"/>
      <c r="AO30" s="105"/>
    </row>
    <row r="31" spans="1:48" ht="13" thickBot="1" x14ac:dyDescent="0.3">
      <c r="A31" s="46"/>
      <c r="B31" s="693" t="s">
        <v>376</v>
      </c>
      <c r="C31" s="694"/>
      <c r="D31" s="169">
        <f ca="1">SUM(D23:D30)</f>
        <v>16.249249721178604</v>
      </c>
      <c r="E31" s="170">
        <f ca="1">SUM(E23:E30)</f>
        <v>5.524744905200726</v>
      </c>
      <c r="F31" s="170">
        <f ca="1">SUM(F23:F30)</f>
        <v>10.724504815977879</v>
      </c>
      <c r="G31" s="194">
        <f>SUM(G23:G30)</f>
        <v>10</v>
      </c>
      <c r="H31" s="169"/>
      <c r="I31" s="170"/>
      <c r="J31" s="190">
        <f ca="1">SUM(J23:J30)</f>
        <v>12.247496212009901</v>
      </c>
      <c r="K31" s="274">
        <f>SUM(K23:K30)</f>
        <v>1.7693087027343751E-3</v>
      </c>
      <c r="L31" s="274">
        <f>SUM(L23:L30)</f>
        <v>3.7772169254201913E-3</v>
      </c>
      <c r="M31" s="169">
        <f ca="1">SUM(M23:M30)</f>
        <v>12.253042737638054</v>
      </c>
      <c r="N31" s="89"/>
      <c r="Q31" s="59"/>
      <c r="R31" s="59"/>
      <c r="S31" s="59"/>
      <c r="T31" s="59"/>
      <c r="U31" s="59"/>
      <c r="V31" s="59"/>
      <c r="W31" s="8"/>
      <c r="X31" s="8"/>
      <c r="Y31" s="8"/>
      <c r="Z31" s="8"/>
      <c r="AA31" s="8"/>
      <c r="AB31" s="8"/>
      <c r="AC31" s="8"/>
      <c r="AD31" s="8"/>
      <c r="AE31" s="8"/>
      <c r="AH31" s="107"/>
      <c r="AI31" s="108"/>
      <c r="AJ31" s="103"/>
      <c r="AK31" s="1"/>
      <c r="AL31" s="104"/>
      <c r="AM31" s="104"/>
      <c r="AN31" s="105"/>
      <c r="AO31" s="105"/>
    </row>
    <row r="32" spans="1:48" ht="14" thickTop="1" thickBot="1" x14ac:dyDescent="0.3">
      <c r="A32" s="94"/>
      <c r="B32" s="688" t="s">
        <v>277</v>
      </c>
      <c r="C32" s="689"/>
      <c r="D32" s="114">
        <f ca="1">SUM(D13:D20)+SUM(D23:D30)</f>
        <v>20.256848588228614</v>
      </c>
      <c r="E32" s="114">
        <f ca="1">SUM(E13:E20)+SUM(E23:E30)</f>
        <v>6.8111841415237802</v>
      </c>
      <c r="F32" s="114">
        <f ca="1">SUM(F13:F20)+SUM(F23:F30)</f>
        <v>13.445664446704836</v>
      </c>
      <c r="G32" s="191">
        <f>SUM(G13:G20)+SUM(G23:G30)</f>
        <v>15</v>
      </c>
      <c r="H32" s="115" t="s">
        <v>29</v>
      </c>
      <c r="I32" s="115" t="s">
        <v>29</v>
      </c>
      <c r="J32" s="191">
        <f ca="1">SUM(J13:J20)+SUM(J23:J30)</f>
        <v>16.737472297182428</v>
      </c>
      <c r="K32" s="191">
        <f>SUM(K13:K20)+SUM(K23:K30)</f>
        <v>1.818387296684728E-2</v>
      </c>
      <c r="L32" s="191">
        <f>SUM(L13:L20)+SUM(L23:L30)</f>
        <v>1.8729673776615347E-2</v>
      </c>
      <c r="M32" s="283">
        <f ca="1">M21+M31</f>
        <v>16.774385843925888</v>
      </c>
      <c r="N32" s="8"/>
      <c r="O32" s="8"/>
      <c r="P32" s="8"/>
      <c r="Q32" s="8"/>
      <c r="R32" s="8"/>
      <c r="S32" s="8"/>
      <c r="T32" s="8"/>
      <c r="U32" s="8"/>
      <c r="V32" s="8"/>
      <c r="W32" s="8"/>
      <c r="X32" s="8"/>
      <c r="Y32" s="8"/>
      <c r="Z32" s="8"/>
      <c r="AA32" s="8"/>
      <c r="AB32" s="8"/>
      <c r="AC32" s="8"/>
      <c r="AD32" s="8"/>
      <c r="AE32" s="8"/>
      <c r="AH32" s="108"/>
      <c r="AI32" s="108"/>
      <c r="AJ32" s="1"/>
      <c r="AK32" s="1"/>
      <c r="AL32" s="104"/>
      <c r="AM32" s="104"/>
      <c r="AN32" s="104"/>
      <c r="AO32" s="104"/>
    </row>
    <row r="33" spans="1:49" x14ac:dyDescent="0.25">
      <c r="A33" s="57"/>
      <c r="B33" s="69"/>
      <c r="C33" s="84"/>
      <c r="D33" s="84"/>
      <c r="F33" s="57"/>
      <c r="H33" s="57"/>
      <c r="K33" s="14"/>
      <c r="N33" s="8"/>
      <c r="O33" s="8"/>
      <c r="P33" s="8"/>
      <c r="Q33" s="8"/>
      <c r="R33" s="8"/>
      <c r="S33" s="8"/>
      <c r="T33" s="8"/>
      <c r="U33" s="8"/>
      <c r="V33" s="8"/>
      <c r="W33" s="8"/>
      <c r="X33" s="8"/>
      <c r="Y33" s="8"/>
      <c r="Z33" s="8"/>
      <c r="AA33" s="8"/>
      <c r="AB33" s="8"/>
      <c r="AC33" s="8"/>
      <c r="AD33" s="8"/>
      <c r="AE33" s="8"/>
      <c r="AH33" s="108"/>
      <c r="AI33" s="108"/>
      <c r="AJ33" s="103"/>
      <c r="AK33" s="53"/>
      <c r="AL33" s="53"/>
      <c r="AM33" s="53"/>
      <c r="AN33" s="53"/>
      <c r="AO33" s="53"/>
    </row>
    <row r="34" spans="1:49" ht="13" x14ac:dyDescent="0.25">
      <c r="A34" s="68"/>
      <c r="B34" s="69"/>
      <c r="C34" s="116"/>
      <c r="D34" s="68"/>
      <c r="E34" s="68"/>
      <c r="F34" s="68"/>
      <c r="G34" s="1"/>
      <c r="H34" s="68"/>
      <c r="K34" s="14"/>
      <c r="N34" s="8"/>
      <c r="O34" s="8"/>
      <c r="P34" s="8"/>
      <c r="Q34" s="8"/>
      <c r="R34" s="8"/>
      <c r="S34" s="8"/>
      <c r="T34" s="8"/>
      <c r="U34" s="8"/>
      <c r="V34" s="8"/>
      <c r="W34" s="8"/>
      <c r="X34" s="8"/>
      <c r="Y34" s="8"/>
      <c r="Z34" s="8"/>
      <c r="AA34" s="8"/>
      <c r="AB34" s="8"/>
      <c r="AC34" s="8"/>
      <c r="AD34" s="8"/>
      <c r="AE34" s="8"/>
      <c r="AH34" s="71"/>
      <c r="AI34" s="71"/>
      <c r="AJ34" s="41"/>
      <c r="AK34" s="41"/>
      <c r="AL34" s="41"/>
      <c r="AM34" s="41"/>
      <c r="AN34" s="41"/>
      <c r="AO34" s="41"/>
    </row>
    <row r="35" spans="1:49" ht="13" thickBot="1" x14ac:dyDescent="0.3">
      <c r="B35" s="69"/>
      <c r="C35" s="50"/>
      <c r="D35" s="1"/>
      <c r="E35" s="1"/>
      <c r="K35" s="14"/>
      <c r="N35" s="8"/>
      <c r="O35" s="8"/>
      <c r="P35" s="8"/>
      <c r="Q35" s="8"/>
      <c r="R35" s="8"/>
      <c r="S35" s="8"/>
      <c r="T35" s="8"/>
      <c r="U35" s="8"/>
      <c r="V35" s="8"/>
      <c r="W35" s="8"/>
      <c r="X35" s="8"/>
      <c r="Y35" s="8"/>
      <c r="Z35" s="8"/>
      <c r="AA35" s="8"/>
      <c r="AB35" s="8"/>
      <c r="AC35" s="8"/>
      <c r="AD35" s="8"/>
      <c r="AE35" s="8"/>
      <c r="AH35" s="50"/>
      <c r="AI35" s="41"/>
      <c r="AJ35" s="41"/>
      <c r="AK35" s="41"/>
      <c r="AL35" s="41"/>
      <c r="AM35" s="41"/>
      <c r="AN35" s="41"/>
      <c r="AO35" s="41"/>
    </row>
    <row r="36" spans="1:49" ht="13" customHeight="1" x14ac:dyDescent="0.25">
      <c r="B36" s="701" t="s">
        <v>278</v>
      </c>
      <c r="C36" s="701"/>
      <c r="D36" s="701"/>
      <c r="E36" s="701"/>
      <c r="F36" s="701"/>
      <c r="G36" s="701"/>
      <c r="H36" s="701"/>
      <c r="I36" s="701"/>
      <c r="J36" s="701"/>
      <c r="K36" s="701"/>
      <c r="L36" s="701"/>
      <c r="M36" s="701"/>
      <c r="N36" s="701"/>
      <c r="O36" s="701"/>
      <c r="P36" s="8"/>
      <c r="Q36" s="8"/>
      <c r="R36" s="8"/>
      <c r="S36" s="8"/>
      <c r="T36" s="8"/>
      <c r="U36" s="8"/>
      <c r="V36" s="8"/>
      <c r="W36" s="8"/>
      <c r="X36" s="8"/>
      <c r="Y36" s="8"/>
      <c r="Z36" s="8"/>
      <c r="AA36" s="8"/>
      <c r="AB36" s="8"/>
      <c r="AC36" s="8"/>
      <c r="AD36" s="8"/>
      <c r="AE36" s="8"/>
      <c r="AH36" s="71"/>
      <c r="AI36" s="71"/>
      <c r="AJ36" s="41"/>
      <c r="AK36" s="41"/>
      <c r="AL36" s="41"/>
      <c r="AM36" s="41"/>
      <c r="AN36" s="41"/>
      <c r="AO36" s="41"/>
    </row>
    <row r="37" spans="1:49" ht="13" customHeight="1" thickBot="1" x14ac:dyDescent="0.3">
      <c r="B37" s="702"/>
      <c r="C37" s="702"/>
      <c r="D37" s="702"/>
      <c r="E37" s="702"/>
      <c r="F37" s="702"/>
      <c r="G37" s="702"/>
      <c r="H37" s="702"/>
      <c r="I37" s="702"/>
      <c r="J37" s="702"/>
      <c r="K37" s="702"/>
      <c r="L37" s="702"/>
      <c r="M37" s="702"/>
      <c r="N37" s="702"/>
      <c r="O37" s="702"/>
      <c r="P37" s="8"/>
      <c r="Q37" s="8"/>
      <c r="R37" s="8"/>
      <c r="S37" s="8"/>
      <c r="T37" s="8"/>
      <c r="U37" s="8"/>
      <c r="V37" s="8"/>
      <c r="W37" s="8"/>
      <c r="X37" s="8"/>
      <c r="Y37" s="8"/>
      <c r="Z37" s="8"/>
      <c r="AA37" s="8"/>
      <c r="AB37" s="8"/>
      <c r="AC37" s="8"/>
      <c r="AD37" s="8"/>
      <c r="AE37" s="8"/>
      <c r="AH37" s="41"/>
      <c r="AI37" s="41"/>
      <c r="AJ37" s="41"/>
      <c r="AK37" s="41"/>
      <c r="AL37" s="41"/>
      <c r="AM37" s="41"/>
      <c r="AN37" s="41"/>
      <c r="AO37" s="41"/>
    </row>
    <row r="38" spans="1:49" ht="17.149999999999999" customHeight="1" x14ac:dyDescent="0.3">
      <c r="B38" s="695" t="s">
        <v>32</v>
      </c>
      <c r="C38" s="644"/>
      <c r="D38" s="644"/>
      <c r="E38" s="643" t="s">
        <v>33</v>
      </c>
      <c r="F38" s="644"/>
      <c r="G38" s="644"/>
      <c r="H38" s="643" t="s">
        <v>34</v>
      </c>
      <c r="I38" s="644"/>
      <c r="J38" s="645"/>
      <c r="K38" s="662" t="s">
        <v>35</v>
      </c>
      <c r="L38" s="663"/>
      <c r="M38" s="643" t="s">
        <v>36</v>
      </c>
      <c r="N38" s="644"/>
      <c r="O38" s="645"/>
      <c r="P38" s="1"/>
      <c r="Q38" s="1"/>
      <c r="R38" s="1"/>
      <c r="S38" s="1"/>
      <c r="T38" s="1"/>
      <c r="U38" s="1"/>
      <c r="V38" s="1"/>
      <c r="W38" s="9"/>
      <c r="X38" s="9"/>
      <c r="Y38" s="9"/>
      <c r="Z38" s="9"/>
      <c r="AA38" s="9"/>
      <c r="AB38" s="9"/>
      <c r="AC38" s="9"/>
      <c r="AD38" s="9"/>
      <c r="AE38" s="9"/>
      <c r="AH38" s="41"/>
      <c r="AI38" s="41"/>
      <c r="AJ38" s="41"/>
      <c r="AK38" s="41"/>
      <c r="AL38" s="41"/>
      <c r="AM38" s="41"/>
      <c r="AN38" s="41"/>
      <c r="AO38" s="41"/>
    </row>
    <row r="39" spans="1:49" ht="17.149999999999999" customHeight="1" x14ac:dyDescent="0.4">
      <c r="A39" s="46"/>
      <c r="B39" s="696" t="s">
        <v>118</v>
      </c>
      <c r="C39" s="508"/>
      <c r="D39" s="508"/>
      <c r="E39" s="685" t="s">
        <v>862</v>
      </c>
      <c r="F39" s="686"/>
      <c r="G39" s="686"/>
      <c r="H39" s="685" t="s">
        <v>918</v>
      </c>
      <c r="I39" s="686"/>
      <c r="J39" s="687"/>
      <c r="K39" s="638" t="s">
        <v>921</v>
      </c>
      <c r="L39" s="635"/>
      <c r="M39" s="698" t="s">
        <v>895</v>
      </c>
      <c r="N39" s="699"/>
      <c r="O39" s="700"/>
      <c r="P39" s="8"/>
      <c r="Q39" s="8"/>
      <c r="R39" s="8"/>
      <c r="S39" s="8"/>
      <c r="T39" s="8"/>
      <c r="U39" s="8"/>
      <c r="V39" s="8"/>
      <c r="W39" s="8"/>
      <c r="X39" s="8"/>
      <c r="Y39" s="8"/>
      <c r="Z39" s="8"/>
      <c r="AA39" s="8"/>
      <c r="AB39" s="8"/>
      <c r="AC39" s="8"/>
      <c r="AD39" s="8"/>
      <c r="AE39" s="8"/>
      <c r="AH39" s="41"/>
      <c r="AI39" s="41"/>
      <c r="AJ39" s="41"/>
      <c r="AK39" s="41"/>
      <c r="AL39" s="41"/>
      <c r="AM39" s="41"/>
      <c r="AN39" s="41"/>
      <c r="AO39" s="41"/>
    </row>
    <row r="40" spans="1:49" ht="15.5" x14ac:dyDescent="0.25">
      <c r="A40" s="41"/>
      <c r="B40" s="601" t="s">
        <v>88</v>
      </c>
      <c r="C40" s="676"/>
      <c r="D40" s="676"/>
      <c r="E40" s="668" t="s">
        <v>281</v>
      </c>
      <c r="F40" s="669"/>
      <c r="G40" s="669"/>
      <c r="H40" s="668" t="s">
        <v>919</v>
      </c>
      <c r="I40" s="669"/>
      <c r="J40" s="671"/>
      <c r="K40" s="638" t="s">
        <v>920</v>
      </c>
      <c r="L40" s="635"/>
      <c r="M40" s="353" t="s">
        <v>917</v>
      </c>
      <c r="N40" s="348"/>
      <c r="O40" s="349"/>
      <c r="P40" s="8"/>
      <c r="Q40" s="8"/>
      <c r="R40" s="8"/>
      <c r="S40" s="8"/>
      <c r="T40" s="8"/>
      <c r="U40" s="8"/>
      <c r="V40" s="8"/>
      <c r="W40" s="93"/>
      <c r="X40" s="8"/>
      <c r="Y40" s="8"/>
      <c r="Z40" s="8"/>
      <c r="AA40" s="8"/>
      <c r="AB40" s="8"/>
      <c r="AC40" s="8"/>
      <c r="AD40" s="8"/>
      <c r="AE40" s="8"/>
      <c r="AH40" s="68"/>
      <c r="AI40" s="60"/>
      <c r="AJ40" s="60"/>
      <c r="AK40" s="60"/>
      <c r="AL40" s="60"/>
      <c r="AM40" s="60"/>
      <c r="AN40" s="97"/>
    </row>
    <row r="41" spans="1:49" ht="13" x14ac:dyDescent="0.25">
      <c r="A41" s="41"/>
      <c r="B41" s="677"/>
      <c r="C41" s="676"/>
      <c r="D41" s="676"/>
      <c r="E41" s="678">
        <f ca="1">J32</f>
        <v>16.737472297182428</v>
      </c>
      <c r="F41" s="679"/>
      <c r="G41" s="680"/>
      <c r="H41" s="640">
        <f>K32</f>
        <v>1.818387296684728E-2</v>
      </c>
      <c r="I41" s="681"/>
      <c r="J41" s="681"/>
      <c r="K41" s="639">
        <f>L32</f>
        <v>1.8729673776615347E-2</v>
      </c>
      <c r="L41" s="640"/>
      <c r="M41" s="347">
        <f ca="1">E41+H41+K41</f>
        <v>16.774385843925891</v>
      </c>
      <c r="N41" s="383"/>
      <c r="O41" s="382"/>
      <c r="P41" s="8"/>
      <c r="Q41" s="8"/>
      <c r="R41" s="8"/>
      <c r="S41" s="8"/>
      <c r="T41" s="8"/>
      <c r="U41" s="8"/>
      <c r="V41" s="8"/>
      <c r="W41" s="93"/>
      <c r="X41" s="8"/>
      <c r="Y41" s="8"/>
      <c r="Z41" s="8"/>
      <c r="AA41" s="8"/>
      <c r="AB41" s="8"/>
      <c r="AC41" s="8"/>
      <c r="AD41" s="8"/>
      <c r="AE41" s="8"/>
      <c r="AH41" s="68"/>
      <c r="AI41" s="60"/>
      <c r="AJ41" s="60"/>
      <c r="AK41" s="60"/>
      <c r="AL41" s="60"/>
      <c r="AM41" s="60"/>
      <c r="AN41" s="97"/>
    </row>
    <row r="42" spans="1:49" ht="15.5" x14ac:dyDescent="0.25">
      <c r="A42" s="91"/>
      <c r="B42" s="601" t="s">
        <v>89</v>
      </c>
      <c r="C42" s="676"/>
      <c r="D42" s="676"/>
      <c r="E42" s="668" t="s">
        <v>913</v>
      </c>
      <c r="F42" s="669"/>
      <c r="G42" s="669"/>
      <c r="H42" s="668" t="s">
        <v>919</v>
      </c>
      <c r="I42" s="669"/>
      <c r="J42" s="671"/>
      <c r="K42" s="638" t="s">
        <v>920</v>
      </c>
      <c r="L42" s="635"/>
      <c r="M42" s="353" t="s">
        <v>917</v>
      </c>
      <c r="N42" s="348"/>
      <c r="O42" s="349"/>
      <c r="P42" s="8"/>
      <c r="Q42" s="8"/>
      <c r="R42" s="8"/>
      <c r="S42" s="8"/>
      <c r="T42" s="8"/>
      <c r="U42" s="8"/>
      <c r="V42" s="8"/>
      <c r="W42" s="93"/>
      <c r="X42" s="8"/>
      <c r="Y42" s="8"/>
      <c r="Z42" s="8"/>
      <c r="AA42" s="8"/>
      <c r="AB42" s="8"/>
      <c r="AC42" s="8"/>
      <c r="AD42" s="8"/>
      <c r="AE42" s="8"/>
      <c r="AH42" s="68"/>
      <c r="AI42" s="60"/>
      <c r="AJ42" s="60"/>
      <c r="AK42" s="60"/>
      <c r="AL42" s="60"/>
      <c r="AM42" s="60"/>
      <c r="AN42" s="97"/>
    </row>
    <row r="43" spans="1:49" ht="13" x14ac:dyDescent="0.3">
      <c r="A43" s="58"/>
      <c r="B43" s="677"/>
      <c r="C43" s="676"/>
      <c r="D43" s="676"/>
      <c r="E43" s="682">
        <f ca="1">J32*(E32/D32)</f>
        <v>5.6278253442645489</v>
      </c>
      <c r="F43" s="683"/>
      <c r="G43" s="684"/>
      <c r="H43" s="347">
        <f>K32</f>
        <v>1.818387296684728E-2</v>
      </c>
      <c r="I43" s="681"/>
      <c r="J43" s="681"/>
      <c r="K43" s="639">
        <f>L32</f>
        <v>1.8729673776615347E-2</v>
      </c>
      <c r="L43" s="640"/>
      <c r="M43" s="641">
        <f ca="1">E43+H43+K43</f>
        <v>5.6647388910080112</v>
      </c>
      <c r="N43" s="348"/>
      <c r="O43" s="349"/>
      <c r="P43" s="8"/>
      <c r="Q43" s="8"/>
      <c r="R43" s="8"/>
      <c r="S43" s="8"/>
      <c r="T43" s="8"/>
      <c r="U43" s="8"/>
      <c r="V43" s="8"/>
      <c r="W43" s="8"/>
      <c r="X43" s="8"/>
      <c r="Y43" s="8"/>
      <c r="Z43" s="8"/>
      <c r="AA43" s="8"/>
      <c r="AB43" s="8"/>
      <c r="AC43" s="8"/>
      <c r="AD43" s="8"/>
      <c r="AE43" s="8"/>
      <c r="AH43" s="60"/>
      <c r="AI43" s="60"/>
      <c r="AJ43" s="60"/>
      <c r="AK43" s="60"/>
      <c r="AL43" s="60"/>
      <c r="AM43" s="60"/>
      <c r="AN43" s="97"/>
      <c r="AO43" s="74"/>
      <c r="AP43" s="74"/>
      <c r="AQ43" s="74"/>
      <c r="AR43" s="74"/>
      <c r="AS43" s="74"/>
      <c r="AT43" s="74"/>
      <c r="AU43" s="74"/>
      <c r="AV43" s="74"/>
      <c r="AW43" s="74"/>
    </row>
    <row r="44" spans="1:49" ht="13" x14ac:dyDescent="0.3">
      <c r="A44" s="60"/>
      <c r="B44" s="664" t="s">
        <v>90</v>
      </c>
      <c r="C44" s="665"/>
      <c r="D44" s="665"/>
      <c r="E44" s="668" t="s">
        <v>914</v>
      </c>
      <c r="F44" s="669"/>
      <c r="G44" s="669"/>
      <c r="H44" s="670" t="s">
        <v>29</v>
      </c>
      <c r="I44" s="669"/>
      <c r="J44" s="671"/>
      <c r="K44" s="634" t="s">
        <v>29</v>
      </c>
      <c r="L44" s="635"/>
      <c r="M44" s="353" t="s">
        <v>917</v>
      </c>
      <c r="N44" s="348"/>
      <c r="O44" s="349"/>
      <c r="P44" s="8"/>
      <c r="Q44" s="8"/>
      <c r="R44" s="8"/>
      <c r="S44" s="8"/>
      <c r="T44" s="8"/>
      <c r="U44" s="8"/>
      <c r="V44" s="8"/>
      <c r="W44" s="8"/>
      <c r="X44" s="8"/>
      <c r="Y44" s="8"/>
      <c r="Z44" s="8"/>
      <c r="AA44" s="8"/>
      <c r="AB44" s="8"/>
      <c r="AC44" s="8"/>
      <c r="AD44" s="8"/>
      <c r="AE44" s="8"/>
      <c r="AH44" s="94"/>
      <c r="AK44" s="9"/>
      <c r="AO44" s="1"/>
      <c r="AT44" s="1"/>
      <c r="AU44" s="1"/>
      <c r="AV44" s="1"/>
      <c r="AW44" s="1"/>
    </row>
    <row r="45" spans="1:49" ht="13.5" thickBot="1" x14ac:dyDescent="0.35">
      <c r="A45" s="94"/>
      <c r="B45" s="666"/>
      <c r="C45" s="667"/>
      <c r="D45" s="667"/>
      <c r="E45" s="672">
        <f ca="1">J32*(F32/D32)</f>
        <v>11.109646952917879</v>
      </c>
      <c r="F45" s="673"/>
      <c r="G45" s="674"/>
      <c r="H45" s="336">
        <v>0</v>
      </c>
      <c r="I45" s="675"/>
      <c r="J45" s="675"/>
      <c r="K45" s="636">
        <v>0</v>
      </c>
      <c r="L45" s="637"/>
      <c r="M45" s="642">
        <f ca="1">E45+H45+K45</f>
        <v>11.109646952917879</v>
      </c>
      <c r="N45" s="337"/>
      <c r="O45" s="338"/>
      <c r="P45" s="8"/>
      <c r="Q45" s="8"/>
      <c r="R45" s="8"/>
      <c r="S45" s="8"/>
      <c r="T45" s="8"/>
      <c r="U45" s="8"/>
      <c r="V45" s="8"/>
      <c r="W45" s="8"/>
      <c r="X45" s="8"/>
      <c r="Y45" s="8"/>
      <c r="Z45" s="8"/>
      <c r="AA45" s="8"/>
      <c r="AB45" s="8"/>
      <c r="AC45" s="8"/>
      <c r="AD45" s="8"/>
      <c r="AE45" s="8"/>
      <c r="AH45" s="101"/>
      <c r="AI45" s="69"/>
      <c r="AJ45" s="1"/>
      <c r="AK45" s="15"/>
      <c r="AL45" s="9"/>
      <c r="AM45" s="74"/>
      <c r="AO45" s="9"/>
      <c r="AT45" s="9"/>
      <c r="AU45" s="9"/>
      <c r="AV45" s="9"/>
    </row>
    <row r="46" spans="1:49" ht="13" x14ac:dyDescent="0.3">
      <c r="A46" s="57"/>
      <c r="C46" s="57"/>
      <c r="D46" s="57"/>
      <c r="E46" s="57"/>
      <c r="F46" s="84"/>
      <c r="G46" s="57"/>
      <c r="H46" s="57"/>
      <c r="I46" s="84"/>
      <c r="K46" s="14"/>
      <c r="N46" s="8"/>
      <c r="O46" s="8"/>
      <c r="P46" s="8"/>
      <c r="Q46" s="8"/>
      <c r="R46" s="8"/>
      <c r="S46" s="8"/>
      <c r="T46" s="8"/>
      <c r="U46" s="8"/>
      <c r="V46" s="8"/>
      <c r="W46" s="8"/>
      <c r="X46" s="8"/>
      <c r="Y46" s="8"/>
      <c r="Z46" s="8"/>
      <c r="AA46" s="8"/>
      <c r="AB46" s="8"/>
      <c r="AC46" s="8"/>
      <c r="AD46" s="8"/>
      <c r="AE46" s="8"/>
      <c r="AH46" s="50"/>
      <c r="AI46" s="1"/>
      <c r="AK46" s="90"/>
      <c r="AL46" s="1"/>
      <c r="AM46" s="90"/>
      <c r="AN46" s="90"/>
      <c r="AT46" s="9"/>
      <c r="AU46" s="9"/>
      <c r="AV46" s="9"/>
    </row>
    <row r="47" spans="1:49" ht="13" x14ac:dyDescent="0.3">
      <c r="A47" s="68"/>
      <c r="B47" s="68"/>
      <c r="C47" s="68"/>
      <c r="D47" s="68"/>
      <c r="F47" s="68"/>
      <c r="G47" s="68"/>
      <c r="H47" s="68"/>
      <c r="I47" s="68"/>
      <c r="K47" s="14"/>
      <c r="N47" s="8"/>
      <c r="O47" s="8"/>
      <c r="P47" s="8"/>
      <c r="Q47" s="8"/>
      <c r="R47" s="8"/>
      <c r="S47" s="8"/>
      <c r="T47" s="8"/>
      <c r="U47" s="8"/>
      <c r="V47" s="8"/>
      <c r="W47" s="8"/>
      <c r="X47" s="8"/>
      <c r="Y47" s="8"/>
      <c r="Z47" s="8"/>
      <c r="AA47" s="8"/>
      <c r="AB47" s="8"/>
      <c r="AC47" s="8"/>
      <c r="AD47" s="8"/>
      <c r="AE47" s="8"/>
      <c r="AH47" s="50"/>
      <c r="AI47" s="1"/>
      <c r="AK47" s="90"/>
      <c r="AL47" s="1"/>
      <c r="AM47" s="90"/>
      <c r="AN47" s="90"/>
      <c r="AT47" s="9"/>
      <c r="AU47" s="9"/>
      <c r="AV47" s="15"/>
    </row>
    <row r="48" spans="1:49" ht="13" x14ac:dyDescent="0.25">
      <c r="A48" s="68"/>
      <c r="B48" s="68"/>
      <c r="C48" s="1"/>
      <c r="F48" s="1"/>
      <c r="G48" s="1"/>
      <c r="H48" s="1"/>
      <c r="I48" s="1"/>
      <c r="AH48" s="50"/>
      <c r="AI48" s="1"/>
      <c r="AK48" s="59"/>
      <c r="AL48" s="1"/>
      <c r="AM48" s="90"/>
      <c r="AN48" s="90"/>
      <c r="AT48" s="1"/>
      <c r="AU48" s="50"/>
      <c r="AV48" s="46"/>
    </row>
    <row r="49" spans="1:9" x14ac:dyDescent="0.25">
      <c r="A49" s="1"/>
      <c r="B49" s="1"/>
      <c r="C49" s="1"/>
      <c r="F49" s="1"/>
      <c r="G49" s="1"/>
      <c r="H49" s="1"/>
      <c r="I49" s="1"/>
    </row>
    <row r="50" spans="1:9" x14ac:dyDescent="0.25">
      <c r="A50" s="1"/>
      <c r="B50" s="1"/>
      <c r="C50" s="107"/>
      <c r="D50" s="117"/>
      <c r="E50" s="118"/>
      <c r="F50" s="107"/>
      <c r="G50" s="117"/>
      <c r="H50" s="118"/>
      <c r="I50" s="107"/>
    </row>
    <row r="51" spans="1:9" x14ac:dyDescent="0.25">
      <c r="A51" s="1"/>
      <c r="B51" s="1"/>
      <c r="C51" s="1"/>
      <c r="D51" s="1"/>
      <c r="E51" s="1"/>
      <c r="F51" s="1"/>
      <c r="G51" s="1"/>
      <c r="H51" s="1"/>
      <c r="I51" s="1"/>
    </row>
    <row r="52" spans="1:9" x14ac:dyDescent="0.25">
      <c r="C52" s="59"/>
      <c r="D52" s="59"/>
      <c r="E52" s="59"/>
      <c r="F52" s="59"/>
      <c r="G52" s="59"/>
      <c r="H52" s="59"/>
      <c r="I52" s="59"/>
    </row>
    <row r="53" spans="1:9" x14ac:dyDescent="0.25">
      <c r="A53" s="53"/>
      <c r="B53" s="53"/>
      <c r="C53" s="53"/>
      <c r="D53" s="103"/>
      <c r="E53" s="53"/>
      <c r="F53" s="53"/>
      <c r="G53" s="84"/>
      <c r="I53" s="53"/>
    </row>
    <row r="54" spans="1:9" x14ac:dyDescent="0.25">
      <c r="A54" s="112"/>
      <c r="C54" s="59"/>
      <c r="D54" s="59"/>
      <c r="E54" s="59"/>
      <c r="F54" s="59"/>
      <c r="G54" s="59"/>
      <c r="H54" s="59"/>
      <c r="I54" s="59"/>
    </row>
    <row r="55" spans="1:9" x14ac:dyDescent="0.25">
      <c r="A55" s="112"/>
      <c r="C55" s="59"/>
      <c r="D55" s="59"/>
      <c r="E55" s="59"/>
      <c r="F55" s="59"/>
      <c r="G55" s="59"/>
      <c r="H55" s="59"/>
      <c r="I55" s="59"/>
    </row>
    <row r="56" spans="1:9" x14ac:dyDescent="0.25">
      <c r="A56" s="101"/>
      <c r="C56" s="59"/>
      <c r="D56" s="59"/>
      <c r="E56" s="59"/>
      <c r="F56" s="59"/>
      <c r="G56" s="59"/>
      <c r="H56" s="59"/>
      <c r="I56" s="59"/>
    </row>
    <row r="57" spans="1:9" x14ac:dyDescent="0.25">
      <c r="A57" s="112"/>
      <c r="C57" s="59"/>
      <c r="D57" s="59"/>
      <c r="E57" s="59"/>
      <c r="F57" s="59"/>
      <c r="G57" s="59"/>
      <c r="H57" s="59"/>
      <c r="I57" s="59"/>
    </row>
    <row r="58" spans="1:9" x14ac:dyDescent="0.25">
      <c r="A58" s="112"/>
      <c r="C58" s="59"/>
      <c r="D58" s="59"/>
      <c r="E58" s="59"/>
      <c r="F58" s="59"/>
      <c r="G58" s="59"/>
      <c r="H58" s="59"/>
      <c r="I58" s="59"/>
    </row>
    <row r="59" spans="1:9" x14ac:dyDescent="0.25">
      <c r="A59" s="112"/>
      <c r="C59" s="59"/>
      <c r="D59" s="59"/>
      <c r="E59" s="59"/>
      <c r="F59" s="59"/>
      <c r="G59" s="59"/>
      <c r="H59" s="59"/>
      <c r="I59" s="59"/>
    </row>
    <row r="60" spans="1:9" x14ac:dyDescent="0.25">
      <c r="A60" s="91"/>
      <c r="B60" s="69"/>
      <c r="C60" s="69"/>
      <c r="D60" s="69"/>
      <c r="E60" s="69"/>
      <c r="F60" s="69"/>
      <c r="G60" s="69"/>
      <c r="H60" s="69"/>
      <c r="I60" s="69"/>
    </row>
    <row r="61" spans="1:9" x14ac:dyDescent="0.25">
      <c r="C61" s="59"/>
      <c r="D61" s="59"/>
      <c r="E61" s="59"/>
      <c r="F61" s="59"/>
      <c r="G61" s="1"/>
      <c r="H61" s="59"/>
      <c r="I61" s="59"/>
    </row>
    <row r="62" spans="1:9" ht="13" x14ac:dyDescent="0.3">
      <c r="A62" s="9"/>
      <c r="B62" s="1"/>
      <c r="C62" s="1"/>
      <c r="D62" s="1"/>
      <c r="E62" s="1"/>
      <c r="F62" s="1"/>
      <c r="G62" s="1"/>
    </row>
    <row r="64" spans="1:9" ht="13" x14ac:dyDescent="0.25">
      <c r="A64" s="94"/>
      <c r="B64" s="94"/>
      <c r="C64" s="94"/>
      <c r="D64" s="94"/>
      <c r="E64" s="94"/>
      <c r="F64" s="94"/>
      <c r="G64" s="94"/>
      <c r="H64" s="94"/>
      <c r="I64" s="94"/>
    </row>
    <row r="65" spans="1:9" x14ac:dyDescent="0.25">
      <c r="A65" s="57"/>
      <c r="B65" s="57"/>
      <c r="C65" s="57"/>
      <c r="E65" s="84"/>
      <c r="F65" s="1"/>
      <c r="G65" s="1"/>
      <c r="H65" s="1"/>
      <c r="I65" s="84"/>
    </row>
    <row r="66" spans="1:9" ht="13" x14ac:dyDescent="0.3">
      <c r="A66" s="68"/>
      <c r="B66" s="68"/>
      <c r="C66" s="68"/>
      <c r="D66" s="68"/>
      <c r="E66" s="9"/>
      <c r="F66" s="9"/>
      <c r="G66" s="9"/>
      <c r="H66" s="9"/>
      <c r="I66" s="9"/>
    </row>
    <row r="67" spans="1:9" x14ac:dyDescent="0.25">
      <c r="A67" s="97"/>
      <c r="B67" s="97"/>
      <c r="C67" s="97"/>
      <c r="D67" s="97"/>
      <c r="E67" s="84"/>
      <c r="I67" s="84"/>
    </row>
    <row r="68" spans="1:9" x14ac:dyDescent="0.25">
      <c r="A68" s="69"/>
      <c r="B68" s="69"/>
      <c r="C68" s="69"/>
      <c r="E68" s="59"/>
      <c r="F68" s="1"/>
      <c r="G68" s="1"/>
      <c r="H68" s="1"/>
      <c r="I68" s="8"/>
    </row>
    <row r="69" spans="1:9" x14ac:dyDescent="0.25">
      <c r="A69" s="69"/>
      <c r="B69" s="69"/>
      <c r="C69" s="69"/>
      <c r="E69" s="59"/>
      <c r="F69" s="1"/>
      <c r="G69" s="1"/>
      <c r="H69" s="1"/>
      <c r="I69" s="8"/>
    </row>
    <row r="70" spans="1:9" x14ac:dyDescent="0.25">
      <c r="A70" s="101"/>
      <c r="B70" s="69"/>
      <c r="C70" s="69"/>
      <c r="E70" s="59"/>
      <c r="F70" s="1"/>
      <c r="G70" s="1"/>
      <c r="H70" s="1"/>
      <c r="I70" s="8"/>
    </row>
    <row r="71" spans="1:9" x14ac:dyDescent="0.25">
      <c r="A71" s="69"/>
      <c r="B71" s="69"/>
      <c r="C71" s="69"/>
      <c r="E71" s="59"/>
      <c r="F71" s="1"/>
      <c r="G71" s="1"/>
      <c r="H71" s="1"/>
      <c r="I71" s="8"/>
    </row>
    <row r="72" spans="1:9" x14ac:dyDescent="0.25">
      <c r="A72" s="91"/>
      <c r="B72" s="69"/>
      <c r="C72" s="69"/>
      <c r="D72" s="69"/>
      <c r="E72" s="69"/>
      <c r="F72" s="69"/>
      <c r="G72" s="69"/>
      <c r="H72" s="69"/>
      <c r="I72" s="69"/>
    </row>
    <row r="77" spans="1:9" x14ac:dyDescent="0.25">
      <c r="A77" s="57"/>
      <c r="B77" s="57"/>
      <c r="C77" s="57"/>
      <c r="D77" s="57"/>
      <c r="E77" s="57"/>
      <c r="F77" s="57"/>
      <c r="G77" s="57"/>
      <c r="H77" s="57"/>
      <c r="I77" s="57"/>
    </row>
    <row r="78" spans="1:9" ht="13" x14ac:dyDescent="0.25">
      <c r="A78" s="67"/>
      <c r="B78" s="67"/>
      <c r="C78" s="67"/>
      <c r="D78" s="68"/>
      <c r="E78" s="68"/>
      <c r="F78" s="68"/>
      <c r="G78" s="68"/>
      <c r="I78" s="68"/>
    </row>
    <row r="79" spans="1:9" ht="13" x14ac:dyDescent="0.25">
      <c r="A79" s="67"/>
      <c r="B79" s="67"/>
      <c r="C79" s="67"/>
      <c r="D79" s="57"/>
      <c r="G79" s="57"/>
      <c r="H79" s="57"/>
      <c r="I79" s="57"/>
    </row>
    <row r="80" spans="1:9" x14ac:dyDescent="0.25">
      <c r="A80" s="69"/>
      <c r="B80" s="69"/>
      <c r="C80" s="69"/>
      <c r="D80" s="59"/>
      <c r="E80" s="1"/>
      <c r="F80" s="1"/>
      <c r="G80" s="59"/>
      <c r="H80" s="1"/>
      <c r="I80" s="1"/>
    </row>
    <row r="81" spans="1:9" x14ac:dyDescent="0.25">
      <c r="A81" s="69"/>
      <c r="B81" s="69"/>
      <c r="C81" s="69"/>
      <c r="D81" s="59"/>
      <c r="E81" s="1"/>
      <c r="F81" s="1"/>
      <c r="G81" s="59"/>
      <c r="H81" s="1"/>
      <c r="I81" s="1"/>
    </row>
    <row r="82" spans="1:9" x14ac:dyDescent="0.25">
      <c r="A82" s="69"/>
      <c r="B82" s="69"/>
      <c r="C82" s="69"/>
      <c r="D82" s="59"/>
      <c r="E82" s="1"/>
      <c r="F82" s="1"/>
      <c r="G82" s="59"/>
      <c r="H82" s="1"/>
      <c r="I82" s="1"/>
    </row>
  </sheetData>
  <mergeCells count="80">
    <mergeCell ref="B39:D39"/>
    <mergeCell ref="E39:G39"/>
    <mergeCell ref="B3:M4"/>
    <mergeCell ref="M6:M8"/>
    <mergeCell ref="M9:M11"/>
    <mergeCell ref="M38:O38"/>
    <mergeCell ref="M39:O39"/>
    <mergeCell ref="B36:O37"/>
    <mergeCell ref="B27:C27"/>
    <mergeCell ref="B17:C17"/>
    <mergeCell ref="B12:J12"/>
    <mergeCell ref="B13:C13"/>
    <mergeCell ref="B14:C14"/>
    <mergeCell ref="B15:C15"/>
    <mergeCell ref="B16:C16"/>
    <mergeCell ref="J6:J8"/>
    <mergeCell ref="H39:J39"/>
    <mergeCell ref="B32:C32"/>
    <mergeCell ref="B19:C19"/>
    <mergeCell ref="B22:J22"/>
    <mergeCell ref="B23:C23"/>
    <mergeCell ref="B24:C24"/>
    <mergeCell ref="B25:C25"/>
    <mergeCell ref="B26:C26"/>
    <mergeCell ref="B28:C28"/>
    <mergeCell ref="B20:C20"/>
    <mergeCell ref="B21:C21"/>
    <mergeCell ref="B31:C31"/>
    <mergeCell ref="B29:C29"/>
    <mergeCell ref="B30:C30"/>
    <mergeCell ref="B38:D38"/>
    <mergeCell ref="E38:G38"/>
    <mergeCell ref="B42:D43"/>
    <mergeCell ref="E42:G42"/>
    <mergeCell ref="H42:J42"/>
    <mergeCell ref="E43:G43"/>
    <mergeCell ref="H43:J43"/>
    <mergeCell ref="B40:D41"/>
    <mergeCell ref="E40:G40"/>
    <mergeCell ref="H40:J40"/>
    <mergeCell ref="E41:G41"/>
    <mergeCell ref="H41:J41"/>
    <mergeCell ref="B44:D45"/>
    <mergeCell ref="E44:G44"/>
    <mergeCell ref="H44:J44"/>
    <mergeCell ref="E45:G45"/>
    <mergeCell ref="H45:J45"/>
    <mergeCell ref="K9:K11"/>
    <mergeCell ref="L9:L11"/>
    <mergeCell ref="K38:L38"/>
    <mergeCell ref="K6:K8"/>
    <mergeCell ref="L6:L8"/>
    <mergeCell ref="H38:J38"/>
    <mergeCell ref="B5:C5"/>
    <mergeCell ref="B6:C11"/>
    <mergeCell ref="D6:F8"/>
    <mergeCell ref="G6:G11"/>
    <mergeCell ref="H6:H11"/>
    <mergeCell ref="I6:I8"/>
    <mergeCell ref="B18:C18"/>
    <mergeCell ref="E9:E11"/>
    <mergeCell ref="F9:F11"/>
    <mergeCell ref="D9:D11"/>
    <mergeCell ref="I9:I11"/>
    <mergeCell ref="J9:J11"/>
    <mergeCell ref="N14:Q20"/>
    <mergeCell ref="N24:Q30"/>
    <mergeCell ref="K44:L44"/>
    <mergeCell ref="K45:L45"/>
    <mergeCell ref="K39:L39"/>
    <mergeCell ref="K40:L40"/>
    <mergeCell ref="K41:L41"/>
    <mergeCell ref="K42:L42"/>
    <mergeCell ref="K43:L43"/>
    <mergeCell ref="M40:O40"/>
    <mergeCell ref="M42:O42"/>
    <mergeCell ref="M44:O44"/>
    <mergeCell ref="M41:O41"/>
    <mergeCell ref="M43:O43"/>
    <mergeCell ref="M45:O45"/>
  </mergeCells>
  <dataValidations count="2">
    <dataValidation type="list" allowBlank="1" showInputMessage="1" showErrorMessage="1" sqref="AJ45" xr:uid="{00000000-0002-0000-0700-000000000000}">
      <formula1>Local</formula1>
    </dataValidation>
    <dataValidation type="whole" allowBlank="1" showInputMessage="1" showErrorMessage="1" sqref="I13:I21" xr:uid="{00000000-0002-0000-0700-000001000000}">
      <formula1>0</formula1>
      <formula2>78300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FEB9F-091E-4E6B-8FF4-869D346B3C41}">
  <ds:schemaRefs>
    <ds:schemaRef ds:uri="http://www.w3.org/XML/1998/namespace"/>
    <ds:schemaRef ds:uri="http://schemas.microsoft.com/office/infopath/2007/PartnerControls"/>
    <ds:schemaRef ds:uri="http://schemas.microsoft.com/office/2006/documentManagement/types"/>
    <ds:schemaRef ds:uri="http://purl.org/dc/elements/1.1/"/>
    <ds:schemaRef ds:uri="http://schemas.microsoft.com/sharepoint/v3"/>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307576E-EB41-4D86-A3DE-28737CAEB6F6}">
  <ds:schemaRefs>
    <ds:schemaRef ds:uri="http://schemas.microsoft.com/sharepoint/v3/contenttype/forms"/>
  </ds:schemaRefs>
</ds:datastoreItem>
</file>

<file path=customXml/itemProps3.xml><?xml version="1.0" encoding="utf-8"?>
<ds:datastoreItem xmlns:ds="http://schemas.openxmlformats.org/officeDocument/2006/customXml" ds:itemID="{9785BC20-BB2B-4835-B79E-F974CE238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Sheet2</vt:lpstr>
      <vt:lpstr>Instructions</vt:lpstr>
      <vt:lpstr>Segment_1</vt:lpstr>
      <vt:lpstr>Ped&amp;Bike (Segments)</vt:lpstr>
      <vt:lpstr>Intersection_1</vt:lpstr>
      <vt:lpstr>Ped&amp;Bike (Intersections)</vt:lpstr>
      <vt:lpstr>Ped&amp;Bike (Segment Results)</vt:lpstr>
      <vt:lpstr>Ped&amp;Bike (Intersection Results)</vt:lpstr>
      <vt:lpstr>Summary Tables (Site Totals)</vt:lpstr>
      <vt:lpstr>Summary Tables (Project Total)</vt:lpstr>
      <vt:lpstr>Reference Tables (Segment)</vt:lpstr>
      <vt:lpstr>Reference Tables (Intersection)</vt:lpstr>
      <vt:lpstr>Reference Tables (Ped Segment)</vt:lpstr>
      <vt:lpstr>Reference Tables (Bike Segment)</vt:lpstr>
      <vt:lpstr>Reference Tables (Ped Intersct)</vt:lpstr>
      <vt:lpstr>ReferenceTables (Bike Intersct)</vt:lpstr>
      <vt:lpstr>Sheet1</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Shld2</vt:lpstr>
      <vt:lpstr>SpEnforce</vt:lpstr>
      <vt:lpstr>Spiral</vt:lpstr>
      <vt:lpstr>Spiral2</vt:lpstr>
      <vt:lpstr>SSlope</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Nachtrieb, Rebecca</cp:lastModifiedBy>
  <cp:lastPrinted>2010-06-17T15:42:43Z</cp:lastPrinted>
  <dcterms:created xsi:type="dcterms:W3CDTF">2009-11-22T21:24:43Z</dcterms:created>
  <dcterms:modified xsi:type="dcterms:W3CDTF">2023-08-01T18:54:35Z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