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IDozC6eAm5LhfSuE9RxWAHe7R/TOHTeIjQ+kuF7fgjBmVPH2m+vgm5n6c4WhX2MeUM0jwgW4jNzydrAjTdabuQ==" workbookSaltValue="6It3dGvI8PiBZdjcQmhjyA==" workbookSpinCount="100000" lockStructure="1"/>
  <bookViews>
    <workbookView xWindow="0" yWindow="0" windowWidth="21570" windowHeight="7350"/>
  </bookViews>
  <sheets>
    <sheet name="7 percent discount" sheetId="4" r:id="rId1"/>
    <sheet name="3 percent discount" sheetId="7" r:id="rId2"/>
    <sheet name="Blank" sheetId="8" r:id="rId3"/>
    <sheet name="List of Variables" sheetId="9" r:id="rId4"/>
  </sheets>
  <definedNames>
    <definedName name="Benefits" localSheetId="1">'3 percent discount'!$D$15</definedName>
    <definedName name="Benefits" localSheetId="0">'7 percent discount'!$D$15</definedName>
    <definedName name="Benefits" localSheetId="2">Blank!$D$15</definedName>
    <definedName name="Benefits">#REF!</definedName>
    <definedName name="i" localSheetId="1">'3 percent discount'!$D$13</definedName>
    <definedName name="i" localSheetId="0">'7 percent discount'!$D$13</definedName>
    <definedName name="i" localSheetId="2">Blank!$D$13</definedName>
    <definedName name="i">#REF!</definedName>
    <definedName name="_xlnm.Print_Area" localSheetId="1">'3 percent discount'!$B$6:$T$33</definedName>
    <definedName name="_xlnm.Print_Area" localSheetId="0">'7 percent discount'!$B$6:$T$33</definedName>
    <definedName name="_xlnm.Print_Area" localSheetId="2">Blank!$B$6:$T$33</definedName>
    <definedName name="PUL" localSheetId="1">'3 percent discount'!$D$12</definedName>
    <definedName name="PUL" localSheetId="0">'7 percent discount'!$D$12</definedName>
    <definedName name="PUL" localSheetId="2">Blank!$D$12</definedName>
    <definedName name="PUL">#REF!</definedName>
    <definedName name="PVC" localSheetId="1">'3 percent discount'!$D$14</definedName>
    <definedName name="PVC" localSheetId="0">'7 percent discount'!$D$14</definedName>
    <definedName name="PVC" localSheetId="2">Blank!$D$14</definedName>
    <definedName name="PVC">#REF!</definedName>
    <definedName name="Trmax" localSheetId="1">'3 percent discount'!$D$10</definedName>
    <definedName name="Trmax" localSheetId="0">'7 percent discount'!$D$10</definedName>
    <definedName name="Trmax" localSheetId="2">Blank!$D$10</definedName>
    <definedName name="Trmax">#REF!</definedName>
    <definedName name="Trnd" localSheetId="1">'3 percent discount'!$D$8</definedName>
    <definedName name="Trnd" localSheetId="0">'7 percent discount'!$D$8</definedName>
    <definedName name="Trnd" localSheetId="2">Blank!$D$8</definedName>
    <definedName name="Trnd">#REF!</definedName>
    <definedName name="Trnext" localSheetId="1">'3 percent discount'!$D$9</definedName>
    <definedName name="Trnext" localSheetId="0">'7 percent discount'!$D$9</definedName>
    <definedName name="Trnext" localSheetId="2">Blank!$D$9</definedName>
    <definedName name="Trnex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" i="8" l="1"/>
  <c r="I9" i="8"/>
  <c r="I10" i="8"/>
  <c r="AG10" i="8" s="1"/>
  <c r="D14" i="8"/>
  <c r="Y11" i="8"/>
  <c r="AH10" i="8"/>
  <c r="AF10" i="8"/>
  <c r="AB10" i="8"/>
  <c r="Z10" i="8"/>
  <c r="J10" i="8"/>
  <c r="F10" i="8"/>
  <c r="AH9" i="8"/>
  <c r="AF9" i="8"/>
  <c r="Z9" i="8"/>
  <c r="J9" i="8"/>
  <c r="F9" i="8"/>
  <c r="AH8" i="8"/>
  <c r="AF8" i="8"/>
  <c r="Z8" i="8"/>
  <c r="J8" i="8"/>
  <c r="AB12" i="8" s="1"/>
  <c r="AA7" i="8"/>
  <c r="H7" i="8"/>
  <c r="F11" i="8" l="1"/>
  <c r="D15" i="8" s="1"/>
  <c r="K13" i="8" s="1"/>
  <c r="Y12" i="8"/>
  <c r="K9" i="8"/>
  <c r="K10" i="8"/>
  <c r="I7" i="8"/>
  <c r="AG8" i="8"/>
  <c r="AG9" i="8"/>
  <c r="W7" i="4"/>
  <c r="O8" i="4"/>
  <c r="O11" i="4" s="1"/>
  <c r="U8" i="4"/>
  <c r="W8" i="4"/>
  <c r="O9" i="4"/>
  <c r="U9" i="4"/>
  <c r="W9" i="4"/>
  <c r="O10" i="4"/>
  <c r="Q10" i="4"/>
  <c r="U10" i="4"/>
  <c r="W10" i="4"/>
  <c r="K8" i="8" l="1"/>
  <c r="K11" i="8" s="1"/>
  <c r="K12" i="8" s="1"/>
  <c r="Z7" i="8"/>
  <c r="AB13" i="8"/>
  <c r="D14" i="7"/>
  <c r="Y10" i="7"/>
  <c r="W10" i="7"/>
  <c r="S10" i="7"/>
  <c r="Q10" i="7"/>
  <c r="J10" i="7"/>
  <c r="I10" i="7"/>
  <c r="X10" i="7" s="1"/>
  <c r="F10" i="7"/>
  <c r="Y9" i="7"/>
  <c r="W9" i="7"/>
  <c r="Q9" i="7"/>
  <c r="J9" i="7"/>
  <c r="I9" i="7"/>
  <c r="K10" i="7" s="1"/>
  <c r="F9" i="7"/>
  <c r="Y8" i="7"/>
  <c r="W8" i="7"/>
  <c r="Q8" i="7"/>
  <c r="P11" i="7" s="1"/>
  <c r="J8" i="7"/>
  <c r="S12" i="7" s="1"/>
  <c r="I8" i="7"/>
  <c r="W7" i="7"/>
  <c r="H7" i="7"/>
  <c r="K14" i="8" l="1"/>
  <c r="K15" i="8" s="1"/>
  <c r="Y13" i="8"/>
  <c r="Y14" i="8" s="1"/>
  <c r="Y16" i="8" s="1"/>
  <c r="K9" i="7"/>
  <c r="F11" i="7"/>
  <c r="D15" i="7" s="1"/>
  <c r="K13" i="7" s="1"/>
  <c r="P12" i="7"/>
  <c r="I7" i="7"/>
  <c r="X8" i="7"/>
  <c r="X9" i="7"/>
  <c r="K8" i="7" l="1"/>
  <c r="K11" i="7" s="1"/>
  <c r="K12" i="7" s="1"/>
  <c r="V7" i="7"/>
  <c r="S13" i="7"/>
  <c r="K14" i="7" l="1"/>
  <c r="K15" i="7" s="1"/>
  <c r="P13" i="7"/>
  <c r="P14" i="7" s="1"/>
  <c r="P16" i="7" s="1"/>
  <c r="D14" i="4" l="1"/>
  <c r="O12" i="4" s="1"/>
  <c r="J10" i="4"/>
  <c r="I10" i="4"/>
  <c r="V10" i="4" s="1"/>
  <c r="F10" i="4"/>
  <c r="J9" i="4"/>
  <c r="I9" i="4"/>
  <c r="V9" i="4" s="1"/>
  <c r="F9" i="4"/>
  <c r="J8" i="4"/>
  <c r="R12" i="4" s="1"/>
  <c r="I8" i="4"/>
  <c r="H7" i="4"/>
  <c r="I7" i="4" l="1"/>
  <c r="V8" i="4"/>
  <c r="K10" i="4"/>
  <c r="F11" i="4"/>
  <c r="D15" i="4" s="1"/>
  <c r="K13" i="4" s="1"/>
  <c r="K9" i="4"/>
  <c r="V7" i="4" l="1"/>
  <c r="R13" i="4"/>
  <c r="K8" i="4"/>
  <c r="K11" i="4" s="1"/>
  <c r="K12" i="4" s="1"/>
  <c r="O13" i="4" l="1"/>
  <c r="O14" i="4" s="1"/>
  <c r="O16" i="4" s="1"/>
  <c r="K14" i="4"/>
  <c r="K15" i="4" s="1"/>
</calcChain>
</file>

<file path=xl/comments1.xml><?xml version="1.0" encoding="utf-8"?>
<comments xmlns="http://schemas.openxmlformats.org/spreadsheetml/2006/main">
  <authors>
    <author>Author</author>
  </authors>
  <commentList>
    <comment ref="D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the event return period in years for which no damages are likely to occur. This likely will be the design return period. See Chapter 7 and Appendix G of the Guidebook.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the value of damages in $ resulting from the event with the return period T</t>
        </r>
        <r>
          <rPr>
            <vertAlign val="subscript"/>
            <sz val="9"/>
            <color indexed="81"/>
            <rFont val="Tahoma"/>
            <family val="2"/>
          </rPr>
          <t>cnd</t>
        </r>
        <r>
          <rPr>
            <sz val="9"/>
            <color indexed="81"/>
            <rFont val="Tahoma"/>
            <family val="2"/>
          </rPr>
          <t>. For no damages the value should be $0. See Chapter 7 and Appendix G of the Guidebook.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the flow in cfs of the event for which no damages will occur. See Chapter 7 and Appendix G of the Guidebook.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the flow in cfs that corresponds to the future event that has the same return period T</t>
        </r>
        <r>
          <rPr>
            <vertAlign val="subscript"/>
            <sz val="9"/>
            <color indexed="81"/>
            <rFont val="Tahoma"/>
            <family val="2"/>
          </rPr>
          <t>cnd</t>
        </r>
        <r>
          <rPr>
            <sz val="9"/>
            <color indexed="81"/>
            <rFont val="Tahoma"/>
            <family val="2"/>
          </rPr>
          <t>. See Chapter 7 and Appendix G of the Guidebook.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the event return period in years for which some damages are likely to occur. This may be the next higher return period from the design return period. See Chapter 7 and Appendix G of the Guidebook.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the value in $ of damages resulting from a moderate level event having the return period T</t>
        </r>
        <r>
          <rPr>
            <vertAlign val="subscript"/>
            <sz val="9"/>
            <color indexed="81"/>
            <rFont val="Tahoma"/>
            <family val="2"/>
          </rPr>
          <t>cmod</t>
        </r>
        <r>
          <rPr>
            <sz val="9"/>
            <color indexed="81"/>
            <rFont val="Tahoma"/>
            <family val="2"/>
          </rPr>
          <t>. See Chapter 7 and Appendix G of the Guidebook.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the flow in cfs for which moderate damages will occur. See Chapter 7 and Appendix G of the Guidebook.</t>
        </r>
      </text>
    </comment>
    <comment ref="H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the flow in cfs for the future event having the same return period as T</t>
        </r>
        <r>
          <rPr>
            <vertAlign val="subscript"/>
            <sz val="9"/>
            <color indexed="81"/>
            <rFont val="Tahoma"/>
            <family val="2"/>
          </rPr>
          <t>cmod</t>
        </r>
        <r>
          <rPr>
            <sz val="9"/>
            <color indexed="81"/>
            <rFont val="Tahoma"/>
            <family val="2"/>
          </rPr>
          <t>. See Chapter 7 and Appendix G of the Guidebook.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the event return period in years for which damages likely will be maximized. See Chapter 7 and Appendix G of the Guidebook.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the $ value of damages resulting from an event having the return period T</t>
        </r>
        <r>
          <rPr>
            <vertAlign val="subscript"/>
            <sz val="9"/>
            <color indexed="81"/>
            <rFont val="Tahoma"/>
            <family val="2"/>
          </rPr>
          <t>cmax</t>
        </r>
        <r>
          <rPr>
            <sz val="9"/>
            <color indexed="81"/>
            <rFont val="Tahoma"/>
            <family val="2"/>
          </rPr>
          <t>. See Chapter 7 and Appendix G of the Guidebook.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the flow in cfs for which damages likely will be maximized. See Chapter 7 and Appendix G of the Guidebook.</t>
        </r>
      </text>
    </comment>
    <comment ref="H1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the flow in cfs for the future event that has the same return period as T</t>
        </r>
        <r>
          <rPr>
            <vertAlign val="subscript"/>
            <sz val="9"/>
            <color indexed="81"/>
            <rFont val="Tahoma"/>
            <family val="2"/>
          </rPr>
          <t>cmax</t>
        </r>
        <r>
          <rPr>
            <sz val="9"/>
            <color indexed="81"/>
            <rFont val="Tahoma"/>
            <family val="2"/>
          </rPr>
          <t>. See Chapter 7 and Appendix G of the Guidebook.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the adaptation project useful life in years. See Chapters 2 and 6 of the Guidebook.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the nominal discount rate (e.g., use 7 for 7%). See Chapter 2 and Appendix A of Guidebook.</t>
        </r>
      </text>
    </comment>
  </commentList>
</comments>
</file>

<file path=xl/sharedStrings.xml><?xml version="1.0" encoding="utf-8"?>
<sst xmlns="http://schemas.openxmlformats.org/spreadsheetml/2006/main" count="206" uniqueCount="121">
  <si>
    <t>PUL</t>
  </si>
  <si>
    <t>i</t>
  </si>
  <si>
    <t>PVC</t>
  </si>
  <si>
    <t>Benefits</t>
  </si>
  <si>
    <t>EANF</t>
  </si>
  <si>
    <t>Damages
(in Current $)</t>
  </si>
  <si>
    <t xml:space="preserve">Max. Acceptable Project Cost </t>
  </si>
  <si>
    <t>Project Useful Life</t>
  </si>
  <si>
    <t>Discount Rate (%)</t>
  </si>
  <si>
    <t>Present Value Coefficient</t>
  </si>
  <si>
    <t>Present Value of Benefits</t>
  </si>
  <si>
    <t>Current Pre-Resilience Conditions</t>
  </si>
  <si>
    <t>Future (Climate Change) Pre-Resilience</t>
  </si>
  <si>
    <t>Future Damages Without Adaptation=</t>
  </si>
  <si>
    <t>Future Damages with Adaptation</t>
  </si>
  <si>
    <t>Total Annualized Resilient Damages</t>
  </si>
  <si>
    <t>Adaptation Benefit-Cost Ratio</t>
  </si>
  <si>
    <t>Adaptation Project Cost</t>
  </si>
  <si>
    <t>Adaptation Project Benefits</t>
  </si>
  <si>
    <t>Resilient Future 
Annualized Damages, Dar</t>
  </si>
  <si>
    <t>Damages, Dr
(in current $)</t>
  </si>
  <si>
    <t>Max return period 
resulting in no damages</t>
  </si>
  <si>
    <t>Return period resulting in moderate damages</t>
  </si>
  <si>
    <t>Return period resulting in maximum damages</t>
  </si>
  <si>
    <t>Total Annualized Current Damages</t>
  </si>
  <si>
    <t>Total Annualized Future Damages</t>
  </si>
  <si>
    <t>Future Damages for Base Case</t>
  </si>
  <si>
    <t>Current Damages for Base Case</t>
  </si>
  <si>
    <t>Additional Damages for Base Case</t>
  </si>
  <si>
    <t>Blue cells are input</t>
  </si>
  <si>
    <t>Gray cells are calculated or fixed</t>
  </si>
  <si>
    <t>Italics are interpolated values</t>
  </si>
  <si>
    <r>
      <t>Q</t>
    </r>
    <r>
      <rPr>
        <vertAlign val="subscript"/>
        <sz val="11"/>
        <color theme="1"/>
        <rFont val="Calibri"/>
        <family val="2"/>
        <scheme val="minor"/>
      </rPr>
      <t>f</t>
    </r>
  </si>
  <si>
    <r>
      <t>T</t>
    </r>
    <r>
      <rPr>
        <vertAlign val="subscript"/>
        <sz val="11"/>
        <color theme="1"/>
        <rFont val="Calibri"/>
        <family val="2"/>
        <scheme val="minor"/>
      </rPr>
      <t>f</t>
    </r>
  </si>
  <si>
    <r>
      <t>Interpolated 
Damages, 
D</t>
    </r>
    <r>
      <rPr>
        <vertAlign val="subscript"/>
        <sz val="11"/>
        <color theme="1"/>
        <rFont val="Calibri"/>
        <family val="2"/>
        <scheme val="minor"/>
      </rPr>
      <t>f</t>
    </r>
  </si>
  <si>
    <r>
      <t>Base Case Future 
Annualized Damages, D</t>
    </r>
    <r>
      <rPr>
        <vertAlign val="subscript"/>
        <sz val="11"/>
        <color theme="1"/>
        <rFont val="Calibri"/>
        <family val="2"/>
        <scheme val="minor"/>
      </rPr>
      <t>af</t>
    </r>
  </si>
  <si>
    <r>
      <t>T</t>
    </r>
    <r>
      <rPr>
        <vertAlign val="subscript"/>
        <sz val="11"/>
        <color theme="1"/>
        <rFont val="Calibri"/>
        <family val="2"/>
        <scheme val="minor"/>
      </rPr>
      <t>c</t>
    </r>
  </si>
  <si>
    <r>
      <t>Annualized Damages, D</t>
    </r>
    <r>
      <rPr>
        <vertAlign val="subscript"/>
        <sz val="11"/>
        <color theme="1"/>
        <rFont val="Calibri"/>
        <family val="2"/>
        <scheme val="minor"/>
      </rPr>
      <t>ac</t>
    </r>
  </si>
  <si>
    <r>
      <t>Q</t>
    </r>
    <r>
      <rPr>
        <vertAlign val="subscript"/>
        <sz val="11"/>
        <color theme="1"/>
        <rFont val="Calibri"/>
        <family val="2"/>
        <scheme val="minor"/>
      </rPr>
      <t xml:space="preserve">c  </t>
    </r>
    <r>
      <rPr>
        <sz val="11"/>
        <color theme="1"/>
        <rFont val="Calibri"/>
        <family val="2"/>
        <scheme val="minor"/>
      </rPr>
      <t xml:space="preserve">
(cfs)</t>
    </r>
  </si>
  <si>
    <r>
      <t>T</t>
    </r>
    <r>
      <rPr>
        <vertAlign val="subscript"/>
        <sz val="11"/>
        <color theme="1"/>
        <rFont val="Calibri"/>
        <family val="2"/>
        <scheme val="minor"/>
      </rPr>
      <t>cnd</t>
    </r>
  </si>
  <si>
    <r>
      <t>T</t>
    </r>
    <r>
      <rPr>
        <vertAlign val="subscript"/>
        <sz val="11"/>
        <color theme="1"/>
        <rFont val="Calibri"/>
        <family val="2"/>
        <scheme val="minor"/>
      </rPr>
      <t>cmod</t>
    </r>
  </si>
  <si>
    <r>
      <t>T</t>
    </r>
    <r>
      <rPr>
        <vertAlign val="subscript"/>
        <sz val="11"/>
        <color theme="1"/>
        <rFont val="Calibri"/>
        <family val="2"/>
        <scheme val="minor"/>
      </rPr>
      <t>cmax</t>
    </r>
  </si>
  <si>
    <t>Variable</t>
  </si>
  <si>
    <t>Definition</t>
  </si>
  <si>
    <r>
      <t>T</t>
    </r>
    <r>
      <rPr>
        <b/>
        <vertAlign val="subscript"/>
        <sz val="11"/>
        <color theme="1"/>
        <rFont val="Calibri"/>
        <family val="2"/>
      </rPr>
      <t>cnd</t>
    </r>
  </si>
  <si>
    <t>Return period for which no damages occur</t>
  </si>
  <si>
    <r>
      <t>T</t>
    </r>
    <r>
      <rPr>
        <b/>
        <vertAlign val="subscript"/>
        <sz val="11"/>
        <color theme="1"/>
        <rFont val="Calibri"/>
        <family val="2"/>
      </rPr>
      <t>cmod</t>
    </r>
  </si>
  <si>
    <r>
      <t>Next highest return period after T</t>
    </r>
    <r>
      <rPr>
        <vertAlign val="subscript"/>
        <sz val="11"/>
        <color theme="1"/>
        <rFont val="Calibri"/>
        <family val="2"/>
      </rPr>
      <t>cnd</t>
    </r>
    <r>
      <rPr>
        <sz val="11"/>
        <color theme="1"/>
        <rFont val="Calibri"/>
        <family val="2"/>
      </rPr>
      <t>; return period for which moderate damages are expected to occur</t>
    </r>
  </si>
  <si>
    <r>
      <t>T</t>
    </r>
    <r>
      <rPr>
        <b/>
        <vertAlign val="subscript"/>
        <sz val="11"/>
        <color theme="1"/>
        <rFont val="Calibri"/>
        <family val="2"/>
      </rPr>
      <t>cmax</t>
    </r>
  </si>
  <si>
    <t>Return period for which damages are practically maximized</t>
  </si>
  <si>
    <r>
      <t>D</t>
    </r>
    <r>
      <rPr>
        <b/>
        <vertAlign val="subscript"/>
        <sz val="11"/>
        <color theme="1"/>
        <rFont val="Calibri"/>
        <family val="2"/>
      </rPr>
      <t>cmod</t>
    </r>
  </si>
  <si>
    <r>
      <t>The amount of damages in dollars that are expected to occur as a result of a hazard event having a return period of T</t>
    </r>
    <r>
      <rPr>
        <vertAlign val="subscript"/>
        <sz val="11"/>
        <color theme="1"/>
        <rFont val="Calibri"/>
        <family val="2"/>
      </rPr>
      <t>mod</t>
    </r>
  </si>
  <si>
    <r>
      <t>D</t>
    </r>
    <r>
      <rPr>
        <b/>
        <vertAlign val="subscript"/>
        <sz val="11"/>
        <color theme="1"/>
        <rFont val="Calibri"/>
        <family val="2"/>
      </rPr>
      <t>cmax</t>
    </r>
  </si>
  <si>
    <r>
      <t>The amount of damages in dollars that are expected to occur as a result of a hazard event having a return period of T</t>
    </r>
    <r>
      <rPr>
        <vertAlign val="subscript"/>
        <sz val="11"/>
        <color theme="1"/>
        <rFont val="Calibri"/>
        <family val="2"/>
      </rPr>
      <t>max</t>
    </r>
  </si>
  <si>
    <r>
      <t>Q</t>
    </r>
    <r>
      <rPr>
        <b/>
        <vertAlign val="subscript"/>
        <sz val="11"/>
        <color rgb="FF000000"/>
        <rFont val="Calibri"/>
        <family val="2"/>
      </rPr>
      <t>cnd</t>
    </r>
  </si>
  <si>
    <t>Discharge flow in cfs associated with current conditions and no damages</t>
  </si>
  <si>
    <r>
      <t>Q</t>
    </r>
    <r>
      <rPr>
        <b/>
        <vertAlign val="subscript"/>
        <sz val="11"/>
        <color rgb="FF000000"/>
        <rFont val="Calibri"/>
        <family val="2"/>
      </rPr>
      <t>cmod</t>
    </r>
  </si>
  <si>
    <t>Discharge flow in cfs associated with current conditions and moderate damages</t>
  </si>
  <si>
    <r>
      <t>Q</t>
    </r>
    <r>
      <rPr>
        <b/>
        <vertAlign val="subscript"/>
        <sz val="11"/>
        <color rgb="FF000000"/>
        <rFont val="Calibri"/>
        <family val="2"/>
      </rPr>
      <t>cmax</t>
    </r>
  </si>
  <si>
    <t>Discharge flow in cfs associated with current conditions and maximum damages</t>
  </si>
  <si>
    <r>
      <t>D</t>
    </r>
    <r>
      <rPr>
        <b/>
        <vertAlign val="subscript"/>
        <sz val="11"/>
        <color theme="1"/>
        <rFont val="Calibri"/>
        <family val="2"/>
      </rPr>
      <t>acmod</t>
    </r>
  </si>
  <si>
    <t>Expected annualized damages for an event of moderate damage level under current conditions</t>
  </si>
  <si>
    <r>
      <t>D</t>
    </r>
    <r>
      <rPr>
        <b/>
        <vertAlign val="subscript"/>
        <sz val="11"/>
        <color theme="1"/>
        <rFont val="Calibri"/>
        <family val="2"/>
      </rPr>
      <t>acmax</t>
    </r>
  </si>
  <si>
    <t>Expected annualized damages for an event of severe damage level under current conditions</t>
  </si>
  <si>
    <r>
      <t>D</t>
    </r>
    <r>
      <rPr>
        <b/>
        <vertAlign val="subscript"/>
        <sz val="11"/>
        <color theme="1"/>
        <rFont val="Calibri"/>
        <family val="2"/>
      </rPr>
      <t>ac</t>
    </r>
  </si>
  <si>
    <t>Total expected annualized damages under current conditions</t>
  </si>
  <si>
    <t>Present value coefficient</t>
  </si>
  <si>
    <r>
      <t>D</t>
    </r>
    <r>
      <rPr>
        <b/>
        <vertAlign val="subscript"/>
        <sz val="11"/>
        <color theme="1"/>
        <rFont val="Calibri"/>
        <family val="2"/>
      </rPr>
      <t>Tc</t>
    </r>
  </si>
  <si>
    <t>Present value of total expected damages under current conditions</t>
  </si>
  <si>
    <r>
      <t>T</t>
    </r>
    <r>
      <rPr>
        <b/>
        <vertAlign val="subscript"/>
        <sz val="11"/>
        <color rgb="FF000000"/>
        <rFont val="Calibri"/>
        <family val="2"/>
      </rPr>
      <t>fnd</t>
    </r>
  </si>
  <si>
    <t>Return period under future climate conditions for which no damages are expected to occur</t>
  </si>
  <si>
    <r>
      <t>T′</t>
    </r>
    <r>
      <rPr>
        <b/>
        <vertAlign val="subscript"/>
        <sz val="11"/>
        <color rgb="FF000000"/>
        <rFont val="Calibri"/>
        <family val="2"/>
      </rPr>
      <t>fnd</t>
    </r>
  </si>
  <si>
    <t>Return period under future climate conditions for which little damages are expected to occur</t>
  </si>
  <si>
    <r>
      <t>T</t>
    </r>
    <r>
      <rPr>
        <b/>
        <vertAlign val="subscript"/>
        <sz val="11"/>
        <color rgb="FF000000"/>
        <rFont val="Calibri"/>
        <family val="2"/>
      </rPr>
      <t>fmod</t>
    </r>
  </si>
  <si>
    <t>Return period under future climate conditions for which moderate damages are expected to occur</t>
  </si>
  <si>
    <r>
      <t>T</t>
    </r>
    <r>
      <rPr>
        <b/>
        <vertAlign val="subscript"/>
        <sz val="11"/>
        <color rgb="FF000000"/>
        <rFont val="Calibri"/>
        <family val="2"/>
      </rPr>
      <t>fmax</t>
    </r>
  </si>
  <si>
    <t>Return period under future climate conditions for which damages are expected to be practically maximized</t>
  </si>
  <si>
    <r>
      <t>Q</t>
    </r>
    <r>
      <rPr>
        <b/>
        <vertAlign val="subscript"/>
        <sz val="11"/>
        <color theme="1"/>
        <rFont val="Calibri"/>
        <family val="2"/>
      </rPr>
      <t>fnd</t>
    </r>
  </si>
  <si>
    <t>Flow under future climate conditions for which no damages are expected to occur</t>
  </si>
  <si>
    <r>
      <t>Q</t>
    </r>
    <r>
      <rPr>
        <b/>
        <vertAlign val="subscript"/>
        <sz val="11"/>
        <color theme="1"/>
        <rFont val="Calibri"/>
        <family val="2"/>
      </rPr>
      <t>fmod</t>
    </r>
  </si>
  <si>
    <t>Flow under future climate conditions for which moderate damages are expected to occur</t>
  </si>
  <si>
    <r>
      <t>Q</t>
    </r>
    <r>
      <rPr>
        <b/>
        <vertAlign val="subscript"/>
        <sz val="11"/>
        <color theme="1"/>
        <rFont val="Calibri"/>
        <family val="2"/>
      </rPr>
      <t>fmax</t>
    </r>
  </si>
  <si>
    <t>Flow under future climate conditions for which damages are expected to be practically maximized</t>
  </si>
  <si>
    <r>
      <t>D′</t>
    </r>
    <r>
      <rPr>
        <b/>
        <vertAlign val="subscript"/>
        <sz val="11"/>
        <color rgb="FF000000"/>
        <rFont val="Calibri"/>
        <family val="2"/>
      </rPr>
      <t>fnd</t>
    </r>
  </si>
  <si>
    <r>
      <t xml:space="preserve">The amount of damages in dollars that are expected to occur as a result of a hazard event having a future return period of </t>
    </r>
    <r>
      <rPr>
        <sz val="11"/>
        <color rgb="FF000000"/>
        <rFont val="Calibri"/>
        <family val="2"/>
      </rPr>
      <t>T′</t>
    </r>
    <r>
      <rPr>
        <vertAlign val="subscript"/>
        <sz val="11"/>
        <color rgb="FF000000"/>
        <rFont val="Calibri"/>
        <family val="2"/>
      </rPr>
      <t>fnd</t>
    </r>
  </si>
  <si>
    <r>
      <t>D</t>
    </r>
    <r>
      <rPr>
        <b/>
        <vertAlign val="subscript"/>
        <sz val="11"/>
        <color rgb="FF000000"/>
        <rFont val="Calibri"/>
        <family val="2"/>
      </rPr>
      <t>fmod</t>
    </r>
  </si>
  <si>
    <r>
      <t xml:space="preserve">The amount of damages in dollars that are expected to occur as a result of a hazard event having a future return period of </t>
    </r>
    <r>
      <rPr>
        <sz val="11"/>
        <color rgb="FF000000"/>
        <rFont val="Calibri"/>
        <family val="2"/>
      </rPr>
      <t>T</t>
    </r>
    <r>
      <rPr>
        <vertAlign val="subscript"/>
        <sz val="11"/>
        <color rgb="FF000000"/>
        <rFont val="Calibri"/>
        <family val="2"/>
      </rPr>
      <t>fmod</t>
    </r>
  </si>
  <si>
    <r>
      <t>D</t>
    </r>
    <r>
      <rPr>
        <b/>
        <vertAlign val="subscript"/>
        <sz val="11"/>
        <color rgb="FF000000"/>
        <rFont val="Calibri"/>
        <family val="2"/>
      </rPr>
      <t>fmax</t>
    </r>
  </si>
  <si>
    <r>
      <t xml:space="preserve">The amount of damages in dollars that are expected to occur as a result of a hazard event having a future return period of </t>
    </r>
    <r>
      <rPr>
        <sz val="11"/>
        <color rgb="FF000000"/>
        <rFont val="Calibri"/>
        <family val="2"/>
      </rPr>
      <t>T</t>
    </r>
    <r>
      <rPr>
        <vertAlign val="subscript"/>
        <sz val="11"/>
        <color rgb="FF000000"/>
        <rFont val="Calibri"/>
        <family val="2"/>
      </rPr>
      <t>fmax</t>
    </r>
  </si>
  <si>
    <r>
      <t>D′</t>
    </r>
    <r>
      <rPr>
        <b/>
        <vertAlign val="subscript"/>
        <sz val="11"/>
        <color rgb="FF000000"/>
        <rFont val="Calibri"/>
        <family val="2"/>
      </rPr>
      <t>afnd</t>
    </r>
  </si>
  <si>
    <t>Expected annualized damages for an event of little damage level under future conditions</t>
  </si>
  <si>
    <r>
      <t>D</t>
    </r>
    <r>
      <rPr>
        <b/>
        <vertAlign val="subscript"/>
        <sz val="11"/>
        <color rgb="FF000000"/>
        <rFont val="Calibri"/>
        <family val="2"/>
      </rPr>
      <t>afmod</t>
    </r>
  </si>
  <si>
    <t>Expected annualized damages for an event of moderate damage level under future conditions</t>
  </si>
  <si>
    <r>
      <t>D</t>
    </r>
    <r>
      <rPr>
        <b/>
        <vertAlign val="subscript"/>
        <sz val="11"/>
        <color rgb="FF000000"/>
        <rFont val="Calibri"/>
        <family val="2"/>
      </rPr>
      <t>afmax</t>
    </r>
  </si>
  <si>
    <t>Expected annualized damages for an event of severe damage level under future conditions</t>
  </si>
  <si>
    <r>
      <t>D</t>
    </r>
    <r>
      <rPr>
        <b/>
        <vertAlign val="subscript"/>
        <sz val="11"/>
        <color rgb="FF000000"/>
        <rFont val="Calibri"/>
        <family val="2"/>
      </rPr>
      <t>af</t>
    </r>
  </si>
  <si>
    <t>Total expected annualized damages under future conditions</t>
  </si>
  <si>
    <r>
      <t>D</t>
    </r>
    <r>
      <rPr>
        <b/>
        <vertAlign val="subscript"/>
        <sz val="11"/>
        <color rgb="FF000000"/>
        <rFont val="Calibri"/>
        <family val="2"/>
      </rPr>
      <t>T</t>
    </r>
  </si>
  <si>
    <t>Additional damages associated with climate adjustment and no adaptation</t>
  </si>
  <si>
    <r>
      <t>T</t>
    </r>
    <r>
      <rPr>
        <b/>
        <vertAlign val="subscript"/>
        <sz val="11"/>
        <color rgb="FF000000"/>
        <rFont val="Calibri"/>
        <family val="2"/>
      </rPr>
      <t>fint1</t>
    </r>
  </si>
  <si>
    <t xml:space="preserve">Interpolated return period between a return period associated with little damages and one associated with moderate damages under future climate conditions </t>
  </si>
  <si>
    <r>
      <t>T</t>
    </r>
    <r>
      <rPr>
        <b/>
        <vertAlign val="subscript"/>
        <sz val="11"/>
        <color rgb="FF000000"/>
        <rFont val="Calibri"/>
        <family val="2"/>
      </rPr>
      <t>fint2</t>
    </r>
  </si>
  <si>
    <t xml:space="preserve">Interpolated return period between a return period associated with moderate damages and one associated with maximum damages under future climate conditions </t>
  </si>
  <si>
    <r>
      <t>D</t>
    </r>
    <r>
      <rPr>
        <b/>
        <vertAlign val="subscript"/>
        <sz val="11"/>
        <color rgb="FF000000"/>
        <rFont val="Calibri"/>
        <family val="2"/>
      </rPr>
      <t>afint1</t>
    </r>
  </si>
  <si>
    <r>
      <t xml:space="preserve">Expected annualized damages for an event having a return period of </t>
    </r>
    <r>
      <rPr>
        <sz val="11"/>
        <color rgb="FF000000"/>
        <rFont val="Calibri"/>
        <family val="2"/>
      </rPr>
      <t>T</t>
    </r>
    <r>
      <rPr>
        <vertAlign val="subscript"/>
        <sz val="11"/>
        <color rgb="FF000000"/>
        <rFont val="Calibri"/>
        <family val="2"/>
      </rPr>
      <t>fint1</t>
    </r>
  </si>
  <si>
    <r>
      <t>D</t>
    </r>
    <r>
      <rPr>
        <b/>
        <vertAlign val="subscript"/>
        <sz val="11"/>
        <color rgb="FF000000"/>
        <rFont val="Calibri"/>
        <family val="2"/>
      </rPr>
      <t>afint2</t>
    </r>
  </si>
  <si>
    <r>
      <t xml:space="preserve">Expected annualized damages for an event having a return period of </t>
    </r>
    <r>
      <rPr>
        <sz val="11"/>
        <color rgb="FF000000"/>
        <rFont val="Calibri"/>
        <family val="2"/>
      </rPr>
      <t>T</t>
    </r>
    <r>
      <rPr>
        <vertAlign val="subscript"/>
        <sz val="11"/>
        <color rgb="FF000000"/>
        <rFont val="Calibri"/>
        <family val="2"/>
      </rPr>
      <t>fint2</t>
    </r>
  </si>
  <si>
    <r>
      <t>Tide El</t>
    </r>
    <r>
      <rPr>
        <b/>
        <vertAlign val="subscript"/>
        <sz val="11"/>
        <color theme="1"/>
        <rFont val="Calibri"/>
        <family val="2"/>
      </rPr>
      <t>cnd</t>
    </r>
  </si>
  <si>
    <t>Flood elevation associated with no damages from tidal flooding under current conditions</t>
  </si>
  <si>
    <r>
      <t>Tide El</t>
    </r>
    <r>
      <rPr>
        <b/>
        <vertAlign val="subscript"/>
        <sz val="11"/>
        <color theme="1"/>
        <rFont val="Calibri"/>
        <family val="2"/>
      </rPr>
      <t>cmod</t>
    </r>
  </si>
  <si>
    <t>Tidal flood elevation associated with moderate damages under current conditions</t>
  </si>
  <si>
    <r>
      <t>Tide El</t>
    </r>
    <r>
      <rPr>
        <b/>
        <vertAlign val="subscript"/>
        <sz val="11"/>
        <color theme="1"/>
        <rFont val="Calibri"/>
        <family val="2"/>
      </rPr>
      <t>cmax</t>
    </r>
  </si>
  <si>
    <t>Tidal flood elevation associated with maximized damages under current conditions</t>
  </si>
  <si>
    <r>
      <t>Tide El</t>
    </r>
    <r>
      <rPr>
        <b/>
        <vertAlign val="subscript"/>
        <sz val="11"/>
        <color theme="1"/>
        <rFont val="Calibri"/>
        <family val="2"/>
      </rPr>
      <t>fnd</t>
    </r>
  </si>
  <si>
    <t>Flood elevation associated with no damages from tidal flooding under future conditions</t>
  </si>
  <si>
    <r>
      <t>Tide El′</t>
    </r>
    <r>
      <rPr>
        <b/>
        <vertAlign val="subscript"/>
        <sz val="11"/>
        <color theme="1"/>
        <rFont val="Calibri"/>
        <family val="2"/>
      </rPr>
      <t>fnd</t>
    </r>
  </si>
  <si>
    <t>Flood elevation associated with little damages from tidal flooding under future conditions</t>
  </si>
  <si>
    <r>
      <t>Tide El</t>
    </r>
    <r>
      <rPr>
        <b/>
        <vertAlign val="subscript"/>
        <sz val="11"/>
        <color theme="1"/>
        <rFont val="Calibri"/>
        <family val="2"/>
      </rPr>
      <t>fmod</t>
    </r>
  </si>
  <si>
    <t>Flood elevation associated with moderate damages from tidal flooding under future conditions</t>
  </si>
  <si>
    <r>
      <t>Tide El</t>
    </r>
    <r>
      <rPr>
        <b/>
        <vertAlign val="subscript"/>
        <sz val="11"/>
        <color theme="1"/>
        <rFont val="Calibri"/>
        <family val="2"/>
      </rPr>
      <t>fmax</t>
    </r>
  </si>
  <si>
    <t>Flood elevation associated with maximized damages from tidal flooding under future conditions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</si>
</sst>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_);[Red]\(&quot;$&quot;#,##0.00\)"/>
    <numFmt numFmtId="41" formatCode="_(* #,##0_);_(* \(#,##0\);_(* &quot;-&quot;_);_(@_)"/>
    <numFmt numFmtId="43" formatCode="_(* #,##0.00_);_(* \(#,##0.00\);_(* &quot;-&quot;??_);_(@_)"/>
    <numFmt numFmtId="164" formatCode="&quot;$&quot;#,##0"/>
    <numFmt numFmtId="165" formatCode="#,##0.000_);[Red]\(#,##0.000\)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vertAlign val="subscript"/>
      <sz val="9"/>
      <color indexed="81"/>
      <name val="Tahoma"/>
      <family val="2"/>
    </font>
    <font>
      <b/>
      <sz val="11"/>
      <color rgb="FFFFFFFF"/>
      <name val="Calibri"/>
      <family val="2"/>
    </font>
    <font>
      <b/>
      <sz val="11"/>
      <color theme="1"/>
      <name val="Calibri"/>
      <family val="2"/>
    </font>
    <font>
      <b/>
      <vertAlign val="subscript"/>
      <sz val="11"/>
      <color theme="1"/>
      <name val="Calibri"/>
      <family val="2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b/>
      <sz val="11"/>
      <color rgb="FF000000"/>
      <name val="Calibri"/>
      <family val="2"/>
    </font>
    <font>
      <b/>
      <vertAlign val="subscript"/>
      <sz val="11"/>
      <color rgb="FF000000"/>
      <name val="Calibri"/>
      <family val="2"/>
    </font>
    <font>
      <sz val="11"/>
      <color rgb="FF000000"/>
      <name val="Calibri"/>
      <family val="2"/>
    </font>
    <font>
      <vertAlign val="subscript"/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D9E2F3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indexed="64"/>
      </right>
      <top/>
      <bottom style="thin">
        <color theme="0" tint="-0.1499984740745262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medium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theme="0" tint="-0.14996795556505021"/>
      </right>
      <top style="thin">
        <color theme="0" tint="-0.14999847407452621"/>
      </top>
      <bottom/>
      <diagonal/>
    </border>
    <border>
      <left style="thin">
        <color theme="0" tint="-0.149967955565050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6795556505021"/>
      </right>
      <top/>
      <bottom style="thin">
        <color theme="0" tint="-0.14999847407452621"/>
      </bottom>
      <diagonal/>
    </border>
    <border>
      <left style="thin">
        <color theme="0" tint="-0.149967955565050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theme="0" tint="-0.14999847407452621"/>
      </left>
      <right style="thin">
        <color theme="0" tint="-0.14996795556505021"/>
      </right>
      <top style="thin">
        <color theme="0" tint="-0.149998474074526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98474074526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9847407452621"/>
      </right>
      <top style="thin">
        <color theme="0" tint="-0.14999847407452621"/>
      </top>
      <bottom style="thin">
        <color theme="0" tint="-0.14996795556505021"/>
      </bottom>
      <diagonal/>
    </border>
    <border>
      <left style="thin">
        <color theme="0" tint="-0.149998474074526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9847407452621"/>
      </left>
      <right style="thin">
        <color theme="0" tint="-0.14996795556505021"/>
      </right>
      <top style="thin">
        <color theme="0" tint="-0.14996795556505021"/>
      </top>
      <bottom style="thin">
        <color theme="0" tint="-0.149998474074526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9847407452621"/>
      </bottom>
      <diagonal/>
    </border>
    <border>
      <left style="thin">
        <color theme="0" tint="-0.14996795556505021"/>
      </left>
      <right style="thin">
        <color theme="0" tint="-0.14999847407452621"/>
      </right>
      <top style="thin">
        <color theme="0" tint="-0.14996795556505021"/>
      </top>
      <bottom style="thin">
        <color theme="0" tint="-0.14999847407452621"/>
      </bottom>
      <diagonal/>
    </border>
    <border>
      <left/>
      <right style="thin">
        <color theme="0" tint="-0.14996795556505021"/>
      </right>
      <top style="thin">
        <color theme="0" tint="-0.149998474074526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9847407452621"/>
      </bottom>
      <diagonal/>
    </border>
    <border>
      <left style="medium">
        <color rgb="FF4472C4"/>
      </left>
      <right/>
      <top style="medium">
        <color rgb="FF4472C4"/>
      </top>
      <bottom style="medium">
        <color rgb="FF4472C4"/>
      </bottom>
      <diagonal/>
    </border>
    <border>
      <left/>
      <right style="medium">
        <color rgb="FF4472C4"/>
      </right>
      <top style="medium">
        <color rgb="FF4472C4"/>
      </top>
      <bottom style="medium">
        <color rgb="FF4472C4"/>
      </bottom>
      <diagonal/>
    </border>
    <border>
      <left style="medium">
        <color rgb="FF8EAADB"/>
      </left>
      <right style="medium">
        <color rgb="FF8EAADB"/>
      </right>
      <top/>
      <bottom style="medium">
        <color rgb="FF8EAADB"/>
      </bottom>
      <diagonal/>
    </border>
    <border>
      <left/>
      <right style="medium">
        <color rgb="FF8EAADB"/>
      </right>
      <top/>
      <bottom style="medium">
        <color rgb="FF8EAADB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4" xfId="0" applyBorder="1"/>
    <xf numFmtId="0" fontId="0" fillId="0" borderId="1" xfId="0" applyBorder="1"/>
    <xf numFmtId="0" fontId="0" fillId="0" borderId="10" xfId="0" applyBorder="1"/>
    <xf numFmtId="0" fontId="0" fillId="0" borderId="0" xfId="0" applyBorder="1"/>
    <xf numFmtId="165" fontId="0" fillId="3" borderId="1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 vertical="center"/>
    </xf>
    <xf numFmtId="43" fontId="0" fillId="0" borderId="0" xfId="0" applyNumberForma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164" fontId="0" fillId="3" borderId="3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/>
    </xf>
    <xf numFmtId="0" fontId="0" fillId="0" borderId="2" xfId="0" applyBorder="1" applyAlignment="1">
      <alignment horizontal="right"/>
    </xf>
    <xf numFmtId="8" fontId="0" fillId="0" borderId="0" xfId="0" applyNumberFormat="1" applyBorder="1"/>
    <xf numFmtId="0" fontId="1" fillId="0" borderId="16" xfId="0" applyFont="1" applyBorder="1" applyAlignment="1">
      <alignment horizontal="right"/>
    </xf>
    <xf numFmtId="164" fontId="1" fillId="3" borderId="7" xfId="0" applyNumberFormat="1" applyFont="1" applyFill="1" applyBorder="1" applyAlignment="1">
      <alignment horizontal="center"/>
    </xf>
    <xf numFmtId="0" fontId="0" fillId="0" borderId="4" xfId="0" quotePrefix="1" applyBorder="1" applyAlignment="1"/>
    <xf numFmtId="0" fontId="0" fillId="0" borderId="7" xfId="0" applyBorder="1"/>
    <xf numFmtId="0" fontId="4" fillId="0" borderId="0" xfId="0" applyFont="1"/>
    <xf numFmtId="0" fontId="4" fillId="4" borderId="17" xfId="0" applyFont="1" applyFill="1" applyBorder="1"/>
    <xf numFmtId="1" fontId="4" fillId="4" borderId="19" xfId="0" applyNumberFormat="1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164" fontId="4" fillId="4" borderId="26" xfId="0" applyNumberFormat="1" applyFont="1" applyFill="1" applyBorder="1" applyAlignment="1">
      <alignment horizontal="center" vertical="center"/>
    </xf>
    <xf numFmtId="0" fontId="4" fillId="4" borderId="26" xfId="0" applyFont="1" applyFill="1" applyBorder="1"/>
    <xf numFmtId="0" fontId="4" fillId="4" borderId="25" xfId="0" applyFont="1" applyFill="1" applyBorder="1" applyAlignment="1">
      <alignment horizontal="center" wrapText="1"/>
    </xf>
    <xf numFmtId="164" fontId="4" fillId="4" borderId="19" xfId="0" applyNumberFormat="1" applyFont="1" applyFill="1" applyBorder="1" applyAlignment="1">
      <alignment horizontal="center" vertical="center"/>
    </xf>
    <xf numFmtId="164" fontId="4" fillId="4" borderId="19" xfId="0" applyNumberFormat="1" applyFont="1" applyFill="1" applyBorder="1" applyAlignment="1">
      <alignment horizontal="center"/>
    </xf>
    <xf numFmtId="43" fontId="4" fillId="0" borderId="0" xfId="0" applyNumberFormat="1" applyFont="1"/>
    <xf numFmtId="164" fontId="4" fillId="0" borderId="0" xfId="0" applyNumberFormat="1" applyFont="1"/>
    <xf numFmtId="0" fontId="4" fillId="4" borderId="27" xfId="0" applyFont="1" applyFill="1" applyBorder="1"/>
    <xf numFmtId="0" fontId="4" fillId="4" borderId="19" xfId="0" applyFont="1" applyFill="1" applyBorder="1"/>
    <xf numFmtId="164" fontId="3" fillId="4" borderId="27" xfId="0" applyNumberFormat="1" applyFont="1" applyFill="1" applyBorder="1" applyAlignment="1">
      <alignment horizontal="center"/>
    </xf>
    <xf numFmtId="164" fontId="3" fillId="4" borderId="19" xfId="0" applyNumberFormat="1" applyFont="1" applyFill="1" applyBorder="1" applyAlignment="1">
      <alignment horizontal="center"/>
    </xf>
    <xf numFmtId="0" fontId="4" fillId="4" borderId="28" xfId="0" applyFont="1" applyFill="1" applyBorder="1"/>
    <xf numFmtId="2" fontId="3" fillId="4" borderId="19" xfId="0" applyNumberFormat="1" applyFont="1" applyFill="1" applyBorder="1" applyAlignment="1">
      <alignment horizontal="center"/>
    </xf>
    <xf numFmtId="0" fontId="4" fillId="4" borderId="22" xfId="0" applyFont="1" applyFill="1" applyBorder="1"/>
    <xf numFmtId="41" fontId="4" fillId="4" borderId="22" xfId="0" applyNumberFormat="1" applyFont="1" applyFill="1" applyBorder="1" applyAlignment="1">
      <alignment horizontal="center" vertical="center"/>
    </xf>
    <xf numFmtId="41" fontId="4" fillId="4" borderId="30" xfId="0" applyNumberFormat="1" applyFont="1" applyFill="1" applyBorder="1" applyAlignment="1">
      <alignment horizontal="center" vertical="center"/>
    </xf>
    <xf numFmtId="0" fontId="4" fillId="4" borderId="30" xfId="0" applyFont="1" applyFill="1" applyBorder="1"/>
    <xf numFmtId="0" fontId="4" fillId="4" borderId="31" xfId="0" applyFont="1" applyFill="1" applyBorder="1"/>
    <xf numFmtId="164" fontId="1" fillId="3" borderId="15" xfId="0" applyNumberFormat="1" applyFont="1" applyFill="1" applyBorder="1" applyAlignment="1">
      <alignment horizontal="center"/>
    </xf>
    <xf numFmtId="164" fontId="1" fillId="3" borderId="32" xfId="0" applyNumberFormat="1" applyFont="1" applyFill="1" applyBorder="1" applyAlignment="1">
      <alignment horizontal="center"/>
    </xf>
    <xf numFmtId="164" fontId="0" fillId="3" borderId="6" xfId="0" applyNumberFormat="1" applyFill="1" applyBorder="1" applyAlignment="1">
      <alignment horizontal="center" vertical="center"/>
    </xf>
    <xf numFmtId="164" fontId="0" fillId="3" borderId="15" xfId="0" applyNumberFormat="1" applyFill="1" applyBorder="1" applyAlignment="1">
      <alignment horizontal="center" vertical="center"/>
    </xf>
    <xf numFmtId="0" fontId="0" fillId="0" borderId="1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33" xfId="0" applyBorder="1" applyAlignment="1">
      <alignment horizontal="center"/>
    </xf>
    <xf numFmtId="41" fontId="0" fillId="3" borderId="9" xfId="0" applyNumberFormat="1" applyFill="1" applyBorder="1" applyAlignment="1">
      <alignment horizontal="center" vertical="center"/>
    </xf>
    <xf numFmtId="0" fontId="0" fillId="0" borderId="2" xfId="0" applyBorder="1"/>
    <xf numFmtId="0" fontId="0" fillId="0" borderId="16" xfId="0" quotePrefix="1" applyBorder="1" applyAlignment="1"/>
    <xf numFmtId="0" fontId="0" fillId="5" borderId="2" xfId="0" applyFill="1" applyBorder="1" applyAlignment="1">
      <alignment horizontal="center" vertical="center"/>
    </xf>
    <xf numFmtId="164" fontId="0" fillId="5" borderId="1" xfId="0" applyNumberFormat="1" applyFill="1" applyBorder="1" applyAlignment="1">
      <alignment horizontal="center" vertical="center"/>
    </xf>
    <xf numFmtId="41" fontId="0" fillId="5" borderId="3" xfId="0" applyNumberFormat="1" applyFill="1" applyBorder="1" applyAlignment="1">
      <alignment horizontal="center" vertical="center"/>
    </xf>
    <xf numFmtId="41" fontId="0" fillId="5" borderId="2" xfId="0" applyNumberFormat="1" applyFill="1" applyBorder="1" applyAlignment="1">
      <alignment horizontal="center" vertical="center"/>
    </xf>
    <xf numFmtId="164" fontId="0" fillId="5" borderId="6" xfId="0" applyNumberFormat="1" applyFill="1" applyBorder="1" applyAlignment="1">
      <alignment horizontal="center" vertical="center"/>
    </xf>
    <xf numFmtId="0" fontId="0" fillId="5" borderId="6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22" xfId="0" applyFill="1" applyBorder="1"/>
    <xf numFmtId="0" fontId="0" fillId="0" borderId="0" xfId="0" applyFill="1"/>
    <xf numFmtId="0" fontId="0" fillId="0" borderId="36" xfId="0" applyBorder="1"/>
    <xf numFmtId="0" fontId="2" fillId="0" borderId="0" xfId="0" applyFont="1" applyFill="1" applyBorder="1" applyAlignment="1">
      <alignment horizontal="left"/>
    </xf>
    <xf numFmtId="0" fontId="0" fillId="0" borderId="37" xfId="0" applyBorder="1"/>
    <xf numFmtId="164" fontId="5" fillId="3" borderId="6" xfId="0" applyNumberFormat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0" fillId="0" borderId="11" xfId="0" applyBorder="1"/>
    <xf numFmtId="0" fontId="0" fillId="0" borderId="14" xfId="0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34" xfId="0" applyBorder="1" applyAlignment="1">
      <alignment wrapText="1"/>
    </xf>
    <xf numFmtId="0" fontId="0" fillId="5" borderId="9" xfId="0" applyFill="1" applyBorder="1" applyAlignment="1">
      <alignment horizontal="center" vertical="center"/>
    </xf>
    <xf numFmtId="41" fontId="0" fillId="5" borderId="15" xfId="0" applyNumberFormat="1" applyFill="1" applyBorder="1" applyAlignment="1">
      <alignment horizontal="center" vertic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 wrapText="1"/>
    </xf>
    <xf numFmtId="0" fontId="0" fillId="0" borderId="45" xfId="0" applyBorder="1" applyAlignment="1">
      <alignment horizontal="center" wrapText="1"/>
    </xf>
    <xf numFmtId="0" fontId="0" fillId="0" borderId="46" xfId="0" applyBorder="1"/>
    <xf numFmtId="0" fontId="0" fillId="0" borderId="18" xfId="0" applyBorder="1"/>
    <xf numFmtId="164" fontId="0" fillId="3" borderId="6" xfId="0" applyNumberFormat="1" applyFill="1" applyBorder="1" applyAlignment="1">
      <alignment horizontal="center"/>
    </xf>
    <xf numFmtId="0" fontId="0" fillId="0" borderId="17" xfId="0" applyBorder="1"/>
    <xf numFmtId="164" fontId="0" fillId="3" borderId="15" xfId="0" applyNumberFormat="1" applyFill="1" applyBorder="1" applyAlignment="1">
      <alignment horizontal="center"/>
    </xf>
    <xf numFmtId="0" fontId="0" fillId="0" borderId="34" xfId="0" applyBorder="1" applyAlignment="1">
      <alignment horizontal="center" wrapText="1"/>
    </xf>
    <xf numFmtId="0" fontId="0" fillId="3" borderId="34" xfId="0" applyFill="1" applyBorder="1" applyAlignment="1">
      <alignment horizontal="center"/>
    </xf>
    <xf numFmtId="0" fontId="0" fillId="5" borderId="16" xfId="0" applyFill="1" applyBorder="1" applyAlignment="1">
      <alignment horizontal="center" vertical="center"/>
    </xf>
    <xf numFmtId="164" fontId="0" fillId="5" borderId="7" xfId="0" applyNumberFormat="1" applyFill="1" applyBorder="1" applyAlignment="1">
      <alignment horizontal="center" vertical="center"/>
    </xf>
    <xf numFmtId="164" fontId="0" fillId="3" borderId="7" xfId="0" applyNumberFormat="1" applyFill="1" applyBorder="1" applyAlignment="1">
      <alignment horizontal="center" vertical="center"/>
    </xf>
    <xf numFmtId="41" fontId="0" fillId="5" borderId="5" xfId="0" applyNumberFormat="1" applyFill="1" applyBorder="1" applyAlignment="1">
      <alignment horizontal="center" vertical="center"/>
    </xf>
    <xf numFmtId="41" fontId="0" fillId="5" borderId="16" xfId="0" applyNumberForma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164" fontId="0" fillId="3" borderId="5" xfId="0" applyNumberFormat="1" applyFill="1" applyBorder="1" applyAlignment="1">
      <alignment horizontal="center" vertical="center"/>
    </xf>
    <xf numFmtId="1" fontId="5" fillId="4" borderId="19" xfId="0" applyNumberFormat="1" applyFont="1" applyFill="1" applyBorder="1" applyAlignment="1">
      <alignment horizontal="left" vertical="center"/>
    </xf>
    <xf numFmtId="0" fontId="5" fillId="4" borderId="29" xfId="0" applyFont="1" applyFill="1" applyBorder="1" applyAlignment="1">
      <alignment horizontal="left"/>
    </xf>
    <xf numFmtId="0" fontId="0" fillId="0" borderId="47" xfId="0" applyBorder="1"/>
    <xf numFmtId="0" fontId="4" fillId="4" borderId="48" xfId="0" applyFont="1" applyFill="1" applyBorder="1" applyAlignment="1">
      <alignment horizontal="center" wrapText="1"/>
    </xf>
    <xf numFmtId="0" fontId="0" fillId="0" borderId="49" xfId="0" applyBorder="1"/>
    <xf numFmtId="0" fontId="4" fillId="4" borderId="50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/>
    </xf>
    <xf numFmtId="0" fontId="0" fillId="0" borderId="51" xfId="0" applyBorder="1" applyAlignment="1">
      <alignment horizontal="center"/>
    </xf>
    <xf numFmtId="1" fontId="6" fillId="3" borderId="24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164" fontId="6" fillId="3" borderId="7" xfId="0" applyNumberFormat="1" applyFont="1" applyFill="1" applyBorder="1" applyAlignment="1">
      <alignment horizontal="center" vertical="center"/>
    </xf>
    <xf numFmtId="0" fontId="8" fillId="0" borderId="0" xfId="0" applyFont="1"/>
    <xf numFmtId="0" fontId="0" fillId="0" borderId="52" xfId="0" applyBorder="1" applyAlignment="1">
      <alignment horizontal="center" wrapText="1"/>
    </xf>
    <xf numFmtId="0" fontId="0" fillId="3" borderId="52" xfId="0" applyFill="1" applyBorder="1" applyAlignment="1">
      <alignment horizontal="center"/>
    </xf>
    <xf numFmtId="0" fontId="4" fillId="0" borderId="47" xfId="0" applyFont="1" applyBorder="1"/>
    <xf numFmtId="0" fontId="4" fillId="0" borderId="0" xfId="0" applyFont="1" applyFill="1" applyBorder="1" applyAlignment="1">
      <alignment horizontal="left"/>
    </xf>
    <xf numFmtId="0" fontId="4" fillId="0" borderId="37" xfId="0" applyFont="1" applyBorder="1"/>
    <xf numFmtId="0" fontId="4" fillId="0" borderId="49" xfId="0" applyFont="1" applyBorder="1"/>
    <xf numFmtId="0" fontId="4" fillId="0" borderId="22" xfId="0" applyFont="1" applyFill="1" applyBorder="1"/>
    <xf numFmtId="0" fontId="4" fillId="0" borderId="0" xfId="0" applyFont="1" applyFill="1"/>
    <xf numFmtId="0" fontId="4" fillId="0" borderId="36" xfId="0" applyFont="1" applyBorder="1"/>
    <xf numFmtId="0" fontId="0" fillId="0" borderId="53" xfId="0" applyBorder="1"/>
    <xf numFmtId="0" fontId="4" fillId="4" borderId="54" xfId="0" applyFont="1" applyFill="1" applyBorder="1" applyAlignment="1">
      <alignment horizontal="center" vertical="center"/>
    </xf>
    <xf numFmtId="0" fontId="4" fillId="4" borderId="55" xfId="0" applyFont="1" applyFill="1" applyBorder="1" applyAlignment="1">
      <alignment horizontal="center" vertical="center"/>
    </xf>
    <xf numFmtId="0" fontId="4" fillId="4" borderId="56" xfId="0" applyFont="1" applyFill="1" applyBorder="1" applyAlignment="1">
      <alignment horizontal="center" vertical="center"/>
    </xf>
    <xf numFmtId="164" fontId="4" fillId="4" borderId="57" xfId="0" applyNumberFormat="1" applyFont="1" applyFill="1" applyBorder="1" applyAlignment="1">
      <alignment horizontal="center" vertical="center"/>
    </xf>
    <xf numFmtId="164" fontId="4" fillId="4" borderId="58" xfId="0" applyNumberFormat="1" applyFont="1" applyFill="1" applyBorder="1" applyAlignment="1">
      <alignment horizontal="center" vertical="center"/>
    </xf>
    <xf numFmtId="164" fontId="4" fillId="4" borderId="59" xfId="0" applyNumberFormat="1" applyFont="1" applyFill="1" applyBorder="1" applyAlignment="1">
      <alignment horizontal="center" vertical="center"/>
    </xf>
    <xf numFmtId="164" fontId="4" fillId="4" borderId="60" xfId="0" applyNumberFormat="1" applyFont="1" applyFill="1" applyBorder="1" applyAlignment="1">
      <alignment horizontal="center" vertical="center"/>
    </xf>
    <xf numFmtId="164" fontId="4" fillId="4" borderId="61" xfId="0" applyNumberFormat="1" applyFont="1" applyFill="1" applyBorder="1" applyAlignment="1">
      <alignment horizontal="center" vertical="center"/>
    </xf>
    <xf numFmtId="164" fontId="4" fillId="4" borderId="62" xfId="0" applyNumberFormat="1" applyFont="1" applyFill="1" applyBorder="1" applyAlignment="1">
      <alignment horizontal="center" vertical="center"/>
    </xf>
    <xf numFmtId="0" fontId="4" fillId="4" borderId="63" xfId="0" applyFont="1" applyFill="1" applyBorder="1" applyAlignment="1">
      <alignment horizontal="center" vertical="center"/>
    </xf>
    <xf numFmtId="164" fontId="4" fillId="4" borderId="64" xfId="0" applyNumberFormat="1" applyFont="1" applyFill="1" applyBorder="1" applyAlignment="1">
      <alignment horizontal="center" vertical="center"/>
    </xf>
    <xf numFmtId="164" fontId="4" fillId="4" borderId="65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13" fillId="6" borderId="66" xfId="0" applyFont="1" applyFill="1" applyBorder="1" applyAlignment="1">
      <alignment horizontal="center" vertical="center" wrapText="1"/>
    </xf>
    <xf numFmtId="0" fontId="13" fillId="6" borderId="67" xfId="0" applyFont="1" applyFill="1" applyBorder="1" applyAlignment="1">
      <alignment horizontal="center" vertical="center" wrapText="1"/>
    </xf>
    <xf numFmtId="0" fontId="14" fillId="7" borderId="68" xfId="0" applyFont="1" applyFill="1" applyBorder="1" applyAlignment="1">
      <alignment vertical="center" wrapText="1"/>
    </xf>
    <xf numFmtId="0" fontId="16" fillId="7" borderId="69" xfId="0" applyFont="1" applyFill="1" applyBorder="1" applyAlignment="1">
      <alignment vertical="center" wrapText="1"/>
    </xf>
    <xf numFmtId="0" fontId="14" fillId="0" borderId="68" xfId="0" applyFont="1" applyBorder="1" applyAlignment="1">
      <alignment vertical="center" wrapText="1"/>
    </xf>
    <xf numFmtId="0" fontId="16" fillId="0" borderId="69" xfId="0" applyFont="1" applyBorder="1" applyAlignment="1">
      <alignment vertical="center" wrapText="1"/>
    </xf>
    <xf numFmtId="0" fontId="18" fillId="0" borderId="68" xfId="0" applyFont="1" applyBorder="1" applyAlignment="1">
      <alignment vertical="center" wrapText="1"/>
    </xf>
    <xf numFmtId="0" fontId="18" fillId="7" borderId="68" xfId="0" applyFont="1" applyFill="1" applyBorder="1" applyAlignment="1">
      <alignment vertical="center" wrapText="1"/>
    </xf>
    <xf numFmtId="0" fontId="0" fillId="5" borderId="6" xfId="0" applyFill="1" applyBorder="1" applyAlignment="1" applyProtection="1">
      <alignment horizontal="center"/>
      <protection locked="0"/>
    </xf>
    <xf numFmtId="0" fontId="0" fillId="5" borderId="1" xfId="0" applyFill="1" applyBorder="1" applyAlignment="1" applyProtection="1">
      <alignment horizontal="center"/>
      <protection locked="0"/>
    </xf>
    <xf numFmtId="164" fontId="0" fillId="3" borderId="1" xfId="0" applyNumberFormat="1" applyFill="1" applyBorder="1" applyAlignment="1" applyProtection="1">
      <alignment horizontal="center" vertical="center"/>
      <protection hidden="1"/>
    </xf>
    <xf numFmtId="164" fontId="0" fillId="3" borderId="7" xfId="0" applyNumberFormat="1" applyFill="1" applyBorder="1" applyAlignment="1" applyProtection="1">
      <alignment horizontal="center" vertical="center"/>
      <protection hidden="1"/>
    </xf>
    <xf numFmtId="1" fontId="6" fillId="3" borderId="24" xfId="0" applyNumberFormat="1" applyFont="1" applyFill="1" applyBorder="1" applyAlignment="1" applyProtection="1">
      <alignment horizontal="center" vertical="center"/>
      <protection hidden="1"/>
    </xf>
    <xf numFmtId="164" fontId="5" fillId="3" borderId="6" xfId="0" applyNumberFormat="1" applyFont="1" applyFill="1" applyBorder="1" applyAlignment="1" applyProtection="1">
      <alignment horizontal="center" vertical="center"/>
      <protection hidden="1"/>
    </xf>
    <xf numFmtId="164" fontId="0" fillId="3" borderId="15" xfId="0" applyNumberFormat="1" applyFill="1" applyBorder="1" applyAlignment="1" applyProtection="1">
      <alignment horizontal="center" vertical="center"/>
      <protection hidden="1"/>
    </xf>
    <xf numFmtId="0" fontId="5" fillId="3" borderId="8" xfId="0" applyFont="1" applyFill="1" applyBorder="1" applyAlignment="1" applyProtection="1">
      <alignment horizontal="center" vertical="center"/>
      <protection hidden="1"/>
    </xf>
    <xf numFmtId="164" fontId="6" fillId="3" borderId="1" xfId="0" applyNumberFormat="1" applyFont="1" applyFill="1" applyBorder="1" applyAlignment="1" applyProtection="1">
      <alignment horizontal="center" vertical="center"/>
      <protection hidden="1"/>
    </xf>
    <xf numFmtId="164" fontId="0" fillId="3" borderId="3" xfId="0" applyNumberFormat="1" applyFill="1" applyBorder="1" applyAlignment="1" applyProtection="1">
      <alignment horizontal="center" vertical="center"/>
      <protection hidden="1"/>
    </xf>
    <xf numFmtId="0" fontId="5" fillId="3" borderId="33" xfId="0" applyFont="1" applyFill="1" applyBorder="1" applyAlignment="1" applyProtection="1">
      <alignment horizontal="center" vertical="center"/>
      <protection hidden="1"/>
    </xf>
    <xf numFmtId="164" fontId="6" fillId="3" borderId="7" xfId="0" applyNumberFormat="1" applyFont="1" applyFill="1" applyBorder="1" applyAlignment="1" applyProtection="1">
      <alignment horizontal="center" vertical="center"/>
      <protection hidden="1"/>
    </xf>
    <xf numFmtId="164" fontId="0" fillId="3" borderId="5" xfId="0" applyNumberFormat="1" applyFill="1" applyBorder="1" applyAlignment="1" applyProtection="1">
      <alignment horizontal="center" vertical="center"/>
      <protection hidden="1"/>
    </xf>
    <xf numFmtId="164" fontId="0" fillId="3" borderId="15" xfId="0" applyNumberFormat="1" applyFill="1" applyBorder="1" applyAlignment="1" applyProtection="1">
      <alignment horizontal="center"/>
      <protection hidden="1"/>
    </xf>
    <xf numFmtId="164" fontId="1" fillId="3" borderId="15" xfId="0" applyNumberFormat="1" applyFont="1" applyFill="1" applyBorder="1" applyAlignment="1" applyProtection="1">
      <alignment horizontal="center"/>
      <protection hidden="1"/>
    </xf>
    <xf numFmtId="164" fontId="1" fillId="3" borderId="32" xfId="0" applyNumberFormat="1" applyFont="1" applyFill="1" applyBorder="1" applyAlignment="1" applyProtection="1">
      <alignment horizontal="center"/>
      <protection hidden="1"/>
    </xf>
    <xf numFmtId="165" fontId="0" fillId="3" borderId="1" xfId="0" applyNumberFormat="1" applyFill="1" applyBorder="1" applyAlignment="1" applyProtection="1">
      <alignment horizontal="center"/>
      <protection hidden="1"/>
    </xf>
    <xf numFmtId="164" fontId="1" fillId="3" borderId="7" xfId="0" applyNumberFormat="1" applyFont="1" applyFill="1" applyBorder="1" applyAlignment="1" applyProtection="1">
      <alignment horizontal="center"/>
      <protection hidden="1"/>
    </xf>
    <xf numFmtId="0" fontId="0" fillId="5" borderId="9" xfId="0" applyFill="1" applyBorder="1" applyAlignment="1" applyProtection="1">
      <alignment horizontal="center" vertical="center"/>
      <protection locked="0"/>
    </xf>
    <xf numFmtId="164" fontId="0" fillId="5" borderId="6" xfId="0" applyNumberFormat="1" applyFill="1" applyBorder="1" applyAlignment="1" applyProtection="1">
      <alignment horizontal="center" vertical="center"/>
      <protection locked="0"/>
    </xf>
    <xf numFmtId="0" fontId="0" fillId="5" borderId="2" xfId="0" applyFill="1" applyBorder="1" applyAlignment="1" applyProtection="1">
      <alignment horizontal="center" vertical="center"/>
      <protection locked="0"/>
    </xf>
    <xf numFmtId="164" fontId="0" fillId="5" borderId="1" xfId="0" applyNumberFormat="1" applyFill="1" applyBorder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164" fontId="0" fillId="5" borderId="7" xfId="0" applyNumberFormat="1" applyFill="1" applyBorder="1" applyAlignment="1" applyProtection="1">
      <alignment horizontal="center" vertical="center"/>
      <protection locked="0"/>
    </xf>
    <xf numFmtId="41" fontId="0" fillId="5" borderId="15" xfId="0" applyNumberFormat="1" applyFill="1" applyBorder="1" applyAlignment="1" applyProtection="1">
      <alignment horizontal="center" vertical="center"/>
      <protection locked="0"/>
    </xf>
    <xf numFmtId="41" fontId="0" fillId="5" borderId="3" xfId="0" applyNumberFormat="1" applyFill="1" applyBorder="1" applyAlignment="1" applyProtection="1">
      <alignment horizontal="center" vertical="center"/>
      <protection locked="0"/>
    </xf>
    <xf numFmtId="41" fontId="0" fillId="5" borderId="5" xfId="0" applyNumberFormat="1" applyFill="1" applyBorder="1" applyAlignment="1" applyProtection="1">
      <alignment horizontal="center" vertical="center"/>
      <protection locked="0"/>
    </xf>
    <xf numFmtId="41" fontId="0" fillId="5" borderId="2" xfId="0" applyNumberFormat="1" applyFill="1" applyBorder="1" applyAlignment="1" applyProtection="1">
      <alignment horizontal="center" vertical="center"/>
      <protection locked="0"/>
    </xf>
    <xf numFmtId="41" fontId="0" fillId="5" borderId="16" xfId="0" applyNumberFormat="1" applyFill="1" applyBorder="1" applyAlignment="1" applyProtection="1">
      <alignment horizontal="center" vertical="center"/>
      <protection locked="0"/>
    </xf>
    <xf numFmtId="0" fontId="0" fillId="5" borderId="9" xfId="0" applyFill="1" applyBorder="1" applyAlignment="1" applyProtection="1">
      <alignment horizontal="center" vertical="center"/>
    </xf>
    <xf numFmtId="164" fontId="0" fillId="5" borderId="6" xfId="0" applyNumberFormat="1" applyFill="1" applyBorder="1" applyAlignment="1" applyProtection="1">
      <alignment horizontal="center" vertical="center"/>
    </xf>
    <xf numFmtId="0" fontId="0" fillId="5" borderId="2" xfId="0" applyFill="1" applyBorder="1" applyAlignment="1" applyProtection="1">
      <alignment horizontal="center" vertical="center"/>
    </xf>
    <xf numFmtId="164" fontId="0" fillId="5" borderId="1" xfId="0" applyNumberFormat="1" applyFill="1" applyBorder="1" applyAlignment="1" applyProtection="1">
      <alignment horizontal="center" vertical="center"/>
    </xf>
    <xf numFmtId="0" fontId="0" fillId="5" borderId="16" xfId="0" applyFill="1" applyBorder="1" applyAlignment="1" applyProtection="1">
      <alignment horizontal="center" vertical="center"/>
    </xf>
    <xf numFmtId="164" fontId="0" fillId="5" borderId="7" xfId="0" applyNumberFormat="1" applyFill="1" applyBorder="1" applyAlignment="1" applyProtection="1">
      <alignment horizontal="center" vertical="center"/>
    </xf>
    <xf numFmtId="0" fontId="0" fillId="5" borderId="6" xfId="0" applyFill="1" applyBorder="1" applyAlignment="1" applyProtection="1">
      <alignment horizontal="center"/>
    </xf>
    <xf numFmtId="0" fontId="0" fillId="5" borderId="1" xfId="0" applyFill="1" applyBorder="1" applyAlignment="1" applyProtection="1">
      <alignment horizontal="center"/>
    </xf>
    <xf numFmtId="41" fontId="0" fillId="5" borderId="15" xfId="0" applyNumberFormat="1" applyFill="1" applyBorder="1" applyAlignment="1" applyProtection="1">
      <alignment horizontal="center" vertical="center"/>
    </xf>
    <xf numFmtId="41" fontId="0" fillId="5" borderId="2" xfId="0" applyNumberFormat="1" applyFill="1" applyBorder="1" applyAlignment="1" applyProtection="1">
      <alignment horizontal="center" vertical="center"/>
    </xf>
    <xf numFmtId="41" fontId="0" fillId="5" borderId="3" xfId="0" applyNumberFormat="1" applyFill="1" applyBorder="1" applyAlignment="1" applyProtection="1">
      <alignment horizontal="center" vertical="center"/>
    </xf>
    <xf numFmtId="41" fontId="0" fillId="5" borderId="5" xfId="0" applyNumberFormat="1" applyFill="1" applyBorder="1" applyAlignment="1" applyProtection="1">
      <alignment horizontal="center" vertical="center"/>
    </xf>
    <xf numFmtId="41" fontId="0" fillId="5" borderId="16" xfId="0" applyNumberFormat="1" applyFill="1" applyBorder="1" applyAlignment="1" applyProtection="1">
      <alignment horizontal="center" vertical="center"/>
    </xf>
    <xf numFmtId="0" fontId="4" fillId="4" borderId="23" xfId="0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1" fontId="5" fillId="3" borderId="37" xfId="0" applyNumberFormat="1" applyFont="1" applyFill="1" applyBorder="1" applyAlignment="1">
      <alignment horizontal="center" vertical="center" wrapText="1"/>
    </xf>
    <xf numFmtId="1" fontId="5" fillId="3" borderId="0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0" fillId="2" borderId="38" xfId="0" applyFill="1" applyBorder="1" applyAlignment="1">
      <alignment horizontal="center"/>
    </xf>
    <xf numFmtId="0" fontId="0" fillId="2" borderId="39" xfId="0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0" fillId="2" borderId="4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Current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'7 percent discount'!$G$8:$G$10</c:f>
              <c:numCache>
                <c:formatCode>_(* #,##0_);_(* \(#,##0\);_(* "-"_);_(@_)</c:formatCode>
                <c:ptCount val="3"/>
                <c:pt idx="0">
                  <c:v>9000</c:v>
                </c:pt>
                <c:pt idx="1">
                  <c:v>10505</c:v>
                </c:pt>
                <c:pt idx="2">
                  <c:v>13982</c:v>
                </c:pt>
              </c:numCache>
            </c:numRef>
          </c:xVal>
          <c:yVal>
            <c:numRef>
              <c:f>'7 percent discount'!$E$8:$E$10</c:f>
              <c:numCache>
                <c:formatCode>"$"#,##0</c:formatCode>
                <c:ptCount val="3"/>
                <c:pt idx="0">
                  <c:v>0</c:v>
                </c:pt>
                <c:pt idx="1">
                  <c:v>1630000</c:v>
                </c:pt>
                <c:pt idx="2">
                  <c:v>3227000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814-42A6-80C1-AB12A69EE31A}"/>
            </c:ext>
          </c:extLst>
        </c:ser>
        <c:ser>
          <c:idx val="1"/>
          <c:order val="1"/>
          <c:tx>
            <c:v>Future (interp)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'7 percent discount'!$H$7:$H$10</c:f>
              <c:numCache>
                <c:formatCode>_(* #,##0_);_(* \(#,##0\);_(* "-"_);_(@_)</c:formatCode>
                <c:ptCount val="4"/>
                <c:pt idx="0">
                  <c:v>9000</c:v>
                </c:pt>
                <c:pt idx="1">
                  <c:v>9979</c:v>
                </c:pt>
                <c:pt idx="2">
                  <c:v>11665</c:v>
                </c:pt>
                <c:pt idx="3">
                  <c:v>15562</c:v>
                </c:pt>
              </c:numCache>
            </c:numRef>
          </c:xVal>
          <c:yVal>
            <c:numRef>
              <c:f>'7 percent discount'!$J$7:$J$10</c:f>
              <c:numCache>
                <c:formatCode>"$"#,##0</c:formatCode>
                <c:ptCount val="4"/>
                <c:pt idx="0">
                  <c:v>0</c:v>
                </c:pt>
                <c:pt idx="1">
                  <c:v>1060312.292358804</c:v>
                </c:pt>
                <c:pt idx="2">
                  <c:v>2162792.6373310327</c:v>
                </c:pt>
                <c:pt idx="3">
                  <c:v>3591658.8470891146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814-42A6-80C1-AB12A69EE3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9524112"/>
        <c:axId val="584700784"/>
      </c:scatterChart>
      <c:valAx>
        <c:axId val="589524112"/>
        <c:scaling>
          <c:orientation val="minMax"/>
          <c:min val="8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Peak Discharge (cfs)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_);_(@_)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700784"/>
        <c:crosses val="autoZero"/>
        <c:crossBetween val="midCat"/>
      </c:valAx>
      <c:valAx>
        <c:axId val="58470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Damages ($)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95241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Current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'7 percent discount'!$D$8:$D$10</c:f>
              <c:numCache>
                <c:formatCode>General</c:formatCode>
                <c:ptCount val="3"/>
                <c:pt idx="0">
                  <c:v>50</c:v>
                </c:pt>
                <c:pt idx="1">
                  <c:v>100</c:v>
                </c:pt>
                <c:pt idx="2">
                  <c:v>500</c:v>
                </c:pt>
              </c:numCache>
            </c:numRef>
          </c:xVal>
          <c:yVal>
            <c:numRef>
              <c:f>'7 percent discount'!$G$8:$G$10</c:f>
              <c:numCache>
                <c:formatCode>_(* #,##0_);_(* \(#,##0\);_(* "-"_);_(@_)</c:formatCode>
                <c:ptCount val="3"/>
                <c:pt idx="0">
                  <c:v>9000</c:v>
                </c:pt>
                <c:pt idx="1">
                  <c:v>10505</c:v>
                </c:pt>
                <c:pt idx="2">
                  <c:v>13982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5FB-4A4F-B160-626D050CECFE}"/>
            </c:ext>
          </c:extLst>
        </c:ser>
        <c:ser>
          <c:idx val="1"/>
          <c:order val="1"/>
          <c:tx>
            <c:v>Future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'7 percent discount'!$D$8:$D$10</c:f>
              <c:numCache>
                <c:formatCode>General</c:formatCode>
                <c:ptCount val="3"/>
                <c:pt idx="0">
                  <c:v>50</c:v>
                </c:pt>
                <c:pt idx="1">
                  <c:v>100</c:v>
                </c:pt>
                <c:pt idx="2">
                  <c:v>500</c:v>
                </c:pt>
              </c:numCache>
            </c:numRef>
          </c:xVal>
          <c:yVal>
            <c:numRef>
              <c:f>'7 percent discount'!$H$8:$H$10</c:f>
              <c:numCache>
                <c:formatCode>_(* #,##0_);_(* \(#,##0\);_(* "-"_);_(@_)</c:formatCode>
                <c:ptCount val="3"/>
                <c:pt idx="0">
                  <c:v>9979</c:v>
                </c:pt>
                <c:pt idx="1">
                  <c:v>11665</c:v>
                </c:pt>
                <c:pt idx="2">
                  <c:v>15562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5FB-4A4F-B160-626D050CECFE}"/>
            </c:ext>
          </c:extLst>
        </c:ser>
        <c:ser>
          <c:idx val="2"/>
          <c:order val="2"/>
          <c:tx>
            <c:v>Future Trnd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'7 percent discount'!$I$7</c:f>
              <c:numCache>
                <c:formatCode>0</c:formatCode>
                <c:ptCount val="1"/>
                <c:pt idx="0">
                  <c:v>33.43279107449095</c:v>
                </c:pt>
              </c:numCache>
            </c:numRef>
          </c:xVal>
          <c:yVal>
            <c:numRef>
              <c:f>'7 percent discount'!$H$7</c:f>
              <c:numCache>
                <c:formatCode>_(* #,##0_);_(* \(#,##0\);_(* "-"_);_(@_)</c:formatCode>
                <c:ptCount val="1"/>
                <c:pt idx="0">
                  <c:v>9000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5FB-4A4F-B160-626D050CEC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4842200"/>
        <c:axId val="584842592"/>
      </c:scatterChart>
      <c:valAx>
        <c:axId val="584842200"/>
        <c:scaling>
          <c:logBase val="10"/>
          <c:orientation val="minMax"/>
          <c:min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 (years)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842592"/>
        <c:crosses val="autoZero"/>
        <c:crossBetween val="midCat"/>
      </c:valAx>
      <c:valAx>
        <c:axId val="584842592"/>
        <c:scaling>
          <c:orientation val="minMax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Qp (cfs)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8422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Current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 percent discount'!$G$8:$G$10</c:f>
              <c:numCache>
                <c:formatCode>_(* #,##0_);_(* \(#,##0\);_(* "-"_);_(@_)</c:formatCode>
                <c:ptCount val="3"/>
                <c:pt idx="0">
                  <c:v>9000</c:v>
                </c:pt>
                <c:pt idx="1">
                  <c:v>10505</c:v>
                </c:pt>
                <c:pt idx="2">
                  <c:v>13982</c:v>
                </c:pt>
              </c:numCache>
            </c:numRef>
          </c:xVal>
          <c:yVal>
            <c:numRef>
              <c:f>'3 percent discount'!$E$8:$E$10</c:f>
              <c:numCache>
                <c:formatCode>"$"#,##0</c:formatCode>
                <c:ptCount val="3"/>
                <c:pt idx="0">
                  <c:v>0</c:v>
                </c:pt>
                <c:pt idx="1">
                  <c:v>1630000</c:v>
                </c:pt>
                <c:pt idx="2">
                  <c:v>3227000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E50-430A-A509-2FC3A268300E}"/>
            </c:ext>
          </c:extLst>
        </c:ser>
        <c:ser>
          <c:idx val="1"/>
          <c:order val="1"/>
          <c:tx>
            <c:v>Future (interp)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'3 percent discount'!$H$7:$H$10</c:f>
              <c:numCache>
                <c:formatCode>_(* #,##0_);_(* \(#,##0\);_(* "-"_);_(@_)</c:formatCode>
                <c:ptCount val="4"/>
                <c:pt idx="0">
                  <c:v>9000</c:v>
                </c:pt>
                <c:pt idx="1">
                  <c:v>9979</c:v>
                </c:pt>
                <c:pt idx="2">
                  <c:v>11665</c:v>
                </c:pt>
                <c:pt idx="3">
                  <c:v>15562</c:v>
                </c:pt>
              </c:numCache>
            </c:numRef>
          </c:xVal>
          <c:yVal>
            <c:numRef>
              <c:f>'3 percent discount'!$J$7:$J$10</c:f>
              <c:numCache>
                <c:formatCode>"$"#,##0</c:formatCode>
                <c:ptCount val="4"/>
                <c:pt idx="0">
                  <c:v>0</c:v>
                </c:pt>
                <c:pt idx="1">
                  <c:v>1060312.292358804</c:v>
                </c:pt>
                <c:pt idx="2">
                  <c:v>2162792.6373310327</c:v>
                </c:pt>
                <c:pt idx="3">
                  <c:v>3591658.8470891146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E50-430A-A509-2FC3A2683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4701960"/>
        <c:axId val="584701568"/>
      </c:scatterChart>
      <c:valAx>
        <c:axId val="584701960"/>
        <c:scaling>
          <c:orientation val="minMax"/>
          <c:min val="8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Peak Discharge (cfs)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_);_(@_)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701568"/>
        <c:crosses val="autoZero"/>
        <c:crossBetween val="midCat"/>
      </c:valAx>
      <c:valAx>
        <c:axId val="584701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Damages ($)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7019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Current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 percent discount'!$D$8:$D$10</c:f>
              <c:numCache>
                <c:formatCode>General</c:formatCode>
                <c:ptCount val="3"/>
                <c:pt idx="0">
                  <c:v>50</c:v>
                </c:pt>
                <c:pt idx="1">
                  <c:v>100</c:v>
                </c:pt>
                <c:pt idx="2">
                  <c:v>500</c:v>
                </c:pt>
              </c:numCache>
            </c:numRef>
          </c:xVal>
          <c:yVal>
            <c:numRef>
              <c:f>'3 percent discount'!$G$8:$G$10</c:f>
              <c:numCache>
                <c:formatCode>_(* #,##0_);_(* \(#,##0\);_(* "-"_);_(@_)</c:formatCode>
                <c:ptCount val="3"/>
                <c:pt idx="0">
                  <c:v>9000</c:v>
                </c:pt>
                <c:pt idx="1">
                  <c:v>10505</c:v>
                </c:pt>
                <c:pt idx="2">
                  <c:v>13982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B8F-4642-9D43-97277481A8E0}"/>
            </c:ext>
          </c:extLst>
        </c:ser>
        <c:ser>
          <c:idx val="1"/>
          <c:order val="1"/>
          <c:tx>
            <c:v>Future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'3 percent discount'!$D$8:$D$10</c:f>
              <c:numCache>
                <c:formatCode>General</c:formatCode>
                <c:ptCount val="3"/>
                <c:pt idx="0">
                  <c:v>50</c:v>
                </c:pt>
                <c:pt idx="1">
                  <c:v>100</c:v>
                </c:pt>
                <c:pt idx="2">
                  <c:v>500</c:v>
                </c:pt>
              </c:numCache>
            </c:numRef>
          </c:xVal>
          <c:yVal>
            <c:numRef>
              <c:f>'3 percent discount'!$H$8:$H$10</c:f>
              <c:numCache>
                <c:formatCode>_(* #,##0_);_(* \(#,##0\);_(* "-"_);_(@_)</c:formatCode>
                <c:ptCount val="3"/>
                <c:pt idx="0">
                  <c:v>9979</c:v>
                </c:pt>
                <c:pt idx="1">
                  <c:v>11665</c:v>
                </c:pt>
                <c:pt idx="2">
                  <c:v>15562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B8F-4642-9D43-97277481A8E0}"/>
            </c:ext>
          </c:extLst>
        </c:ser>
        <c:ser>
          <c:idx val="2"/>
          <c:order val="2"/>
          <c:tx>
            <c:v>Future Trnd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'3 percent discount'!$I$7</c:f>
              <c:numCache>
                <c:formatCode>0</c:formatCode>
                <c:ptCount val="1"/>
                <c:pt idx="0">
                  <c:v>33.43279107449095</c:v>
                </c:pt>
              </c:numCache>
            </c:numRef>
          </c:xVal>
          <c:yVal>
            <c:numRef>
              <c:f>'3 percent discount'!$H$7</c:f>
              <c:numCache>
                <c:formatCode>_(* #,##0_);_(* \(#,##0\);_(* "-"_);_(@_)</c:formatCode>
                <c:ptCount val="1"/>
                <c:pt idx="0">
                  <c:v>9000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B8F-4642-9D43-97277481A8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9522152"/>
        <c:axId val="589523328"/>
      </c:scatterChart>
      <c:valAx>
        <c:axId val="589522152"/>
        <c:scaling>
          <c:logBase val="10"/>
          <c:orientation val="minMax"/>
          <c:min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 (years)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9523328"/>
        <c:crosses val="autoZero"/>
        <c:crossBetween val="midCat"/>
      </c:valAx>
      <c:valAx>
        <c:axId val="589523328"/>
        <c:scaling>
          <c:orientation val="minMax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Qp (cfs)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95221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Current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Blank!$G$8:$G$10</c:f>
              <c:numCache>
                <c:formatCode>_(* #,##0_);_(* \(#,##0\);_(* "-"_);_(@_)</c:formatCode>
                <c:ptCount val="3"/>
              </c:numCache>
            </c:numRef>
          </c:xVal>
          <c:yVal>
            <c:numRef>
              <c:f>Blank!$E$8:$E$10</c:f>
              <c:numCache>
                <c:formatCode>"$"#,##0</c:formatCode>
                <c:ptCount val="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8B8-4552-9340-7C4E9A3D90F7}"/>
            </c:ext>
          </c:extLst>
        </c:ser>
        <c:ser>
          <c:idx val="1"/>
          <c:order val="1"/>
          <c:tx>
            <c:v>Future (interp)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Blank!$H$7:$H$10</c:f>
              <c:numCache>
                <c:formatCode>_(* #,##0_);_(* \(#,##0\);_(* "-"_);_(@_)</c:formatCode>
                <c:ptCount val="4"/>
                <c:pt idx="0">
                  <c:v>0</c:v>
                </c:pt>
              </c:numCache>
            </c:numRef>
          </c:xVal>
          <c:yVal>
            <c:numRef>
              <c:f>Blank!$J$7:$J$10</c:f>
              <c:numCache>
                <c:formatCode>"$"#,##0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8B8-4552-9340-7C4E9A3D90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4679200"/>
        <c:axId val="584679592"/>
      </c:scatterChart>
      <c:valAx>
        <c:axId val="584679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Peak Discharge (cfs)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_);_(@_)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679592"/>
        <c:crosses val="autoZero"/>
        <c:crossBetween val="midCat"/>
      </c:valAx>
      <c:valAx>
        <c:axId val="584679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Damages ($)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6792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704571425003257E-2"/>
          <c:y val="0.15894856470643873"/>
          <c:w val="0.85713708863315163"/>
          <c:h val="0.7180923541651888"/>
        </c:manualLayout>
      </c:layout>
      <c:scatterChart>
        <c:scatterStyle val="lineMarker"/>
        <c:varyColors val="0"/>
        <c:ser>
          <c:idx val="0"/>
          <c:order val="0"/>
          <c:tx>
            <c:v>Current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Blank!$D$8:$D$10</c:f>
              <c:numCache>
                <c:formatCode>General</c:formatCode>
                <c:ptCount val="3"/>
              </c:numCache>
            </c:numRef>
          </c:xVal>
          <c:yVal>
            <c:numRef>
              <c:f>Blank!$G$8:$G$10</c:f>
              <c:numCache>
                <c:formatCode>_(* #,##0_);_(* \(#,##0\);_(* "-"_);_(@_)</c:formatCode>
                <c:ptCount val="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E0E-40AC-AF3E-B2E69565B8D1}"/>
            </c:ext>
          </c:extLst>
        </c:ser>
        <c:ser>
          <c:idx val="1"/>
          <c:order val="1"/>
          <c:tx>
            <c:v>Future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Blank!$D$8:$D$10</c:f>
              <c:numCache>
                <c:formatCode>General</c:formatCode>
                <c:ptCount val="3"/>
              </c:numCache>
            </c:numRef>
          </c:xVal>
          <c:yVal>
            <c:numRef>
              <c:f>Blank!$H$8:$H$10</c:f>
              <c:numCache>
                <c:formatCode>_(* #,##0_);_(* \(#,##0\);_(* "-"_);_(@_)</c:formatCode>
                <c:ptCount val="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E0E-40AC-AF3E-B2E69565B8D1}"/>
            </c:ext>
          </c:extLst>
        </c:ser>
        <c:ser>
          <c:idx val="2"/>
          <c:order val="2"/>
          <c:tx>
            <c:v>Future Trnd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Blank!$I$7</c:f>
              <c:numCache>
                <c:formatCode>0</c:formatCode>
                <c:ptCount val="1"/>
                <c:pt idx="0">
                  <c:v>0</c:v>
                </c:pt>
              </c:numCache>
            </c:numRef>
          </c:xVal>
          <c:yVal>
            <c:numRef>
              <c:f>Blank!$H$7</c:f>
              <c:numCache>
                <c:formatCode>_(* #,##0_);_(* \(#,##0\);_(* "-"_);_(@_)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E0E-40AC-AF3E-B2E69565B8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5515960"/>
        <c:axId val="586024864"/>
      </c:scatterChart>
      <c:valAx>
        <c:axId val="585515960"/>
        <c:scaling>
          <c:logBase val="10"/>
          <c:orientation val="minMax"/>
          <c:min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 (years)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6024864"/>
        <c:crosses val="autoZero"/>
        <c:crossBetween val="midCat"/>
      </c:valAx>
      <c:valAx>
        <c:axId val="586024864"/>
        <c:scaling>
          <c:orientation val="minMax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Qp (cfs)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55159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483870</xdr:colOff>
      <xdr:row>15</xdr:row>
      <xdr:rowOff>118110</xdr:rowOff>
    </xdr:from>
    <xdr:to>
      <xdr:col>13</xdr:col>
      <xdr:colOff>830580</xdr:colOff>
      <xdr:row>29</xdr:row>
      <xdr:rowOff>157734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140970</xdr:colOff>
      <xdr:row>15</xdr:row>
      <xdr:rowOff>99060</xdr:rowOff>
    </xdr:from>
    <xdr:to>
      <xdr:col>7</xdr:col>
      <xdr:colOff>154305</xdr:colOff>
      <xdr:row>29</xdr:row>
      <xdr:rowOff>138684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285750</xdr:colOff>
      <xdr:row>15</xdr:row>
      <xdr:rowOff>184785</xdr:rowOff>
    </xdr:from>
    <xdr:to>
      <xdr:col>13</xdr:col>
      <xdr:colOff>632460</xdr:colOff>
      <xdr:row>30</xdr:row>
      <xdr:rowOff>33909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140970</xdr:colOff>
      <xdr:row>16</xdr:row>
      <xdr:rowOff>13335</xdr:rowOff>
    </xdr:from>
    <xdr:to>
      <xdr:col>7</xdr:col>
      <xdr:colOff>135255</xdr:colOff>
      <xdr:row>30</xdr:row>
      <xdr:rowOff>52959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575310</xdr:colOff>
      <xdr:row>16</xdr:row>
      <xdr:rowOff>0</xdr:rowOff>
    </xdr:from>
    <xdr:to>
      <xdr:col>14</xdr:col>
      <xdr:colOff>17145</xdr:colOff>
      <xdr:row>30</xdr:row>
      <xdr:rowOff>39624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140970</xdr:colOff>
      <xdr:row>16</xdr:row>
      <xdr:rowOff>13335</xdr:rowOff>
    </xdr:from>
    <xdr:to>
      <xdr:col>7</xdr:col>
      <xdr:colOff>135255</xdr:colOff>
      <xdr:row>30</xdr:row>
      <xdr:rowOff>52959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21"/>
  <sheetViews>
    <sheetView tabSelected="1" workbookViewId="0">
      <selection activeCell="I8" sqref="I8"/>
    </sheetView>
  </sheetViews>
  <sheetFormatPr defaultRowHeight="15" x14ac:dyDescent="0.25"/>
  <cols>
    <col min="1" max="1" width="2.42578125" customWidth="1"/>
    <col min="2" max="2" width="17" customWidth="1"/>
    <col min="5" max="5" width="13.5703125" customWidth="1"/>
    <col min="6" max="6" width="11.42578125" customWidth="1"/>
    <col min="10" max="10" width="13" customWidth="1"/>
    <col min="11" max="11" width="11.140625" bestFit="1" customWidth="1"/>
    <col min="13" max="13" width="10.140625" customWidth="1"/>
    <col min="14" max="14" width="13.42578125" customWidth="1"/>
    <col min="15" max="15" width="10.85546875" customWidth="1"/>
    <col min="18" max="18" width="11" bestFit="1" customWidth="1"/>
  </cols>
  <sheetData>
    <row r="1" spans="2:29" x14ac:dyDescent="0.25">
      <c r="B1" s="181" t="s">
        <v>29</v>
      </c>
      <c r="C1" s="181"/>
      <c r="D1" s="181"/>
    </row>
    <row r="2" spans="2:29" ht="18" customHeight="1" x14ac:dyDescent="0.25">
      <c r="B2" s="182" t="s">
        <v>30</v>
      </c>
      <c r="C2" s="183"/>
      <c r="D2" s="183"/>
    </row>
    <row r="3" spans="2:29" ht="15.75" thickBot="1" x14ac:dyDescent="0.3">
      <c r="B3" s="184" t="s">
        <v>31</v>
      </c>
      <c r="C3" s="184"/>
      <c r="D3" s="184"/>
      <c r="M3" s="94"/>
    </row>
    <row r="4" spans="2:29" ht="15.75" thickBot="1" x14ac:dyDescent="0.3">
      <c r="C4" s="10">
        <v>1</v>
      </c>
      <c r="D4" s="11">
        <v>2</v>
      </c>
      <c r="E4" s="11">
        <v>3</v>
      </c>
      <c r="F4" s="11">
        <v>4</v>
      </c>
      <c r="G4" s="11">
        <v>5</v>
      </c>
      <c r="H4" s="11">
        <v>6</v>
      </c>
      <c r="I4" s="11">
        <v>7</v>
      </c>
      <c r="J4" s="11">
        <v>8</v>
      </c>
      <c r="K4" s="12">
        <v>9</v>
      </c>
      <c r="M4" s="93"/>
    </row>
    <row r="5" spans="2:29" x14ac:dyDescent="0.25">
      <c r="B5" s="114"/>
      <c r="C5" s="185" t="s">
        <v>11</v>
      </c>
      <c r="D5" s="186"/>
      <c r="E5" s="186"/>
      <c r="F5" s="186"/>
      <c r="G5" s="187"/>
      <c r="H5" s="188" t="s">
        <v>12</v>
      </c>
      <c r="I5" s="186"/>
      <c r="J5" s="186"/>
      <c r="K5" s="189"/>
      <c r="L5" s="178"/>
      <c r="M5" s="179"/>
      <c r="N5" s="179"/>
      <c r="O5" s="180"/>
    </row>
    <row r="6" spans="2:29" ht="81.75" customHeight="1" thickBot="1" x14ac:dyDescent="0.4">
      <c r="B6" s="114"/>
      <c r="C6" s="99"/>
      <c r="D6" s="100"/>
      <c r="E6" s="100"/>
      <c r="F6" s="100"/>
      <c r="G6" s="14"/>
      <c r="H6" s="49" t="s">
        <v>32</v>
      </c>
      <c r="I6" s="52" t="s">
        <v>33</v>
      </c>
      <c r="J6" s="50" t="s">
        <v>34</v>
      </c>
      <c r="K6" s="51" t="s">
        <v>35</v>
      </c>
      <c r="L6" s="23"/>
      <c r="M6" s="107"/>
      <c r="N6" s="96" t="s">
        <v>20</v>
      </c>
      <c r="O6" s="29" t="s">
        <v>19</v>
      </c>
      <c r="P6" s="108"/>
      <c r="Q6" s="109"/>
      <c r="R6" s="23"/>
      <c r="S6" s="23"/>
      <c r="T6" s="23"/>
      <c r="U6" s="23"/>
      <c r="V6" s="23"/>
      <c r="W6" s="23"/>
      <c r="X6" s="104"/>
      <c r="Y6" s="104"/>
      <c r="Z6" s="104"/>
      <c r="AA6" s="104"/>
      <c r="AB6" s="104"/>
      <c r="AC6" s="104"/>
    </row>
    <row r="7" spans="2:29" ht="48.75" thickBot="1" x14ac:dyDescent="0.4">
      <c r="B7" s="114"/>
      <c r="C7" s="13"/>
      <c r="D7" s="76" t="s">
        <v>36</v>
      </c>
      <c r="E7" s="77" t="s">
        <v>5</v>
      </c>
      <c r="F7" s="77" t="s">
        <v>37</v>
      </c>
      <c r="G7" s="78" t="s">
        <v>38</v>
      </c>
      <c r="H7" s="53">
        <f>+G8</f>
        <v>9000</v>
      </c>
      <c r="I7" s="101">
        <f>10^(LOG(I9)-(LOG(I9)-LOG(I8))*(H9-H7)/(H9-H8))</f>
        <v>33.43279107449095</v>
      </c>
      <c r="J7" s="68">
        <v>0</v>
      </c>
      <c r="K7" s="48">
        <v>0</v>
      </c>
      <c r="L7" s="41">
        <v>9000</v>
      </c>
      <c r="M7" s="110"/>
      <c r="N7" s="98">
        <v>0</v>
      </c>
      <c r="O7" s="30">
        <v>0</v>
      </c>
      <c r="P7" s="111"/>
      <c r="Q7" s="112"/>
      <c r="R7" s="23"/>
      <c r="S7" s="23"/>
      <c r="T7" s="23"/>
      <c r="U7" s="23" t="s">
        <v>4</v>
      </c>
      <c r="V7" s="23">
        <f>1/I7</f>
        <v>2.9910754318175813E-2</v>
      </c>
      <c r="W7" s="23" t="e">
        <f>1/M4</f>
        <v>#DIV/0!</v>
      </c>
      <c r="X7" s="104"/>
      <c r="Y7" s="104"/>
      <c r="Z7" s="104"/>
      <c r="AA7" s="104"/>
      <c r="AB7" s="104"/>
      <c r="AC7" s="104"/>
    </row>
    <row r="8" spans="2:29" ht="61.5" x14ac:dyDescent="0.35">
      <c r="B8" s="105" t="s">
        <v>21</v>
      </c>
      <c r="C8" s="106" t="s">
        <v>39</v>
      </c>
      <c r="D8" s="74">
        <v>50</v>
      </c>
      <c r="E8" s="60">
        <v>0</v>
      </c>
      <c r="F8" s="47">
        <v>0</v>
      </c>
      <c r="G8" s="75">
        <v>9000</v>
      </c>
      <c r="H8" s="59">
        <v>9979</v>
      </c>
      <c r="I8" s="69">
        <f>D8</f>
        <v>50</v>
      </c>
      <c r="J8" s="102">
        <f>+E8+(H8-G8)*(E9-E8)/(G9-G8)</f>
        <v>1060312.292358804</v>
      </c>
      <c r="K8" s="15">
        <f>AVERAGE(J7:J8)*(1/I7-1/I8)</f>
        <v>5254.2473150549558</v>
      </c>
      <c r="L8" s="42">
        <v>9979</v>
      </c>
      <c r="M8" s="25">
        <v>50</v>
      </c>
      <c r="N8" s="26">
        <v>0</v>
      </c>
      <c r="O8" s="30" t="e">
        <f>AVERAGE(N6:N8)*(1/M4-1/M8)</f>
        <v>#DIV/0!</v>
      </c>
      <c r="P8" s="112"/>
      <c r="Q8" s="112"/>
      <c r="R8" s="23"/>
      <c r="S8" s="23"/>
      <c r="T8" s="23"/>
      <c r="U8" s="23">
        <f>1/D8</f>
        <v>0.02</v>
      </c>
      <c r="V8" s="23">
        <f t="shared" ref="V8:V10" si="0">1/I8</f>
        <v>0.02</v>
      </c>
      <c r="W8" s="23">
        <f t="shared" ref="W8:W10" si="1">1/M8</f>
        <v>0.02</v>
      </c>
      <c r="X8" s="104"/>
      <c r="Y8" s="104"/>
      <c r="Z8" s="104"/>
      <c r="AA8" s="104"/>
      <c r="AB8" s="104"/>
      <c r="AC8" s="104"/>
    </row>
    <row r="9" spans="2:29" ht="61.5" x14ac:dyDescent="0.35">
      <c r="B9" s="71" t="s">
        <v>22</v>
      </c>
      <c r="C9" s="16" t="s">
        <v>40</v>
      </c>
      <c r="D9" s="56">
        <v>100</v>
      </c>
      <c r="E9" s="57">
        <v>1630000</v>
      </c>
      <c r="F9" s="8">
        <f>AVERAGE(E8:E9)*(1/Trnd-1/Trnext)</f>
        <v>8150</v>
      </c>
      <c r="G9" s="58">
        <v>10505</v>
      </c>
      <c r="H9" s="59">
        <v>11665</v>
      </c>
      <c r="I9" s="69">
        <f t="shared" ref="I9:I10" si="2">D9</f>
        <v>100</v>
      </c>
      <c r="J9" s="102">
        <f>+E9+(H9-G9)*(E10-E9)/(G10-G9)</f>
        <v>2162792.6373310327</v>
      </c>
      <c r="K9" s="15">
        <f>AVERAGE(J8:J9)*(1/I8-1/I9)</f>
        <v>16115.524648449184</v>
      </c>
      <c r="L9" s="41">
        <v>11665</v>
      </c>
      <c r="M9" s="25">
        <v>100</v>
      </c>
      <c r="N9" s="27">
        <v>500000</v>
      </c>
      <c r="O9" s="30">
        <f>AVERAGE(N8:N9)*(1/M8-1/M9)</f>
        <v>2500</v>
      </c>
      <c r="P9" s="113"/>
      <c r="Q9" s="32"/>
      <c r="R9" s="23"/>
      <c r="S9" s="23"/>
      <c r="T9" s="23"/>
      <c r="U9" s="23">
        <f>1/D9</f>
        <v>0.01</v>
      </c>
      <c r="V9" s="23">
        <f t="shared" si="0"/>
        <v>0.01</v>
      </c>
      <c r="W9" s="23">
        <f t="shared" si="1"/>
        <v>0.01</v>
      </c>
      <c r="X9" s="104"/>
      <c r="Y9" s="104"/>
      <c r="Z9" s="104"/>
      <c r="AA9" s="104"/>
      <c r="AB9" s="104"/>
      <c r="AC9" s="104"/>
    </row>
    <row r="10" spans="2:29" ht="62.25" thickBot="1" x14ac:dyDescent="0.4">
      <c r="B10" s="84" t="s">
        <v>23</v>
      </c>
      <c r="C10" s="85" t="s">
        <v>41</v>
      </c>
      <c r="D10" s="86">
        <v>500</v>
      </c>
      <c r="E10" s="87">
        <v>3227000</v>
      </c>
      <c r="F10" s="88">
        <f>AVERAGE(E9:E10)*(1/Trnext-1/Trmax)</f>
        <v>19428</v>
      </c>
      <c r="G10" s="89">
        <v>13982</v>
      </c>
      <c r="H10" s="90">
        <v>15562</v>
      </c>
      <c r="I10" s="91">
        <f t="shared" si="2"/>
        <v>500</v>
      </c>
      <c r="J10" s="103">
        <f>+E10+(H10-G10)*(E11-E10)/(G11-G10)</f>
        <v>3591658.8470891146</v>
      </c>
      <c r="K10" s="92">
        <f>AVERAGE(J9:J10)*(1/I9-1/I10)</f>
        <v>23017.805937680587</v>
      </c>
      <c r="L10" s="41">
        <v>15562</v>
      </c>
      <c r="M10" s="25">
        <v>500</v>
      </c>
      <c r="N10" s="27">
        <v>1250000</v>
      </c>
      <c r="O10" s="30">
        <f>AVERAGE(N9:N10)*(1/M9-1/M10)</f>
        <v>7000</v>
      </c>
      <c r="P10" s="23"/>
      <c r="Q10" s="32">
        <f>(E11-E10)/(G11-G10)</f>
        <v>230.79673866399656</v>
      </c>
      <c r="R10" s="23"/>
      <c r="S10" s="23"/>
      <c r="T10" s="23"/>
      <c r="U10" s="23">
        <f>1/D10</f>
        <v>2E-3</v>
      </c>
      <c r="V10" s="23">
        <f t="shared" si="0"/>
        <v>2E-3</v>
      </c>
      <c r="W10" s="23">
        <f t="shared" si="1"/>
        <v>2E-3</v>
      </c>
      <c r="X10" s="104"/>
      <c r="Y10" s="104"/>
      <c r="Z10" s="104"/>
      <c r="AA10" s="104"/>
      <c r="AB10" s="104"/>
      <c r="AC10" s="104"/>
    </row>
    <row r="11" spans="2:29" x14ac:dyDescent="0.25">
      <c r="B11" s="5"/>
      <c r="C11" s="5" t="s">
        <v>24</v>
      </c>
      <c r="D11" s="79"/>
      <c r="E11" s="80"/>
      <c r="F11" s="81">
        <f>SUM(F8:F10)</f>
        <v>27578</v>
      </c>
      <c r="G11" s="82"/>
      <c r="H11" s="5" t="s">
        <v>25</v>
      </c>
      <c r="I11" s="6"/>
      <c r="J11" s="6"/>
      <c r="K11" s="83">
        <f>SUM(K7:K10)</f>
        <v>44387.577901184726</v>
      </c>
      <c r="L11" s="40" t="s">
        <v>15</v>
      </c>
      <c r="M11" s="35"/>
      <c r="N11" s="28"/>
      <c r="O11" s="31" t="e">
        <f>SUM(O7:O10)</f>
        <v>#DIV/0!</v>
      </c>
      <c r="P11" s="23"/>
      <c r="Q11" s="23"/>
      <c r="R11" s="23"/>
      <c r="S11" s="23"/>
      <c r="T11" s="23"/>
      <c r="U11" s="23"/>
      <c r="V11" s="23"/>
      <c r="W11" s="23"/>
      <c r="X11" s="104"/>
      <c r="Y11" s="104"/>
      <c r="Z11" s="104"/>
      <c r="AA11" s="104"/>
      <c r="AB11" s="104"/>
      <c r="AC11" s="104"/>
    </row>
    <row r="12" spans="2:29" ht="30" x14ac:dyDescent="0.25">
      <c r="B12" s="72" t="s">
        <v>7</v>
      </c>
      <c r="C12" s="17" t="s">
        <v>0</v>
      </c>
      <c r="D12" s="61">
        <v>50</v>
      </c>
      <c r="E12" s="6"/>
      <c r="F12" s="6"/>
      <c r="G12" s="6"/>
      <c r="H12" s="54" t="s">
        <v>26</v>
      </c>
      <c r="I12" s="4"/>
      <c r="J12" s="4"/>
      <c r="K12" s="45">
        <f>PVC*K11</f>
        <v>612581.70122091949</v>
      </c>
      <c r="L12" s="43" t="s">
        <v>14</v>
      </c>
      <c r="M12" s="34"/>
      <c r="N12" s="35"/>
      <c r="O12" s="36" t="e">
        <f>PVC*O11</f>
        <v>#DIV/0!</v>
      </c>
      <c r="P12" s="23"/>
      <c r="Q12" s="23"/>
      <c r="R12" s="33">
        <f>AVERAGE(J7:J8)</f>
        <v>530156.14617940201</v>
      </c>
      <c r="S12" s="23"/>
      <c r="T12" s="23"/>
      <c r="U12" s="23"/>
      <c r="V12" s="23"/>
      <c r="W12" s="23"/>
      <c r="X12" s="104"/>
      <c r="Y12" s="104"/>
      <c r="Z12" s="104"/>
      <c r="AA12" s="104"/>
      <c r="AB12" s="104"/>
      <c r="AC12" s="104"/>
    </row>
    <row r="13" spans="2:29" x14ac:dyDescent="0.25">
      <c r="B13" s="72" t="s">
        <v>8</v>
      </c>
      <c r="C13" s="17" t="s">
        <v>1</v>
      </c>
      <c r="D13" s="62">
        <v>7</v>
      </c>
      <c r="E13" s="6"/>
      <c r="F13" s="6"/>
      <c r="G13" s="6"/>
      <c r="H13" s="54" t="s">
        <v>27</v>
      </c>
      <c r="I13" s="4"/>
      <c r="J13" s="4"/>
      <c r="K13" s="45">
        <f>+Benefits</f>
        <v>380596.98129686894</v>
      </c>
      <c r="L13" s="40" t="s">
        <v>13</v>
      </c>
      <c r="M13" s="35"/>
      <c r="N13" s="34"/>
      <c r="O13" s="37">
        <f>+K12</f>
        <v>612581.70122091949</v>
      </c>
      <c r="P13" s="23"/>
      <c r="Q13" s="23"/>
      <c r="R13" s="23">
        <f>1/I7-1/I8</f>
        <v>9.9107543181758129E-3</v>
      </c>
      <c r="S13" s="23"/>
      <c r="T13" s="23"/>
      <c r="U13" s="23"/>
      <c r="V13" s="23"/>
      <c r="W13" s="23"/>
      <c r="X13" s="104"/>
      <c r="Y13" s="104"/>
      <c r="Z13" s="104"/>
      <c r="AA13" s="104"/>
      <c r="AB13" s="104"/>
      <c r="AC13" s="104"/>
    </row>
    <row r="14" spans="2:29" ht="30" x14ac:dyDescent="0.25">
      <c r="B14" s="72" t="s">
        <v>9</v>
      </c>
      <c r="C14" s="17" t="s">
        <v>2</v>
      </c>
      <c r="D14" s="7">
        <f>PV(i/100,PUL,-1)</f>
        <v>13.800746294033974</v>
      </c>
      <c r="E14" s="18"/>
      <c r="F14" s="6"/>
      <c r="G14" s="6"/>
      <c r="H14" s="54" t="s">
        <v>28</v>
      </c>
      <c r="I14" s="4"/>
      <c r="J14" s="4"/>
      <c r="K14" s="45">
        <f>+K12-K13</f>
        <v>231984.71992405056</v>
      </c>
      <c r="L14" s="43" t="s">
        <v>18</v>
      </c>
      <c r="M14" s="35"/>
      <c r="N14" s="35"/>
      <c r="O14" s="37" t="e">
        <f>+O13-O12</f>
        <v>#DIV/0!</v>
      </c>
      <c r="P14" s="23"/>
      <c r="Q14" s="23"/>
      <c r="R14" s="23"/>
      <c r="S14" s="23"/>
      <c r="T14" s="23"/>
      <c r="U14" s="23"/>
      <c r="V14" s="23"/>
      <c r="W14" s="23"/>
      <c r="X14" s="104"/>
      <c r="Y14" s="104"/>
      <c r="Z14" s="104"/>
      <c r="AA14" s="104"/>
      <c r="AB14" s="104"/>
      <c r="AC14" s="104"/>
    </row>
    <row r="15" spans="2:29" ht="30.75" thickBot="1" x14ac:dyDescent="0.3">
      <c r="B15" s="73" t="s">
        <v>10</v>
      </c>
      <c r="C15" s="19" t="s">
        <v>3</v>
      </c>
      <c r="D15" s="20">
        <f>PVC*F11</f>
        <v>380596.98129686894</v>
      </c>
      <c r="E15" s="21"/>
      <c r="F15" s="3"/>
      <c r="G15" s="3"/>
      <c r="H15" s="55" t="s">
        <v>6</v>
      </c>
      <c r="I15" s="22"/>
      <c r="J15" s="22"/>
      <c r="K15" s="46">
        <f>+K14</f>
        <v>231984.71992405056</v>
      </c>
      <c r="L15" s="44" t="s">
        <v>17</v>
      </c>
      <c r="M15" s="38"/>
      <c r="N15" s="35"/>
      <c r="O15" s="37">
        <v>150000</v>
      </c>
      <c r="P15" s="23"/>
      <c r="Q15" s="23"/>
      <c r="R15" s="23"/>
      <c r="S15" s="23"/>
      <c r="T15" s="23"/>
      <c r="U15" s="23"/>
      <c r="V15" s="23"/>
      <c r="W15" s="23"/>
      <c r="X15" s="104"/>
      <c r="Y15" s="104"/>
      <c r="Z15" s="104"/>
      <c r="AA15" s="104"/>
      <c r="AB15" s="104"/>
      <c r="AC15" s="104"/>
    </row>
    <row r="16" spans="2:29" x14ac:dyDescent="0.25">
      <c r="B16" s="1"/>
      <c r="L16" s="35" t="s">
        <v>16</v>
      </c>
      <c r="M16" s="35"/>
      <c r="N16" s="40"/>
      <c r="O16" s="39" t="e">
        <f>+O14/O15</f>
        <v>#DIV/0!</v>
      </c>
    </row>
    <row r="17" spans="10:15" x14ac:dyDescent="0.25">
      <c r="L17" s="24"/>
      <c r="M17" s="34"/>
      <c r="N17" s="37"/>
      <c r="O17" s="34"/>
    </row>
    <row r="21" spans="10:15" x14ac:dyDescent="0.25">
      <c r="J21" s="2"/>
    </row>
  </sheetData>
  <sheetProtection algorithmName="SHA-512" hashValue="I0sLbRT3780ugCO+OOuvI+vsYmFy7u4hjvwoTzeomUmxbdzbXJkhQ0AWOfDaD2b2bWyKpnJj7fVZpA58vmrXFQ==" saltValue="mDbDWZtBMN0uFCBTKiVWhg==" spinCount="100000" sheet="1" objects="1" scenarios="1"/>
  <mergeCells count="6">
    <mergeCell ref="L5:O5"/>
    <mergeCell ref="B1:D1"/>
    <mergeCell ref="B2:D2"/>
    <mergeCell ref="B3:D3"/>
    <mergeCell ref="C5:G5"/>
    <mergeCell ref="H5:K5"/>
  </mergeCells>
  <pageMargins left="0.7" right="0.7" top="0.75" bottom="0.75" header="0.3" footer="0.3"/>
  <pageSetup scale="67" orientation="landscape" r:id="rId1"/>
  <ignoredErrors>
    <ignoredError sqref="O9:O10" formulaRange="1"/>
    <ignoredError sqref="O8 W7 O11:O12 O14 O16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21"/>
  <sheetViews>
    <sheetView topLeftCell="A3" workbookViewId="0">
      <selection activeCell="N11" sqref="N11"/>
    </sheetView>
  </sheetViews>
  <sheetFormatPr defaultRowHeight="15" x14ac:dyDescent="0.25"/>
  <cols>
    <col min="1" max="1" width="2.7109375" customWidth="1"/>
    <col min="2" max="2" width="17" customWidth="1"/>
    <col min="5" max="5" width="13.5703125" customWidth="1"/>
    <col min="6" max="6" width="11.42578125" customWidth="1"/>
    <col min="10" max="10" width="13" customWidth="1"/>
    <col min="11" max="11" width="11.140625" bestFit="1" customWidth="1"/>
    <col min="13" max="13" width="10.140625" customWidth="1"/>
    <col min="14" max="14" width="13.42578125" customWidth="1"/>
    <col min="15" max="15" width="10.85546875" customWidth="1"/>
    <col min="18" max="18" width="11" bestFit="1" customWidth="1"/>
  </cols>
  <sheetData>
    <row r="1" spans="2:25" x14ac:dyDescent="0.25">
      <c r="B1" s="181" t="s">
        <v>29</v>
      </c>
      <c r="C1" s="181"/>
      <c r="D1" s="181"/>
    </row>
    <row r="2" spans="2:25" x14ac:dyDescent="0.25">
      <c r="B2" s="182" t="s">
        <v>30</v>
      </c>
      <c r="C2" s="183"/>
      <c r="D2" s="183"/>
    </row>
    <row r="3" spans="2:25" ht="15.75" thickBot="1" x14ac:dyDescent="0.3">
      <c r="B3" s="184" t="s">
        <v>31</v>
      </c>
      <c r="C3" s="184"/>
      <c r="D3" s="184"/>
      <c r="M3" s="94"/>
    </row>
    <row r="4" spans="2:25" ht="15.75" thickBot="1" x14ac:dyDescent="0.3">
      <c r="C4" s="10">
        <v>1</v>
      </c>
      <c r="D4" s="11">
        <v>2</v>
      </c>
      <c r="E4" s="11">
        <v>3</v>
      </c>
      <c r="F4" s="11">
        <v>4</v>
      </c>
      <c r="G4" s="11">
        <v>5</v>
      </c>
      <c r="H4" s="11">
        <v>6</v>
      </c>
      <c r="I4" s="11">
        <v>7</v>
      </c>
      <c r="J4" s="11">
        <v>8</v>
      </c>
      <c r="K4" s="12">
        <v>9</v>
      </c>
      <c r="M4" s="93"/>
    </row>
    <row r="5" spans="2:25" x14ac:dyDescent="0.25">
      <c r="B5" s="70"/>
      <c r="C5" s="185" t="s">
        <v>11</v>
      </c>
      <c r="D5" s="186"/>
      <c r="E5" s="186"/>
      <c r="F5" s="186"/>
      <c r="G5" s="187"/>
      <c r="H5" s="188" t="s">
        <v>12</v>
      </c>
      <c r="I5" s="186"/>
      <c r="J5" s="186"/>
      <c r="K5" s="189"/>
      <c r="L5" s="178"/>
      <c r="M5" s="179"/>
      <c r="N5" s="179"/>
      <c r="O5" s="180"/>
    </row>
    <row r="6" spans="2:25" ht="81.75" customHeight="1" thickBot="1" x14ac:dyDescent="0.4">
      <c r="B6" s="5"/>
      <c r="C6" s="99"/>
      <c r="D6" s="100"/>
      <c r="E6" s="100"/>
      <c r="F6" s="100"/>
      <c r="G6" s="14"/>
      <c r="H6" s="49" t="s">
        <v>32</v>
      </c>
      <c r="I6" s="52" t="s">
        <v>33</v>
      </c>
      <c r="J6" s="50" t="s">
        <v>34</v>
      </c>
      <c r="K6" s="51" t="s">
        <v>35</v>
      </c>
      <c r="M6" s="95"/>
      <c r="N6" s="96" t="s">
        <v>20</v>
      </c>
      <c r="O6" s="29" t="s">
        <v>19</v>
      </c>
      <c r="P6" s="66"/>
      <c r="Q6" s="67"/>
    </row>
    <row r="7" spans="2:25" ht="48.75" thickBot="1" x14ac:dyDescent="0.4">
      <c r="B7" s="5"/>
      <c r="C7" s="13"/>
      <c r="D7" s="76" t="s">
        <v>36</v>
      </c>
      <c r="E7" s="77" t="s">
        <v>5</v>
      </c>
      <c r="F7" s="77" t="s">
        <v>37</v>
      </c>
      <c r="G7" s="78" t="s">
        <v>38</v>
      </c>
      <c r="H7" s="53">
        <f>+G8</f>
        <v>9000</v>
      </c>
      <c r="I7" s="101">
        <f>10^(LOG(I9)-(LOG(I9)-LOG(I8))*(H9-H7)/(H9-H8))</f>
        <v>33.43279107449095</v>
      </c>
      <c r="J7" s="68">
        <v>0</v>
      </c>
      <c r="K7" s="48">
        <v>0</v>
      </c>
      <c r="L7" s="41">
        <v>9000</v>
      </c>
      <c r="M7" s="97"/>
      <c r="N7" s="98">
        <v>0</v>
      </c>
      <c r="O7" s="30">
        <v>0</v>
      </c>
      <c r="P7" s="63"/>
      <c r="Q7" s="64"/>
      <c r="U7" s="23" t="s">
        <v>4</v>
      </c>
      <c r="V7" s="23">
        <f>1/I7</f>
        <v>2.9910754318175813E-2</v>
      </c>
      <c r="W7" s="23" t="e">
        <f>1/M4</f>
        <v>#DIV/0!</v>
      </c>
    </row>
    <row r="8" spans="2:25" ht="61.5" x14ac:dyDescent="0.35">
      <c r="B8" s="71" t="s">
        <v>21</v>
      </c>
      <c r="C8" s="16" t="s">
        <v>39</v>
      </c>
      <c r="D8" s="165">
        <v>50</v>
      </c>
      <c r="E8" s="166">
        <v>0</v>
      </c>
      <c r="F8" s="47">
        <v>0</v>
      </c>
      <c r="G8" s="173">
        <v>9000</v>
      </c>
      <c r="H8" s="174">
        <v>9979</v>
      </c>
      <c r="I8" s="69">
        <f>D8</f>
        <v>50</v>
      </c>
      <c r="J8" s="102">
        <f>+E8+(H8-G8)*(E9-E8)/(G9-G8)</f>
        <v>1060312.292358804</v>
      </c>
      <c r="K8" s="15">
        <f>AVERAGE(J7:J8)*(1/I7-1/I8)</f>
        <v>5254.2473150549558</v>
      </c>
      <c r="L8" s="42">
        <v>9979</v>
      </c>
      <c r="M8" s="25">
        <v>50</v>
      </c>
      <c r="N8" s="115">
        <v>0</v>
      </c>
      <c r="O8" s="116"/>
      <c r="P8" s="117"/>
      <c r="Q8" s="30" t="e">
        <f>AVERAGE(N6:N8)*(1/M4-1/M8)</f>
        <v>#DIV/0!</v>
      </c>
      <c r="R8" s="64"/>
      <c r="S8" s="64"/>
      <c r="W8" s="23">
        <f>1/D8</f>
        <v>0.02</v>
      </c>
      <c r="X8" s="23">
        <f t="shared" ref="X8:X10" si="0">1/I8</f>
        <v>0.02</v>
      </c>
      <c r="Y8" s="23">
        <f t="shared" ref="Y8:Y10" si="1">1/M8</f>
        <v>0.02</v>
      </c>
    </row>
    <row r="9" spans="2:25" ht="61.5" x14ac:dyDescent="0.35">
      <c r="B9" s="71" t="s">
        <v>22</v>
      </c>
      <c r="C9" s="16" t="s">
        <v>40</v>
      </c>
      <c r="D9" s="167">
        <v>100</v>
      </c>
      <c r="E9" s="168">
        <v>1630000</v>
      </c>
      <c r="F9" s="8">
        <f>AVERAGE(E8:E9)*(1/Trnd-1/Trnext)</f>
        <v>8150</v>
      </c>
      <c r="G9" s="175">
        <v>10505</v>
      </c>
      <c r="H9" s="174">
        <v>11665</v>
      </c>
      <c r="I9" s="69">
        <f t="shared" ref="I9:I10" si="2">D9</f>
        <v>100</v>
      </c>
      <c r="J9" s="102">
        <f>+E9+(H9-G9)*(E10-E9)/(G10-G9)</f>
        <v>2162792.6373310327</v>
      </c>
      <c r="K9" s="15">
        <f>AVERAGE(J8:J9)*(1/I8-1/I9)</f>
        <v>16115.524648449184</v>
      </c>
      <c r="L9" s="41">
        <v>11665</v>
      </c>
      <c r="M9" s="25">
        <v>100</v>
      </c>
      <c r="N9" s="118">
        <v>500000</v>
      </c>
      <c r="O9" s="119"/>
      <c r="P9" s="120"/>
      <c r="Q9" s="30">
        <f>AVERAGE(N8:N9)*(1/M8-1/M9)</f>
        <v>2500</v>
      </c>
      <c r="R9" s="65"/>
      <c r="S9" s="9"/>
      <c r="W9" s="23">
        <f>1/D9</f>
        <v>0.01</v>
      </c>
      <c r="X9" s="23">
        <f t="shared" si="0"/>
        <v>0.01</v>
      </c>
      <c r="Y9" s="23">
        <f t="shared" si="1"/>
        <v>0.01</v>
      </c>
    </row>
    <row r="10" spans="2:25" ht="62.25" thickBot="1" x14ac:dyDescent="0.4">
      <c r="B10" s="84" t="s">
        <v>23</v>
      </c>
      <c r="C10" s="85" t="s">
        <v>41</v>
      </c>
      <c r="D10" s="169">
        <v>500</v>
      </c>
      <c r="E10" s="170">
        <v>3227000</v>
      </c>
      <c r="F10" s="88">
        <f>AVERAGE(E9:E10)*(1/Trnext-1/Trmax)</f>
        <v>19428</v>
      </c>
      <c r="G10" s="176">
        <v>13982</v>
      </c>
      <c r="H10" s="177">
        <v>15562</v>
      </c>
      <c r="I10" s="91">
        <f t="shared" si="2"/>
        <v>500</v>
      </c>
      <c r="J10" s="103">
        <f>+E10+(H10-G10)*(E11-E10)/(G11-G10)</f>
        <v>3591658.8470891146</v>
      </c>
      <c r="K10" s="92">
        <f>AVERAGE(J9:J10)*(1/I9-1/I10)</f>
        <v>23017.805937680587</v>
      </c>
      <c r="L10" s="41">
        <v>15562</v>
      </c>
      <c r="M10" s="25">
        <v>500</v>
      </c>
      <c r="N10" s="121">
        <v>1250000</v>
      </c>
      <c r="O10" s="122"/>
      <c r="P10" s="123"/>
      <c r="Q10" s="30">
        <f>AVERAGE(N9:N10)*(1/M9-1/M10)</f>
        <v>7000</v>
      </c>
      <c r="S10" s="32">
        <f>(E11-E10)/(G11-G10)</f>
        <v>230.79673866399656</v>
      </c>
      <c r="T10" s="23"/>
      <c r="W10" s="23">
        <f>1/D10</f>
        <v>2E-3</v>
      </c>
      <c r="X10" s="23">
        <f t="shared" si="0"/>
        <v>2E-3</v>
      </c>
      <c r="Y10" s="23">
        <f t="shared" si="1"/>
        <v>2E-3</v>
      </c>
    </row>
    <row r="11" spans="2:25" x14ac:dyDescent="0.25">
      <c r="B11" s="5"/>
      <c r="C11" s="5" t="s">
        <v>24</v>
      </c>
      <c r="D11" s="79"/>
      <c r="E11" s="80"/>
      <c r="F11" s="81">
        <f>SUM(F8:F10)</f>
        <v>27578</v>
      </c>
      <c r="G11" s="82"/>
      <c r="H11" s="5" t="s">
        <v>25</v>
      </c>
      <c r="I11" s="6"/>
      <c r="J11" s="6"/>
      <c r="K11" s="83">
        <f>SUM(K7:K10)</f>
        <v>44387.577901184726</v>
      </c>
      <c r="L11" s="40" t="s">
        <v>15</v>
      </c>
      <c r="M11" s="35"/>
      <c r="N11" s="28"/>
      <c r="O11" s="28"/>
      <c r="P11" s="31">
        <f>SUM(O7:O10)</f>
        <v>0</v>
      </c>
      <c r="R11" s="23"/>
      <c r="S11" s="23"/>
    </row>
    <row r="12" spans="2:25" ht="30" x14ac:dyDescent="0.25">
      <c r="B12" s="72" t="s">
        <v>7</v>
      </c>
      <c r="C12" s="17" t="s">
        <v>0</v>
      </c>
      <c r="D12" s="171">
        <v>50</v>
      </c>
      <c r="E12" s="6"/>
      <c r="F12" s="6"/>
      <c r="G12" s="6"/>
      <c r="H12" s="54" t="s">
        <v>26</v>
      </c>
      <c r="I12" s="4"/>
      <c r="J12" s="4"/>
      <c r="K12" s="45">
        <f>PVC*K11</f>
        <v>1142081.9042401754</v>
      </c>
      <c r="L12" s="43" t="s">
        <v>14</v>
      </c>
      <c r="M12" s="34"/>
      <c r="N12" s="35"/>
      <c r="O12" s="34"/>
      <c r="P12" s="36">
        <f>PVC*P11</f>
        <v>0</v>
      </c>
      <c r="R12" s="23"/>
      <c r="S12" s="33">
        <f>AVERAGE(J7:J8)</f>
        <v>530156.14617940201</v>
      </c>
    </row>
    <row r="13" spans="2:25" x14ac:dyDescent="0.25">
      <c r="B13" s="72" t="s">
        <v>8</v>
      </c>
      <c r="C13" s="17" t="s">
        <v>1</v>
      </c>
      <c r="D13" s="172">
        <v>3</v>
      </c>
      <c r="E13" s="6"/>
      <c r="F13" s="6"/>
      <c r="G13" s="6"/>
      <c r="H13" s="54" t="s">
        <v>27</v>
      </c>
      <c r="I13" s="4"/>
      <c r="J13" s="4"/>
      <c r="K13" s="45">
        <f>+Benefits</f>
        <v>709575.43178527209</v>
      </c>
      <c r="L13" s="40" t="s">
        <v>13</v>
      </c>
      <c r="M13" s="35"/>
      <c r="N13" s="34"/>
      <c r="O13" s="34"/>
      <c r="P13" s="37">
        <f>+K12</f>
        <v>1142081.9042401754</v>
      </c>
      <c r="R13" s="23"/>
      <c r="S13" s="23">
        <f>1/I7-1/I8</f>
        <v>9.9107543181758129E-3</v>
      </c>
    </row>
    <row r="14" spans="2:25" ht="30" x14ac:dyDescent="0.25">
      <c r="B14" s="72" t="s">
        <v>9</v>
      </c>
      <c r="C14" s="17" t="s">
        <v>2</v>
      </c>
      <c r="D14" s="7">
        <f>PV(i/100,PUL,-1)</f>
        <v>25.7297640070082</v>
      </c>
      <c r="E14" s="18"/>
      <c r="F14" s="6"/>
      <c r="G14" s="6"/>
      <c r="H14" s="54" t="s">
        <v>28</v>
      </c>
      <c r="I14" s="4"/>
      <c r="J14" s="4"/>
      <c r="K14" s="45">
        <f>+K12-K13</f>
        <v>432506.4724549033</v>
      </c>
      <c r="L14" s="43" t="s">
        <v>18</v>
      </c>
      <c r="M14" s="35"/>
      <c r="N14" s="35"/>
      <c r="O14" s="35"/>
      <c r="P14" s="37">
        <f>+P13-P12</f>
        <v>1142081.9042401754</v>
      </c>
    </row>
    <row r="15" spans="2:25" ht="30.75" thickBot="1" x14ac:dyDescent="0.3">
      <c r="B15" s="73" t="s">
        <v>10</v>
      </c>
      <c r="C15" s="19" t="s">
        <v>3</v>
      </c>
      <c r="D15" s="20">
        <f>PVC*F11</f>
        <v>709575.43178527209</v>
      </c>
      <c r="E15" s="21"/>
      <c r="F15" s="3"/>
      <c r="G15" s="3"/>
      <c r="H15" s="55" t="s">
        <v>6</v>
      </c>
      <c r="I15" s="22"/>
      <c r="J15" s="22"/>
      <c r="K15" s="46">
        <f>+K14</f>
        <v>432506.4724549033</v>
      </c>
      <c r="L15" s="44" t="s">
        <v>17</v>
      </c>
      <c r="M15" s="38"/>
      <c r="N15" s="35"/>
      <c r="O15" s="35"/>
      <c r="P15" s="37">
        <v>150000</v>
      </c>
    </row>
    <row r="16" spans="2:25" x14ac:dyDescent="0.25">
      <c r="B16" s="1"/>
      <c r="L16" s="35" t="s">
        <v>16</v>
      </c>
      <c r="M16" s="35"/>
      <c r="N16" s="40"/>
      <c r="O16" s="40"/>
      <c r="P16" s="39">
        <f>+P14/P15</f>
        <v>7.6138793616011693</v>
      </c>
    </row>
    <row r="17" spans="10:15" x14ac:dyDescent="0.25">
      <c r="L17" s="24"/>
      <c r="M17" s="34"/>
      <c r="O17" s="34"/>
    </row>
    <row r="21" spans="10:15" x14ac:dyDescent="0.25">
      <c r="J21" s="2"/>
    </row>
  </sheetData>
  <sheetProtection algorithmName="SHA-512" hashValue="G3BIvzbqcSJC/JjnWLWf54vIGb9bRPUQeo38jg3Vtp96HWzihGXCkFAmCJd3xjvRiBSQdEsumZj1gN4SSRZ0uQ==" saltValue="XVLWKRbqIEKFjPbq6KJm0g==" spinCount="100000" sheet="1" objects="1" scenarios="1" formatCells="0" formatColumns="0" formatRows="0"/>
  <mergeCells count="6">
    <mergeCell ref="C5:G5"/>
    <mergeCell ref="H5:K5"/>
    <mergeCell ref="L5:O5"/>
    <mergeCell ref="B1:D1"/>
    <mergeCell ref="B2:D2"/>
    <mergeCell ref="B3:D3"/>
  </mergeCells>
  <pageMargins left="0.7" right="0.7" top="0.75" bottom="0.75" header="0.3" footer="0.3"/>
  <pageSetup scale="67" orientation="landscape" r:id="rId1"/>
  <ignoredErrors>
    <ignoredError sqref="Q8" evalError="1"/>
    <ignoredError sqref="Q9:Q10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H21"/>
  <sheetViews>
    <sheetView workbookViewId="0">
      <selection activeCell="O11" sqref="O11"/>
    </sheetView>
  </sheetViews>
  <sheetFormatPr defaultRowHeight="15" x14ac:dyDescent="0.25"/>
  <cols>
    <col min="1" max="1" width="2.7109375" customWidth="1"/>
    <col min="2" max="2" width="17" customWidth="1"/>
    <col min="5" max="5" width="13.5703125" customWidth="1"/>
    <col min="6" max="6" width="11.42578125" customWidth="1"/>
    <col min="10" max="10" width="13" customWidth="1"/>
    <col min="11" max="11" width="12.140625" bestFit="1" customWidth="1"/>
    <col min="13" max="13" width="10.140625" customWidth="1"/>
    <col min="14" max="14" width="13.42578125" customWidth="1"/>
    <col min="15" max="15" width="10.85546875" customWidth="1"/>
    <col min="18" max="18" width="11" bestFit="1" customWidth="1"/>
    <col min="25" max="28" width="0" hidden="1" customWidth="1"/>
    <col min="32" max="33" width="0" hidden="1" customWidth="1"/>
  </cols>
  <sheetData>
    <row r="1" spans="2:34" x14ac:dyDescent="0.25">
      <c r="B1" s="181" t="s">
        <v>29</v>
      </c>
      <c r="C1" s="181"/>
      <c r="D1" s="181"/>
    </row>
    <row r="2" spans="2:34" x14ac:dyDescent="0.25">
      <c r="B2" s="182" t="s">
        <v>30</v>
      </c>
      <c r="C2" s="183"/>
      <c r="D2" s="183"/>
    </row>
    <row r="3" spans="2:34" ht="15.75" thickBot="1" x14ac:dyDescent="0.3">
      <c r="B3" s="184" t="s">
        <v>31</v>
      </c>
      <c r="C3" s="184"/>
      <c r="D3" s="184"/>
      <c r="M3" s="94"/>
    </row>
    <row r="4" spans="2:34" ht="15.75" thickBot="1" x14ac:dyDescent="0.3">
      <c r="C4" s="10">
        <v>1</v>
      </c>
      <c r="D4" s="11">
        <v>2</v>
      </c>
      <c r="E4" s="11">
        <v>3</v>
      </c>
      <c r="F4" s="11">
        <v>4</v>
      </c>
      <c r="G4" s="11">
        <v>5</v>
      </c>
      <c r="H4" s="11">
        <v>6</v>
      </c>
      <c r="I4" s="11">
        <v>7</v>
      </c>
      <c r="J4" s="11">
        <v>8</v>
      </c>
      <c r="K4" s="12">
        <v>9</v>
      </c>
      <c r="M4" s="93"/>
    </row>
    <row r="5" spans="2:34" x14ac:dyDescent="0.25">
      <c r="B5" s="70"/>
      <c r="C5" s="185" t="s">
        <v>11</v>
      </c>
      <c r="D5" s="186"/>
      <c r="E5" s="186"/>
      <c r="F5" s="186"/>
      <c r="G5" s="187"/>
      <c r="H5" s="188" t="s">
        <v>12</v>
      </c>
      <c r="I5" s="186"/>
      <c r="J5" s="186"/>
      <c r="K5" s="189"/>
      <c r="L5" s="178"/>
      <c r="M5" s="179"/>
      <c r="N5" s="179"/>
      <c r="O5" s="180"/>
    </row>
    <row r="6" spans="2:34" ht="81.75" customHeight="1" thickBot="1" x14ac:dyDescent="0.4">
      <c r="B6" s="5"/>
      <c r="C6" s="99"/>
      <c r="D6" s="100"/>
      <c r="E6" s="100"/>
      <c r="F6" s="100"/>
      <c r="G6" s="14"/>
      <c r="H6" s="49" t="s">
        <v>32</v>
      </c>
      <c r="I6" s="52" t="s">
        <v>33</v>
      </c>
      <c r="J6" s="50" t="s">
        <v>34</v>
      </c>
      <c r="K6" s="51" t="s">
        <v>35</v>
      </c>
      <c r="M6" s="95"/>
      <c r="N6" s="96" t="s">
        <v>20</v>
      </c>
      <c r="O6" s="29" t="s">
        <v>19</v>
      </c>
      <c r="P6" s="66"/>
      <c r="Q6" s="67"/>
    </row>
    <row r="7" spans="2:34" ht="48.75" thickBot="1" x14ac:dyDescent="0.4">
      <c r="B7" s="5"/>
      <c r="C7" s="13"/>
      <c r="D7" s="76" t="s">
        <v>36</v>
      </c>
      <c r="E7" s="77" t="s">
        <v>5</v>
      </c>
      <c r="F7" s="77" t="s">
        <v>37</v>
      </c>
      <c r="G7" s="78" t="s">
        <v>38</v>
      </c>
      <c r="H7" s="53">
        <f>+G8</f>
        <v>0</v>
      </c>
      <c r="I7" s="140" t="e">
        <f>10^(LOG(I9)-(LOG(I9)-LOG(I8))*(H9-H7)/(H9-H8))</f>
        <v>#NUM!</v>
      </c>
      <c r="J7" s="141">
        <v>0</v>
      </c>
      <c r="K7" s="142">
        <v>0</v>
      </c>
      <c r="L7" s="41">
        <v>9000</v>
      </c>
      <c r="M7" s="97"/>
      <c r="N7" s="98">
        <v>0</v>
      </c>
      <c r="O7" s="30">
        <v>0</v>
      </c>
      <c r="P7" s="63"/>
      <c r="Q7" s="127"/>
      <c r="R7" s="127"/>
      <c r="S7" s="127"/>
      <c r="T7" s="127"/>
      <c r="U7" s="64"/>
      <c r="Y7" s="23" t="s">
        <v>4</v>
      </c>
      <c r="Z7" s="23" t="e">
        <f>1/I7</f>
        <v>#NUM!</v>
      </c>
      <c r="AA7" s="23" t="e">
        <f>1/M4</f>
        <v>#DIV/0!</v>
      </c>
    </row>
    <row r="8" spans="2:34" ht="61.5" x14ac:dyDescent="0.35">
      <c r="B8" s="71" t="s">
        <v>21</v>
      </c>
      <c r="C8" s="16" t="s">
        <v>39</v>
      </c>
      <c r="D8" s="154"/>
      <c r="E8" s="155"/>
      <c r="F8" s="47">
        <v>0</v>
      </c>
      <c r="G8" s="160"/>
      <c r="H8" s="163"/>
      <c r="I8" s="143">
        <f>D8</f>
        <v>0</v>
      </c>
      <c r="J8" s="144" t="e">
        <f>+E8+(H8-G8)*(E9-E8)/(G9-G8)</f>
        <v>#DIV/0!</v>
      </c>
      <c r="K8" s="145" t="e">
        <f>AVERAGE(J7:J8)*(1/I7-1/I8)</f>
        <v>#DIV/0!</v>
      </c>
      <c r="L8" s="42">
        <v>9979</v>
      </c>
      <c r="M8" s="25">
        <v>50</v>
      </c>
      <c r="N8" s="115">
        <v>0</v>
      </c>
      <c r="O8" s="124"/>
      <c r="P8" s="124"/>
      <c r="Q8" s="124"/>
      <c r="R8" s="124"/>
      <c r="S8" s="124"/>
      <c r="T8" s="124"/>
      <c r="U8" s="124"/>
      <c r="V8" s="124"/>
      <c r="W8" s="124"/>
      <c r="X8" s="116"/>
      <c r="Y8" s="117"/>
      <c r="Z8" s="30" t="e">
        <f>AVERAGE(N6:N8)*(1/M4-1/M8)</f>
        <v>#DIV/0!</v>
      </c>
      <c r="AA8" s="64"/>
      <c r="AB8" s="64"/>
      <c r="AF8" s="23" t="e">
        <f>1/D8</f>
        <v>#DIV/0!</v>
      </c>
      <c r="AG8" s="23" t="e">
        <f t="shared" ref="AG8:AG10" si="0">1/I8</f>
        <v>#DIV/0!</v>
      </c>
      <c r="AH8" s="23">
        <f t="shared" ref="AH8:AH10" si="1">1/M8</f>
        <v>0.02</v>
      </c>
    </row>
    <row r="9" spans="2:34" ht="61.5" x14ac:dyDescent="0.35">
      <c r="B9" s="71" t="s">
        <v>22</v>
      </c>
      <c r="C9" s="16" t="s">
        <v>40</v>
      </c>
      <c r="D9" s="156"/>
      <c r="E9" s="157"/>
      <c r="F9" s="138" t="e">
        <f>AVERAGE(E8:E9)*(1/Trnd-1/Trnext)</f>
        <v>#DIV/0!</v>
      </c>
      <c r="G9" s="161"/>
      <c r="H9" s="163"/>
      <c r="I9" s="143">
        <f t="shared" ref="I9:I10" si="2">D9</f>
        <v>0</v>
      </c>
      <c r="J9" s="144" t="e">
        <f>+E9+(H9-G9)*(E10-E9)/(G10-G9)</f>
        <v>#DIV/0!</v>
      </c>
      <c r="K9" s="145" t="e">
        <f>AVERAGE(J8:J9)*(1/I8-1/I9)</f>
        <v>#DIV/0!</v>
      </c>
      <c r="L9" s="41">
        <v>11665</v>
      </c>
      <c r="M9" s="25">
        <v>100</v>
      </c>
      <c r="N9" s="118">
        <v>500000</v>
      </c>
      <c r="O9" s="125"/>
      <c r="P9" s="125"/>
      <c r="Q9" s="125"/>
      <c r="R9" s="125"/>
      <c r="S9" s="125"/>
      <c r="T9" s="125"/>
      <c r="U9" s="125"/>
      <c r="V9" s="125"/>
      <c r="W9" s="125"/>
      <c r="X9" s="119"/>
      <c r="Y9" s="120"/>
      <c r="Z9" s="30">
        <f>AVERAGE(N8:N9)*(1/M8-1/M9)</f>
        <v>2500</v>
      </c>
      <c r="AA9" s="65"/>
      <c r="AB9" s="9"/>
      <c r="AF9" s="23" t="e">
        <f>1/D9</f>
        <v>#DIV/0!</v>
      </c>
      <c r="AG9" s="23" t="e">
        <f t="shared" si="0"/>
        <v>#DIV/0!</v>
      </c>
      <c r="AH9" s="23">
        <f t="shared" si="1"/>
        <v>0.01</v>
      </c>
    </row>
    <row r="10" spans="2:34" ht="62.25" thickBot="1" x14ac:dyDescent="0.4">
      <c r="B10" s="84" t="s">
        <v>23</v>
      </c>
      <c r="C10" s="85" t="s">
        <v>41</v>
      </c>
      <c r="D10" s="158"/>
      <c r="E10" s="159"/>
      <c r="F10" s="139" t="e">
        <f>AVERAGE(E9:E10)*(1/Trnext-1/Trmax)</f>
        <v>#DIV/0!</v>
      </c>
      <c r="G10" s="162"/>
      <c r="H10" s="164"/>
      <c r="I10" s="146">
        <f t="shared" si="2"/>
        <v>0</v>
      </c>
      <c r="J10" s="147" t="e">
        <f>+E10+(H10-G10)*(E11-E10)/(G11-G10)</f>
        <v>#DIV/0!</v>
      </c>
      <c r="K10" s="148" t="e">
        <f>AVERAGE(J9:J10)*(1/I9-1/I10)</f>
        <v>#DIV/0!</v>
      </c>
      <c r="L10" s="41">
        <v>15562</v>
      </c>
      <c r="M10" s="25">
        <v>500</v>
      </c>
      <c r="N10" s="121">
        <v>1250000</v>
      </c>
      <c r="O10" s="126"/>
      <c r="P10" s="126"/>
      <c r="Q10" s="126"/>
      <c r="R10" s="126"/>
      <c r="S10" s="126"/>
      <c r="T10" s="126"/>
      <c r="U10" s="126"/>
      <c r="V10" s="126"/>
      <c r="W10" s="126"/>
      <c r="X10" s="122"/>
      <c r="Y10" s="123"/>
      <c r="Z10" s="30">
        <f>AVERAGE(N9:N10)*(1/M9-1/M10)</f>
        <v>7000</v>
      </c>
      <c r="AB10" s="32" t="e">
        <f>(E11-E10)/(G11-G10)</f>
        <v>#DIV/0!</v>
      </c>
      <c r="AC10" s="23"/>
      <c r="AF10" s="23" t="e">
        <f>1/D10</f>
        <v>#DIV/0!</v>
      </c>
      <c r="AG10" s="23" t="e">
        <f t="shared" si="0"/>
        <v>#DIV/0!</v>
      </c>
      <c r="AH10" s="23">
        <f t="shared" si="1"/>
        <v>2E-3</v>
      </c>
    </row>
    <row r="11" spans="2:34" x14ac:dyDescent="0.25">
      <c r="B11" s="5"/>
      <c r="C11" s="5" t="s">
        <v>24</v>
      </c>
      <c r="D11" s="79"/>
      <c r="E11" s="80"/>
      <c r="F11" s="81" t="e">
        <f>SUM(F8:F10)</f>
        <v>#DIV/0!</v>
      </c>
      <c r="G11" s="82"/>
      <c r="H11" s="5" t="s">
        <v>25</v>
      </c>
      <c r="I11" s="6"/>
      <c r="J11" s="6"/>
      <c r="K11" s="149" t="e">
        <f>SUM(K7:K10)</f>
        <v>#DIV/0!</v>
      </c>
      <c r="L11" s="40" t="s">
        <v>15</v>
      </c>
      <c r="M11" s="35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31">
        <f>SUM(O7:O10)</f>
        <v>0</v>
      </c>
      <c r="AA11" s="23"/>
      <c r="AB11" s="23"/>
    </row>
    <row r="12" spans="2:34" ht="30" x14ac:dyDescent="0.25">
      <c r="B12" s="72" t="s">
        <v>7</v>
      </c>
      <c r="C12" s="17" t="s">
        <v>0</v>
      </c>
      <c r="D12" s="136"/>
      <c r="E12" s="6"/>
      <c r="F12" s="6"/>
      <c r="G12" s="6"/>
      <c r="H12" s="54" t="s">
        <v>26</v>
      </c>
      <c r="I12" s="4"/>
      <c r="J12" s="4"/>
      <c r="K12" s="150" t="e">
        <f>PVC*K11</f>
        <v>#DIV/0!</v>
      </c>
      <c r="L12" s="43" t="s">
        <v>14</v>
      </c>
      <c r="M12" s="34"/>
      <c r="N12" s="35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6">
        <f>PVC*Y11</f>
        <v>0</v>
      </c>
      <c r="AA12" s="23"/>
      <c r="AB12" s="33" t="e">
        <f>AVERAGE(J7:J8)</f>
        <v>#DIV/0!</v>
      </c>
    </row>
    <row r="13" spans="2:34" x14ac:dyDescent="0.25">
      <c r="B13" s="72" t="s">
        <v>8</v>
      </c>
      <c r="C13" s="17" t="s">
        <v>1</v>
      </c>
      <c r="D13" s="137"/>
      <c r="E13" s="6"/>
      <c r="F13" s="6"/>
      <c r="G13" s="6"/>
      <c r="H13" s="54" t="s">
        <v>27</v>
      </c>
      <c r="I13" s="4"/>
      <c r="J13" s="4"/>
      <c r="K13" s="150" t="e">
        <f>+Benefits</f>
        <v>#DIV/0!</v>
      </c>
      <c r="L13" s="40" t="s">
        <v>13</v>
      </c>
      <c r="M13" s="35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7" t="e">
        <f>+K12</f>
        <v>#DIV/0!</v>
      </c>
      <c r="AA13" s="23"/>
      <c r="AB13" s="23" t="e">
        <f>1/I7-1/I8</f>
        <v>#NUM!</v>
      </c>
    </row>
    <row r="14" spans="2:34" ht="30" x14ac:dyDescent="0.25">
      <c r="B14" s="72" t="s">
        <v>9</v>
      </c>
      <c r="C14" s="17" t="s">
        <v>2</v>
      </c>
      <c r="D14" s="152">
        <f>PV(i/100,PUL,-1)</f>
        <v>0</v>
      </c>
      <c r="E14" s="18"/>
      <c r="F14" s="6"/>
      <c r="G14" s="6"/>
      <c r="H14" s="54" t="s">
        <v>28</v>
      </c>
      <c r="I14" s="4"/>
      <c r="J14" s="4"/>
      <c r="K14" s="150" t="e">
        <f>+K12-K13</f>
        <v>#DIV/0!</v>
      </c>
      <c r="L14" s="43" t="s">
        <v>18</v>
      </c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7" t="e">
        <f>+Y13-Y12</f>
        <v>#DIV/0!</v>
      </c>
    </row>
    <row r="15" spans="2:34" ht="30.75" thickBot="1" x14ac:dyDescent="0.3">
      <c r="B15" s="73" t="s">
        <v>10</v>
      </c>
      <c r="C15" s="19" t="s">
        <v>3</v>
      </c>
      <c r="D15" s="153" t="e">
        <f>PVC*F11</f>
        <v>#DIV/0!</v>
      </c>
      <c r="E15" s="21"/>
      <c r="F15" s="3"/>
      <c r="G15" s="3"/>
      <c r="H15" s="55" t="s">
        <v>6</v>
      </c>
      <c r="I15" s="22"/>
      <c r="J15" s="22"/>
      <c r="K15" s="151" t="e">
        <f>+K14</f>
        <v>#DIV/0!</v>
      </c>
      <c r="L15" s="44" t="s">
        <v>17</v>
      </c>
      <c r="M15" s="38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7">
        <v>150000</v>
      </c>
    </row>
    <row r="16" spans="2:34" x14ac:dyDescent="0.25">
      <c r="B16" s="1"/>
      <c r="L16" s="35" t="s">
        <v>16</v>
      </c>
      <c r="M16" s="35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39" t="e">
        <f>+Y14/Y15</f>
        <v>#DIV/0!</v>
      </c>
    </row>
    <row r="17" spans="10:15" x14ac:dyDescent="0.25">
      <c r="L17" s="24"/>
      <c r="M17" s="34"/>
      <c r="O17" s="34"/>
    </row>
    <row r="21" spans="10:15" x14ac:dyDescent="0.25">
      <c r="J21" s="2"/>
    </row>
  </sheetData>
  <sheetProtection algorithmName="SHA-512" hashValue="+Aw8qgGJDInA6Deso4y5BSBm2rIdZbEP0Ag/BuA2aheBNBMcVLlXsALTjQZRcrZPhADprzzxqKmftK9VVcHrBw==" saltValue="Bb//qIZaWRdQZY/5QtVF/g==" spinCount="100000" sheet="1" formatCells="0" formatColumns="0" formatRows="0"/>
  <mergeCells count="6">
    <mergeCell ref="L5:O5"/>
    <mergeCell ref="B1:D1"/>
    <mergeCell ref="B2:D2"/>
    <mergeCell ref="B3:D3"/>
    <mergeCell ref="C5:G5"/>
    <mergeCell ref="H5:K5"/>
  </mergeCells>
  <pageMargins left="0.7" right="0.7" top="0.75" bottom="0.75" header="0.3" footer="0.3"/>
  <pageSetup scale="67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G8" sqref="G8"/>
    </sheetView>
  </sheetViews>
  <sheetFormatPr defaultRowHeight="15" x14ac:dyDescent="0.25"/>
  <cols>
    <col min="2" max="2" width="63.85546875" customWidth="1"/>
  </cols>
  <sheetData>
    <row r="1" spans="1:2" ht="15.75" thickBot="1" x14ac:dyDescent="0.3">
      <c r="A1" s="128" t="s">
        <v>42</v>
      </c>
      <c r="B1" s="129" t="s">
        <v>43</v>
      </c>
    </row>
    <row r="2" spans="1:2" ht="18.75" thickBot="1" x14ac:dyDescent="0.3">
      <c r="A2" s="130" t="s">
        <v>44</v>
      </c>
      <c r="B2" s="131" t="s">
        <v>45</v>
      </c>
    </row>
    <row r="3" spans="1:2" ht="33.75" thickBot="1" x14ac:dyDescent="0.3">
      <c r="A3" s="132" t="s">
        <v>46</v>
      </c>
      <c r="B3" s="133" t="s">
        <v>47</v>
      </c>
    </row>
    <row r="4" spans="1:2" ht="18.75" thickBot="1" x14ac:dyDescent="0.3">
      <c r="A4" s="130" t="s">
        <v>48</v>
      </c>
      <c r="B4" s="131" t="s">
        <v>49</v>
      </c>
    </row>
    <row r="5" spans="1:2" ht="33.75" thickBot="1" x14ac:dyDescent="0.3">
      <c r="A5" s="132" t="s">
        <v>50</v>
      </c>
      <c r="B5" s="133" t="s">
        <v>51</v>
      </c>
    </row>
    <row r="6" spans="1:2" ht="33.75" thickBot="1" x14ac:dyDescent="0.3">
      <c r="A6" s="130" t="s">
        <v>52</v>
      </c>
      <c r="B6" s="131" t="s">
        <v>53</v>
      </c>
    </row>
    <row r="7" spans="1:2" ht="30.75" thickBot="1" x14ac:dyDescent="0.3">
      <c r="A7" s="134" t="s">
        <v>54</v>
      </c>
      <c r="B7" s="133" t="s">
        <v>55</v>
      </c>
    </row>
    <row r="8" spans="1:2" ht="30.75" thickBot="1" x14ac:dyDescent="0.3">
      <c r="A8" s="135" t="s">
        <v>56</v>
      </c>
      <c r="B8" s="131" t="s">
        <v>57</v>
      </c>
    </row>
    <row r="9" spans="1:2" ht="30.75" thickBot="1" x14ac:dyDescent="0.3">
      <c r="A9" s="134" t="s">
        <v>58</v>
      </c>
      <c r="B9" s="133" t="s">
        <v>59</v>
      </c>
    </row>
    <row r="10" spans="1:2" ht="30.75" thickBot="1" x14ac:dyDescent="0.3">
      <c r="A10" s="130" t="s">
        <v>60</v>
      </c>
      <c r="B10" s="131" t="s">
        <v>61</v>
      </c>
    </row>
    <row r="11" spans="1:2" ht="30.75" thickBot="1" x14ac:dyDescent="0.3">
      <c r="A11" s="132" t="s">
        <v>62</v>
      </c>
      <c r="B11" s="133" t="s">
        <v>63</v>
      </c>
    </row>
    <row r="12" spans="1:2" ht="18.75" thickBot="1" x14ac:dyDescent="0.3">
      <c r="A12" s="130" t="s">
        <v>64</v>
      </c>
      <c r="B12" s="131" t="s">
        <v>65</v>
      </c>
    </row>
    <row r="13" spans="1:2" ht="15.75" thickBot="1" x14ac:dyDescent="0.3">
      <c r="A13" s="132" t="s">
        <v>2</v>
      </c>
      <c r="B13" s="133" t="s">
        <v>66</v>
      </c>
    </row>
    <row r="14" spans="1:2" ht="18.75" thickBot="1" x14ac:dyDescent="0.3">
      <c r="A14" s="130" t="s">
        <v>67</v>
      </c>
      <c r="B14" s="131" t="s">
        <v>68</v>
      </c>
    </row>
    <row r="15" spans="1:2" ht="30.75" thickBot="1" x14ac:dyDescent="0.3">
      <c r="A15" s="134" t="s">
        <v>69</v>
      </c>
      <c r="B15" s="133" t="s">
        <v>70</v>
      </c>
    </row>
    <row r="16" spans="1:2" ht="30.75" thickBot="1" x14ac:dyDescent="0.3">
      <c r="A16" s="135" t="s">
        <v>71</v>
      </c>
      <c r="B16" s="131" t="s">
        <v>72</v>
      </c>
    </row>
    <row r="17" spans="1:2" ht="30.75" thickBot="1" x14ac:dyDescent="0.3">
      <c r="A17" s="134" t="s">
        <v>73</v>
      </c>
      <c r="B17" s="133" t="s">
        <v>74</v>
      </c>
    </row>
    <row r="18" spans="1:2" ht="30.75" thickBot="1" x14ac:dyDescent="0.3">
      <c r="A18" s="135" t="s">
        <v>75</v>
      </c>
      <c r="B18" s="131" t="s">
        <v>76</v>
      </c>
    </row>
    <row r="19" spans="1:2" ht="30.75" thickBot="1" x14ac:dyDescent="0.3">
      <c r="A19" s="132" t="s">
        <v>77</v>
      </c>
      <c r="B19" s="133" t="s">
        <v>78</v>
      </c>
    </row>
    <row r="20" spans="1:2" ht="30.75" thickBot="1" x14ac:dyDescent="0.3">
      <c r="A20" s="130" t="s">
        <v>79</v>
      </c>
      <c r="B20" s="131" t="s">
        <v>80</v>
      </c>
    </row>
    <row r="21" spans="1:2" ht="30.75" thickBot="1" x14ac:dyDescent="0.3">
      <c r="A21" s="132" t="s">
        <v>81</v>
      </c>
      <c r="B21" s="133" t="s">
        <v>82</v>
      </c>
    </row>
    <row r="22" spans="1:2" ht="33.75" thickBot="1" x14ac:dyDescent="0.3">
      <c r="A22" s="135" t="s">
        <v>83</v>
      </c>
      <c r="B22" s="131" t="s">
        <v>84</v>
      </c>
    </row>
    <row r="23" spans="1:2" ht="33.75" thickBot="1" x14ac:dyDescent="0.3">
      <c r="A23" s="134" t="s">
        <v>85</v>
      </c>
      <c r="B23" s="133" t="s">
        <v>86</v>
      </c>
    </row>
    <row r="24" spans="1:2" ht="33.75" thickBot="1" x14ac:dyDescent="0.3">
      <c r="A24" s="135" t="s">
        <v>87</v>
      </c>
      <c r="B24" s="131" t="s">
        <v>88</v>
      </c>
    </row>
    <row r="25" spans="1:2" ht="30.75" thickBot="1" x14ac:dyDescent="0.3">
      <c r="A25" s="134" t="s">
        <v>89</v>
      </c>
      <c r="B25" s="133" t="s">
        <v>90</v>
      </c>
    </row>
    <row r="26" spans="1:2" ht="30.75" thickBot="1" x14ac:dyDescent="0.3">
      <c r="A26" s="135" t="s">
        <v>91</v>
      </c>
      <c r="B26" s="131" t="s">
        <v>92</v>
      </c>
    </row>
    <row r="27" spans="1:2" ht="30.75" thickBot="1" x14ac:dyDescent="0.3">
      <c r="A27" s="134" t="s">
        <v>93</v>
      </c>
      <c r="B27" s="133" t="s">
        <v>94</v>
      </c>
    </row>
    <row r="28" spans="1:2" ht="18.75" thickBot="1" x14ac:dyDescent="0.3">
      <c r="A28" s="135" t="s">
        <v>95</v>
      </c>
      <c r="B28" s="131" t="s">
        <v>96</v>
      </c>
    </row>
    <row r="29" spans="1:2" ht="30.75" thickBot="1" x14ac:dyDescent="0.3">
      <c r="A29" s="134" t="s">
        <v>97</v>
      </c>
      <c r="B29" s="133" t="s">
        <v>98</v>
      </c>
    </row>
    <row r="30" spans="1:2" ht="45.75" thickBot="1" x14ac:dyDescent="0.3">
      <c r="A30" s="135" t="s">
        <v>99</v>
      </c>
      <c r="B30" s="131" t="s">
        <v>100</v>
      </c>
    </row>
    <row r="31" spans="1:2" ht="45.75" thickBot="1" x14ac:dyDescent="0.3">
      <c r="A31" s="134" t="s">
        <v>101</v>
      </c>
      <c r="B31" s="133" t="s">
        <v>102</v>
      </c>
    </row>
    <row r="32" spans="1:2" ht="33.75" thickBot="1" x14ac:dyDescent="0.3">
      <c r="A32" s="135" t="s">
        <v>103</v>
      </c>
      <c r="B32" s="131" t="s">
        <v>104</v>
      </c>
    </row>
    <row r="33" spans="1:2" ht="33.75" thickBot="1" x14ac:dyDescent="0.3">
      <c r="A33" s="134" t="s">
        <v>105</v>
      </c>
      <c r="B33" s="133" t="s">
        <v>106</v>
      </c>
    </row>
    <row r="34" spans="1:2" ht="30.75" thickBot="1" x14ac:dyDescent="0.3">
      <c r="A34" s="130" t="s">
        <v>107</v>
      </c>
      <c r="B34" s="131" t="s">
        <v>108</v>
      </c>
    </row>
    <row r="35" spans="1:2" ht="33.75" thickBot="1" x14ac:dyDescent="0.3">
      <c r="A35" s="132" t="s">
        <v>109</v>
      </c>
      <c r="B35" s="133" t="s">
        <v>110</v>
      </c>
    </row>
    <row r="36" spans="1:2" ht="33.75" thickBot="1" x14ac:dyDescent="0.3">
      <c r="A36" s="130" t="s">
        <v>111</v>
      </c>
      <c r="B36" s="131" t="s">
        <v>112</v>
      </c>
    </row>
    <row r="37" spans="1:2" ht="30.75" thickBot="1" x14ac:dyDescent="0.3">
      <c r="A37" s="132" t="s">
        <v>113</v>
      </c>
      <c r="B37" s="133" t="s">
        <v>114</v>
      </c>
    </row>
    <row r="38" spans="1:2" ht="30.75" thickBot="1" x14ac:dyDescent="0.3">
      <c r="A38" s="130" t="s">
        <v>115</v>
      </c>
      <c r="B38" s="131" t="s">
        <v>116</v>
      </c>
    </row>
    <row r="39" spans="1:2" ht="33.75" thickBot="1" x14ac:dyDescent="0.3">
      <c r="A39" s="132" t="s">
        <v>117</v>
      </c>
      <c r="B39" s="133" t="s">
        <v>118</v>
      </c>
    </row>
    <row r="40" spans="1:2" ht="33.75" thickBot="1" x14ac:dyDescent="0.3">
      <c r="A40" s="130" t="s">
        <v>119</v>
      </c>
      <c r="B40" s="131" t="s">
        <v>120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24</vt:i4>
      </vt:variant>
    </vt:vector>
  </HeadingPairs>
  <TitlesOfParts>
    <vt:vector size="28" baseType="lpstr">
      <vt:lpstr>7 percent discount</vt:lpstr>
      <vt:lpstr>3 percent discount</vt:lpstr>
      <vt:lpstr>Blank</vt:lpstr>
      <vt:lpstr>List of Variables</vt:lpstr>
      <vt:lpstr>'3 percent discount'!Benefits</vt:lpstr>
      <vt:lpstr>'7 percent discount'!Benefits</vt:lpstr>
      <vt:lpstr>Blank!Benefits</vt:lpstr>
      <vt:lpstr>'3 percent discount'!i</vt:lpstr>
      <vt:lpstr>'7 percent discount'!i</vt:lpstr>
      <vt:lpstr>Blank!i</vt:lpstr>
      <vt:lpstr>'3 percent discount'!Print_Area</vt:lpstr>
      <vt:lpstr>'7 percent discount'!Print_Area</vt:lpstr>
      <vt:lpstr>Blank!Print_Area</vt:lpstr>
      <vt:lpstr>'3 percent discount'!PUL</vt:lpstr>
      <vt:lpstr>'7 percent discount'!PUL</vt:lpstr>
      <vt:lpstr>Blank!PUL</vt:lpstr>
      <vt:lpstr>'3 percent discount'!PVC</vt:lpstr>
      <vt:lpstr>'7 percent discount'!PVC</vt:lpstr>
      <vt:lpstr>Blank!PVC</vt:lpstr>
      <vt:lpstr>'3 percent discount'!Trmax</vt:lpstr>
      <vt:lpstr>'7 percent discount'!Trmax</vt:lpstr>
      <vt:lpstr>Blank!Trmax</vt:lpstr>
      <vt:lpstr>'3 percent discount'!Trnd</vt:lpstr>
      <vt:lpstr>'7 percent discount'!Trnd</vt:lpstr>
      <vt:lpstr>Blank!Trnd</vt:lpstr>
      <vt:lpstr>'3 percent discount'!Trnext</vt:lpstr>
      <vt:lpstr>'7 percent discount'!Trnext</vt:lpstr>
      <vt:lpstr>Blank!Trnext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2020-03-10T19:58:35Z</dcterms:modified>
</cp:coreProperties>
</file>