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24226"/>
  <mc:AlternateContent xmlns:mc="http://schemas.openxmlformats.org/markup-compatibility/2006">
    <mc:Choice Requires="x15">
      <x15ac:absPath xmlns:x15ac="http://schemas.microsoft.com/office/spreadsheetml/2010/11/ac" url="\\nrc\trb\TRB-DVD\CRPEditors\Publication-Ready Files\NCHRP 08-124\Supplemental Files\"/>
    </mc:Choice>
  </mc:AlternateContent>
  <xr:revisionPtr revIDLastSave="0" documentId="13_ncr:1_{20ED665E-7F6B-41C6-896B-EEC036977F25}" xr6:coauthVersionLast="47" xr6:coauthVersionMax="47" xr10:uidLastSave="{00000000-0000-0000-0000-000000000000}"/>
  <bookViews>
    <workbookView xWindow="2040" yWindow="1710" windowWidth="25155" windowHeight="13230" tabRatio="830" xr2:uid="{00000000-000D-0000-FFFF-FFFF00000000}"/>
  </bookViews>
  <sheets>
    <sheet name="Overview" sheetId="34" r:id="rId1"/>
    <sheet name="Instructions" sheetId="32" r:id="rId2"/>
    <sheet name="Freeway Corridor Throughput" sheetId="31" r:id="rId3"/>
    <sheet name="Throughput Calculations" sheetId="30" r:id="rId4"/>
    <sheet name="Regional Network Analysis" sheetId="29" r:id="rId5"/>
    <sheet name="Regional Network Examples" sheetId="33" r:id="rId6"/>
    <sheet name="WFRC Speed V8.3" sheetId="19" r:id="rId7"/>
    <sheet name="WFRC Cap1hr1ln V8.3" sheetId="20" r:id="rId8"/>
  </sheets>
  <definedNames>
    <definedName name="ArtExpFactors">'WFRC Cap1hr1ln V8.3'!$B$56:$E$65</definedName>
    <definedName name="ATypeCap">'WFRC Cap1hr1ln V8.3'!$B$78:$G$79</definedName>
    <definedName name="Export_SpdCap">#REF!</definedName>
    <definedName name="Export_VDF">#REF!</definedName>
    <definedName name="FwyCapFactors">'WFRC Cap1hr1ln V8.3'!$B$86:$D$98</definedName>
    <definedName name="FwyFleLookup">'WFRC Cap1hr1ln V8.3'!$F$86:$G$93</definedName>
    <definedName name="_xlnm.Print_Area" localSheetId="7">'WFRC Cap1hr1ln V8.3'!$A$2:$I$107</definedName>
    <definedName name="_xlnm.Print_Area" localSheetId="6">'WFRC Speed V8.3'!$A$1:$H$82</definedName>
    <definedName name="_xlnm.Print_Titles" localSheetId="7">'WFRC Cap1hr1ln V8.3'!$2:$2</definedName>
    <definedName name="_xlnm.Print_Titles" localSheetId="6">'WFRC Speed V8.3'!$1:$1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3" i="30" l="1"/>
  <c r="E77" i="30"/>
  <c r="D77" i="30"/>
  <c r="C77" i="30"/>
  <c r="E76" i="30"/>
  <c r="D76" i="30"/>
  <c r="C76" i="30"/>
  <c r="E75" i="30"/>
  <c r="D75" i="30"/>
  <c r="C75" i="30"/>
  <c r="E74" i="30"/>
  <c r="D74" i="30"/>
  <c r="C74" i="30"/>
  <c r="E73" i="30"/>
  <c r="D73" i="30"/>
  <c r="C73" i="30"/>
  <c r="E71" i="30"/>
  <c r="D71" i="30"/>
  <c r="C71" i="30"/>
  <c r="C37" i="30"/>
  <c r="C30" i="30"/>
  <c r="D30" i="30"/>
  <c r="C26" i="30"/>
  <c r="D26" i="30"/>
  <c r="C23" i="30"/>
  <c r="D23" i="30"/>
  <c r="C18" i="30"/>
  <c r="E18" i="30"/>
  <c r="AI10" i="33" l="1"/>
  <c r="AI11" i="33"/>
  <c r="AI12" i="33"/>
  <c r="AI13" i="33"/>
  <c r="AE14" i="33"/>
  <c r="AF14" i="33"/>
  <c r="AG14" i="33"/>
  <c r="AH14" i="33"/>
  <c r="AI14" i="33"/>
  <c r="AE20" i="33"/>
  <c r="AF20" i="33"/>
  <c r="AG20" i="33"/>
  <c r="AH20" i="33"/>
  <c r="AE21" i="33"/>
  <c r="AF21" i="33"/>
  <c r="AG21" i="33"/>
  <c r="AH21" i="33"/>
  <c r="AE22" i="33"/>
  <c r="AF22" i="33"/>
  <c r="AI22" i="33" s="1"/>
  <c r="AG22" i="33"/>
  <c r="AH22" i="33"/>
  <c r="AE23" i="33"/>
  <c r="AF23" i="33"/>
  <c r="AG23" i="33"/>
  <c r="AH23" i="33"/>
  <c r="X6" i="29"/>
  <c r="X5" i="29"/>
  <c r="W5" i="29"/>
  <c r="T7" i="29"/>
  <c r="U5" i="29"/>
  <c r="S5" i="29"/>
  <c r="T5" i="29"/>
  <c r="AI20" i="33" l="1"/>
  <c r="AI23" i="33"/>
  <c r="AI21" i="33"/>
  <c r="AH24" i="33"/>
  <c r="AE24" i="33"/>
  <c r="AG24" i="33"/>
  <c r="AF24" i="33"/>
  <c r="AI24" i="33"/>
  <c r="F74" i="30"/>
  <c r="B72" i="30"/>
  <c r="E19" i="30"/>
  <c r="E61" i="30" s="1"/>
  <c r="E72" i="30" s="1"/>
  <c r="P51" i="30"/>
  <c r="P52" i="30" s="1"/>
  <c r="C19" i="30" s="1"/>
  <c r="C61" i="30" s="1"/>
  <c r="C72" i="30" s="1"/>
  <c r="C40" i="30"/>
  <c r="P32" i="30"/>
  <c r="W41" i="30" s="1"/>
  <c r="P22" i="30"/>
  <c r="P21" i="30"/>
  <c r="U8" i="30"/>
  <c r="U9" i="30" s="1"/>
  <c r="U7" i="30"/>
  <c r="C24" i="30"/>
  <c r="D24" i="30"/>
  <c r="D31" i="30"/>
  <c r="D50" i="30" s="1"/>
  <c r="B74" i="30"/>
  <c r="B78" i="30"/>
  <c r="B77" i="30"/>
  <c r="B76" i="30"/>
  <c r="B73" i="30"/>
  <c r="C38" i="30"/>
  <c r="D37" i="30"/>
  <c r="W56" i="30"/>
  <c r="V56" i="30"/>
  <c r="V55" i="30"/>
  <c r="W55" i="30"/>
  <c r="W54" i="30"/>
  <c r="V54" i="30"/>
  <c r="V52" i="30"/>
  <c r="W52" i="30"/>
  <c r="V53" i="30"/>
  <c r="W53" i="30"/>
  <c r="W51" i="30"/>
  <c r="V51" i="30"/>
  <c r="W48" i="30"/>
  <c r="V48" i="30"/>
  <c r="W47" i="30"/>
  <c r="W46" i="30"/>
  <c r="V47" i="30"/>
  <c r="V46" i="30"/>
  <c r="V44" i="30"/>
  <c r="W44" i="30"/>
  <c r="V45" i="30"/>
  <c r="W45" i="30"/>
  <c r="W43" i="30"/>
  <c r="V43" i="30"/>
  <c r="V40" i="30"/>
  <c r="V41" i="30"/>
  <c r="V42" i="30"/>
  <c r="W42" i="30"/>
  <c r="V39" i="30"/>
  <c r="E26" i="30"/>
  <c r="W36" i="30"/>
  <c r="V36" i="30"/>
  <c r="V34" i="30"/>
  <c r="W34" i="30"/>
  <c r="W33" i="30"/>
  <c r="V33" i="30"/>
  <c r="W32" i="30"/>
  <c r="W31" i="30"/>
  <c r="W30" i="30"/>
  <c r="V30" i="30"/>
  <c r="V31" i="30"/>
  <c r="V32" i="30"/>
  <c r="W27" i="30"/>
  <c r="W28" i="30"/>
  <c r="W29" i="30"/>
  <c r="W26" i="30"/>
  <c r="V29" i="30"/>
  <c r="V28" i="30"/>
  <c r="V27" i="30"/>
  <c r="V26" i="30"/>
  <c r="W23" i="30"/>
  <c r="W22" i="30"/>
  <c r="W21" i="30"/>
  <c r="V23" i="30"/>
  <c r="V22" i="30"/>
  <c r="V21" i="30"/>
  <c r="V20" i="30"/>
  <c r="V19" i="30"/>
  <c r="V18" i="30"/>
  <c r="W20" i="30"/>
  <c r="W19" i="30"/>
  <c r="W18" i="30"/>
  <c r="Q35" i="30"/>
  <c r="Q34" i="30"/>
  <c r="Q33" i="30"/>
  <c r="Q20" i="30"/>
  <c r="Q22" i="30" s="1"/>
  <c r="Q19" i="30"/>
  <c r="Q21" i="30" s="1"/>
  <c r="Q18" i="30"/>
  <c r="C10" i="30"/>
  <c r="G10" i="30" s="1"/>
  <c r="M1" i="31"/>
  <c r="J1" i="31"/>
  <c r="E5" i="31"/>
  <c r="D10" i="30"/>
  <c r="H10" i="30" s="1"/>
  <c r="E6" i="31"/>
  <c r="E30" i="30"/>
  <c r="E31" i="30" s="1"/>
  <c r="L22" i="20"/>
  <c r="L23" i="20"/>
  <c r="Q32" i="30" l="1"/>
  <c r="W39" i="30"/>
  <c r="C32" i="30" s="1"/>
  <c r="W40" i="30"/>
  <c r="C31" i="30"/>
  <c r="C33" i="30" s="1"/>
  <c r="D33" i="30"/>
  <c r="D27" i="30"/>
  <c r="D32" i="30"/>
  <c r="C27" i="30"/>
  <c r="C28" i="30" s="1"/>
  <c r="C29" i="30" s="1"/>
  <c r="C34" i="30" s="1"/>
  <c r="C50" i="30"/>
  <c r="E50" i="30"/>
  <c r="E33" i="30"/>
  <c r="E32" i="30"/>
  <c r="D25" i="30"/>
  <c r="C25" i="30"/>
  <c r="D40" i="30"/>
  <c r="E40" i="30" l="1"/>
  <c r="D28" i="30" l="1"/>
  <c r="D29" i="30" s="1"/>
  <c r="D34" i="30" s="1"/>
  <c r="E27" i="30"/>
  <c r="J21" i="31"/>
  <c r="K21" i="31"/>
  <c r="L21" i="31"/>
  <c r="J9" i="31"/>
  <c r="K9" i="31"/>
  <c r="L9" i="31"/>
  <c r="K3" i="31"/>
  <c r="L3" i="31"/>
  <c r="J3" i="31"/>
  <c r="H3" i="31"/>
  <c r="I3" i="31"/>
  <c r="G3" i="31"/>
  <c r="E46" i="30"/>
  <c r="D4" i="30"/>
  <c r="H3" i="30" s="1"/>
  <c r="H56" i="30" s="1"/>
  <c r="E4" i="30"/>
  <c r="E59" i="30" s="1"/>
  <c r="E70" i="30" s="1"/>
  <c r="C4" i="30"/>
  <c r="C59" i="30" s="1"/>
  <c r="C70" i="30" s="1"/>
  <c r="D7" i="30"/>
  <c r="D8" i="30" s="1"/>
  <c r="D53" i="30"/>
  <c r="E53" i="30"/>
  <c r="C53" i="30"/>
  <c r="G53" i="30" s="1"/>
  <c r="E37" i="30"/>
  <c r="I18" i="30"/>
  <c r="I10" i="31" s="1"/>
  <c r="D18" i="30"/>
  <c r="G18" i="30"/>
  <c r="D47" i="30"/>
  <c r="E47" i="30"/>
  <c r="D48" i="30"/>
  <c r="D49" i="30" s="1"/>
  <c r="E48" i="30"/>
  <c r="E49" i="30" s="1"/>
  <c r="C48" i="30"/>
  <c r="C49" i="30" s="1"/>
  <c r="C47" i="30"/>
  <c r="D46" i="30"/>
  <c r="C46" i="30"/>
  <c r="E23" i="30"/>
  <c r="E24" i="30" s="1"/>
  <c r="D15" i="30"/>
  <c r="E15" i="30"/>
  <c r="C15" i="30"/>
  <c r="D12" i="30"/>
  <c r="E12" i="30"/>
  <c r="C12" i="30"/>
  <c r="C7" i="30"/>
  <c r="D6" i="30"/>
  <c r="E6" i="30"/>
  <c r="C6" i="30"/>
  <c r="E7" i="31"/>
  <c r="E10" i="30" s="1"/>
  <c r="I10" i="30" s="1"/>
  <c r="I7" i="31" s="1"/>
  <c r="E7" i="30"/>
  <c r="B75" i="30"/>
  <c r="B71" i="30"/>
  <c r="L20" i="20"/>
  <c r="M20" i="20"/>
  <c r="C91" i="20"/>
  <c r="D38" i="20" s="1"/>
  <c r="M21" i="20" s="1"/>
  <c r="C92" i="20"/>
  <c r="D39" i="20" s="1"/>
  <c r="C93" i="20"/>
  <c r="C94" i="20"/>
  <c r="C95" i="20"/>
  <c r="C96" i="20"/>
  <c r="C97" i="20"/>
  <c r="C98" i="20"/>
  <c r="C38" i="20"/>
  <c r="K18" i="30" l="1"/>
  <c r="K10" i="31" s="1"/>
  <c r="D19" i="30"/>
  <c r="D61" i="30" s="1"/>
  <c r="D72" i="30" s="1"/>
  <c r="G10" i="31"/>
  <c r="E28" i="30"/>
  <c r="E29" i="30" s="1"/>
  <c r="E34" i="30" s="1"/>
  <c r="E25" i="30"/>
  <c r="G7" i="30"/>
  <c r="G6" i="31" s="1"/>
  <c r="J7" i="30"/>
  <c r="J6" i="31" s="1"/>
  <c r="I7" i="30"/>
  <c r="L7" i="30"/>
  <c r="H7" i="30"/>
  <c r="H6" i="31" s="1"/>
  <c r="K7" i="30"/>
  <c r="K6" i="31" s="1"/>
  <c r="C8" i="30"/>
  <c r="G3" i="30"/>
  <c r="G56" i="30" s="1"/>
  <c r="J3" i="30"/>
  <c r="J56" i="30" s="1"/>
  <c r="L3" i="30"/>
  <c r="L56" i="30" s="1"/>
  <c r="J18" i="30"/>
  <c r="J10" i="31" s="1"/>
  <c r="I3" i="30"/>
  <c r="I56" i="30" s="1"/>
  <c r="K3" i="30"/>
  <c r="K56" i="30" s="1"/>
  <c r="D59" i="30"/>
  <c r="D70" i="30" s="1"/>
  <c r="L18" i="30"/>
  <c r="L10" i="31" s="1"/>
  <c r="H18" i="30"/>
  <c r="H10" i="31" s="1"/>
  <c r="L21" i="20"/>
  <c r="D65" i="30"/>
  <c r="M23" i="20"/>
  <c r="M22" i="20"/>
  <c r="M24" i="20" s="1"/>
  <c r="E38" i="20"/>
  <c r="N21" i="20" s="1"/>
  <c r="N23" i="20" s="1"/>
  <c r="L6" i="20"/>
  <c r="C65" i="30" l="1"/>
  <c r="W12" i="29" l="1"/>
  <c r="W35" i="29"/>
  <c r="S14" i="29"/>
  <c r="S15" i="29"/>
  <c r="S16" i="29"/>
  <c r="M6" i="29"/>
  <c r="N6" i="29" s="1"/>
  <c r="N10" i="29" s="1"/>
  <c r="T50" i="29" l="1"/>
  <c r="X50" i="29" s="1"/>
  <c r="T49" i="29"/>
  <c r="X49" i="29" s="1"/>
  <c r="T48" i="29"/>
  <c r="E93" i="30"/>
  <c r="D93" i="30"/>
  <c r="C93" i="30"/>
  <c r="L88" i="30"/>
  <c r="K88" i="30"/>
  <c r="J88" i="30"/>
  <c r="I88" i="30"/>
  <c r="H88" i="30"/>
  <c r="G88" i="30"/>
  <c r="L100" i="30"/>
  <c r="K100" i="30"/>
  <c r="J100" i="30"/>
  <c r="I100" i="30"/>
  <c r="H100" i="30"/>
  <c r="G100" i="30"/>
  <c r="E91" i="30"/>
  <c r="D91" i="30"/>
  <c r="C91" i="30"/>
  <c r="L90" i="30"/>
  <c r="K90" i="30"/>
  <c r="J90" i="30"/>
  <c r="I90" i="30"/>
  <c r="H90" i="30"/>
  <c r="G90" i="30"/>
  <c r="D86" i="30"/>
  <c r="E85" i="30"/>
  <c r="E86" i="30" s="1"/>
  <c r="S13" i="29" l="1"/>
  <c r="C95" i="30"/>
  <c r="C97" i="30" s="1"/>
  <c r="E95" i="30"/>
  <c r="E97" i="30" s="1"/>
  <c r="D95" i="30"/>
  <c r="D97" i="30" s="1"/>
  <c r="T51" i="29"/>
  <c r="V51" i="29" s="1"/>
  <c r="X48" i="29"/>
  <c r="X51" i="29" s="1"/>
  <c r="T55" i="29"/>
  <c r="X55" i="29" s="1"/>
  <c r="U48" i="29"/>
  <c r="U49" i="29"/>
  <c r="T56" i="29"/>
  <c r="U50" i="29"/>
  <c r="T57" i="29"/>
  <c r="L73" i="30"/>
  <c r="K73" i="30"/>
  <c r="J73" i="30"/>
  <c r="I73" i="30"/>
  <c r="H73" i="30"/>
  <c r="U55" i="29" l="1"/>
  <c r="U51" i="29"/>
  <c r="U57" i="29"/>
  <c r="X57" i="29"/>
  <c r="T58" i="29"/>
  <c r="V58" i="29" s="1"/>
  <c r="U56" i="29"/>
  <c r="X56" i="29"/>
  <c r="L65" i="30"/>
  <c r="K65" i="30"/>
  <c r="J65" i="30"/>
  <c r="I65" i="30"/>
  <c r="H65" i="30"/>
  <c r="I53" i="30"/>
  <c r="I21" i="31" s="1"/>
  <c r="L40" i="30"/>
  <c r="L15" i="31" s="1"/>
  <c r="I40" i="30"/>
  <c r="I15" i="31" s="1"/>
  <c r="L48" i="30"/>
  <c r="L20" i="31" s="1"/>
  <c r="I48" i="30"/>
  <c r="I20" i="31" s="1"/>
  <c r="L46" i="30"/>
  <c r="L18" i="31" s="1"/>
  <c r="I46" i="30"/>
  <c r="I18" i="31" s="1"/>
  <c r="L34" i="30"/>
  <c r="L14" i="31" s="1"/>
  <c r="I34" i="30"/>
  <c r="I14" i="31" s="1"/>
  <c r="L23" i="30"/>
  <c r="L12" i="31" s="1"/>
  <c r="I23" i="30"/>
  <c r="G23" i="30"/>
  <c r="I15" i="30"/>
  <c r="I9" i="31" s="1"/>
  <c r="K12" i="30"/>
  <c r="K8" i="31" s="1"/>
  <c r="J12" i="30"/>
  <c r="J8" i="31" s="1"/>
  <c r="G12" i="30"/>
  <c r="G8" i="31" s="1"/>
  <c r="L6" i="31"/>
  <c r="E38" i="30"/>
  <c r="L10" i="30"/>
  <c r="L7" i="31" s="1"/>
  <c r="H30" i="30"/>
  <c r="H13" i="31" s="1"/>
  <c r="G30" i="30"/>
  <c r="G13" i="31" s="1"/>
  <c r="H53" i="30"/>
  <c r="H21" i="31" s="1"/>
  <c r="G21" i="31"/>
  <c r="K40" i="30"/>
  <c r="K15" i="31" s="1"/>
  <c r="J40" i="30"/>
  <c r="J15" i="31" s="1"/>
  <c r="H40" i="30"/>
  <c r="H15" i="31" s="1"/>
  <c r="G40" i="30"/>
  <c r="G15" i="31" s="1"/>
  <c r="K48" i="30"/>
  <c r="K20" i="31" s="1"/>
  <c r="J48" i="30"/>
  <c r="J20" i="31" s="1"/>
  <c r="H48" i="30"/>
  <c r="H20" i="31" s="1"/>
  <c r="G48" i="30"/>
  <c r="G20" i="31" s="1"/>
  <c r="K46" i="30"/>
  <c r="K18" i="31" s="1"/>
  <c r="J46" i="30"/>
  <c r="J18" i="31" s="1"/>
  <c r="H46" i="30"/>
  <c r="H18" i="31" s="1"/>
  <c r="G46" i="30"/>
  <c r="G18" i="31" s="1"/>
  <c r="H34" i="30"/>
  <c r="H14" i="31" s="1"/>
  <c r="G34" i="30"/>
  <c r="H12" i="30"/>
  <c r="H8" i="31" s="1"/>
  <c r="D38" i="30"/>
  <c r="K23" i="30"/>
  <c r="K12" i="31" s="1"/>
  <c r="J23" i="30"/>
  <c r="J12" i="31" s="1"/>
  <c r="H23" i="30"/>
  <c r="K34" i="30"/>
  <c r="K14" i="31" s="1"/>
  <c r="J34" i="30"/>
  <c r="J14" i="31" s="1"/>
  <c r="H15" i="30"/>
  <c r="H9" i="31" s="1"/>
  <c r="G15" i="30"/>
  <c r="G9" i="31" s="1"/>
  <c r="D16" i="30"/>
  <c r="C16" i="30"/>
  <c r="L24" i="20"/>
  <c r="R20" i="20"/>
  <c r="Q20" i="20"/>
  <c r="P20" i="20"/>
  <c r="O20" i="20"/>
  <c r="N20" i="20"/>
  <c r="R18" i="20"/>
  <c r="O18" i="20"/>
  <c r="N18" i="20"/>
  <c r="R17" i="20"/>
  <c r="Q17" i="20"/>
  <c r="P17" i="20"/>
  <c r="O17" i="20"/>
  <c r="N17" i="20"/>
  <c r="M17" i="20"/>
  <c r="L17" i="20"/>
  <c r="R16" i="20"/>
  <c r="Q16" i="20"/>
  <c r="Q18" i="20" s="1"/>
  <c r="P16" i="20"/>
  <c r="P18" i="20" s="1"/>
  <c r="O16" i="20"/>
  <c r="N16" i="20"/>
  <c r="M16" i="20"/>
  <c r="M18" i="20" s="1"/>
  <c r="L16" i="20"/>
  <c r="L18" i="20" s="1"/>
  <c r="R12" i="20"/>
  <c r="Q12" i="20"/>
  <c r="P12" i="20"/>
  <c r="O12" i="20"/>
  <c r="N12" i="20"/>
  <c r="M12" i="20"/>
  <c r="L12" i="20"/>
  <c r="G58" i="30" l="1"/>
  <c r="C64" i="30"/>
  <c r="K10" i="30"/>
  <c r="K7" i="31" s="1"/>
  <c r="H7" i="31"/>
  <c r="E51" i="30"/>
  <c r="E66" i="30" s="1"/>
  <c r="J10" i="30"/>
  <c r="J7" i="31" s="1"/>
  <c r="G7" i="31"/>
  <c r="L30" i="30"/>
  <c r="L13" i="31" s="1"/>
  <c r="I12" i="31"/>
  <c r="K30" i="30"/>
  <c r="K13" i="31" s="1"/>
  <c r="H12" i="31"/>
  <c r="J30" i="30"/>
  <c r="J13" i="31" s="1"/>
  <c r="G12" i="31"/>
  <c r="G14" i="31"/>
  <c r="D64" i="30"/>
  <c r="C51" i="30"/>
  <c r="C66" i="30" s="1"/>
  <c r="H58" i="30"/>
  <c r="I6" i="31"/>
  <c r="I12" i="30"/>
  <c r="I8" i="31" s="1"/>
  <c r="D51" i="30"/>
  <c r="D66" i="30" s="1"/>
  <c r="E16" i="30"/>
  <c r="E8" i="30"/>
  <c r="N22" i="20"/>
  <c r="N24" i="20" s="1"/>
  <c r="U58" i="29"/>
  <c r="X58" i="29"/>
  <c r="L12" i="30"/>
  <c r="I30" i="30"/>
  <c r="I13" i="31" s="1"/>
  <c r="E65" i="30" l="1"/>
  <c r="H22" i="31"/>
  <c r="K22" i="31"/>
  <c r="J22" i="31"/>
  <c r="G22" i="31"/>
  <c r="I22" i="31"/>
  <c r="K58" i="30"/>
  <c r="J58" i="30"/>
  <c r="L58" i="30"/>
  <c r="L59" i="30" s="1"/>
  <c r="L8" i="31"/>
  <c r="L22" i="31" s="1"/>
  <c r="E64" i="30"/>
  <c r="I58" i="30"/>
  <c r="I59" i="30" l="1"/>
  <c r="G60" i="30" s="1"/>
  <c r="J60" i="30"/>
  <c r="J23" i="31" s="1"/>
  <c r="K60" i="30"/>
  <c r="L60" i="30"/>
  <c r="L23" i="31" s="1"/>
  <c r="I60" i="30" l="1"/>
  <c r="I23" i="31" s="1"/>
  <c r="H60" i="30"/>
  <c r="G75" i="30"/>
  <c r="H75" i="30" s="1"/>
  <c r="G67" i="30"/>
  <c r="H67" i="30" s="1"/>
  <c r="G23" i="31"/>
  <c r="G76" i="30"/>
  <c r="J76" i="30" s="1"/>
  <c r="K23" i="31"/>
  <c r="H23" i="31" l="1"/>
  <c r="G68" i="30"/>
  <c r="J75" i="30"/>
  <c r="K75" i="30"/>
  <c r="I75" i="30"/>
  <c r="L75" i="30"/>
  <c r="I67" i="30"/>
  <c r="K76" i="30"/>
  <c r="H76" i="30"/>
  <c r="I76" i="30"/>
  <c r="L76" i="30"/>
  <c r="J67" i="30"/>
  <c r="K67" i="30"/>
  <c r="L67" i="30"/>
  <c r="T30" i="29"/>
  <c r="U30" i="29" s="1"/>
  <c r="T29" i="29"/>
  <c r="U29" i="29" s="1"/>
  <c r="T31" i="29"/>
  <c r="K68" i="30" l="1"/>
  <c r="I68" i="30"/>
  <c r="H68" i="30"/>
  <c r="J68" i="30"/>
  <c r="L68" i="30"/>
  <c r="U31" i="29"/>
  <c r="U32" i="29" s="1"/>
  <c r="T32" i="29"/>
  <c r="T36" i="29"/>
  <c r="U36" i="29" s="1"/>
  <c r="T37" i="29"/>
  <c r="U37" i="29" s="1"/>
  <c r="T38" i="29"/>
  <c r="U38" i="29" s="1"/>
  <c r="T8" i="29"/>
  <c r="T6" i="29"/>
  <c r="U39" i="29" l="1"/>
  <c r="U6" i="29"/>
  <c r="T14" i="29"/>
  <c r="U7" i="29"/>
  <c r="T15" i="29"/>
  <c r="U8" i="29"/>
  <c r="T16" i="29"/>
  <c r="T9" i="29"/>
  <c r="V5" i="29" s="1"/>
  <c r="T13" i="29"/>
  <c r="T39" i="29"/>
  <c r="V48" i="29" l="1"/>
  <c r="V50" i="29"/>
  <c r="V49" i="29"/>
  <c r="V9" i="29"/>
  <c r="V31" i="29"/>
  <c r="V29" i="29"/>
  <c r="V30" i="29"/>
  <c r="V7" i="29"/>
  <c r="U14" i="29"/>
  <c r="U13" i="29"/>
  <c r="T17" i="29"/>
  <c r="V39" i="29" s="1"/>
  <c r="U16" i="29"/>
  <c r="V32" i="29"/>
  <c r="U9" i="29"/>
  <c r="V8" i="29"/>
  <c r="U15" i="29"/>
  <c r="V6" i="29"/>
  <c r="V16" i="29" l="1"/>
  <c r="U17" i="29"/>
  <c r="V14" i="29"/>
  <c r="V55" i="29"/>
  <c r="V57" i="29"/>
  <c r="V56" i="29"/>
  <c r="V38" i="29"/>
  <c r="V36" i="29"/>
  <c r="V17" i="29"/>
  <c r="V15" i="29"/>
  <c r="V37" i="29"/>
  <c r="V13" i="29"/>
  <c r="G50" i="29"/>
  <c r="G60" i="29" s="1"/>
  <c r="G70" i="29" s="1"/>
  <c r="G81" i="29" s="1"/>
  <c r="H50" i="29"/>
  <c r="H60" i="29" s="1"/>
  <c r="H70" i="29" s="1"/>
  <c r="H81" i="29" s="1"/>
  <c r="I50" i="29"/>
  <c r="I60" i="29" s="1"/>
  <c r="I70" i="29" s="1"/>
  <c r="I81" i="29" s="1"/>
  <c r="G51" i="29"/>
  <c r="G61" i="29" s="1"/>
  <c r="G71" i="29" s="1"/>
  <c r="G82" i="29" s="1"/>
  <c r="H51" i="29"/>
  <c r="H61" i="29" s="1"/>
  <c r="H71" i="29" s="1"/>
  <c r="H82" i="29" s="1"/>
  <c r="I51" i="29"/>
  <c r="I61" i="29" s="1"/>
  <c r="I71" i="29" s="1"/>
  <c r="I82" i="29" s="1"/>
  <c r="G52" i="29"/>
  <c r="G62" i="29" s="1"/>
  <c r="G72" i="29" s="1"/>
  <c r="G83" i="29" s="1"/>
  <c r="H52" i="29"/>
  <c r="H62" i="29" s="1"/>
  <c r="H72" i="29" s="1"/>
  <c r="H83" i="29" s="1"/>
  <c r="I52" i="29"/>
  <c r="I62" i="29" s="1"/>
  <c r="I72" i="29" s="1"/>
  <c r="I83" i="29" s="1"/>
  <c r="E53" i="29"/>
  <c r="E63" i="29" s="1"/>
  <c r="E73" i="29" s="1"/>
  <c r="E84" i="29" s="1"/>
  <c r="F53" i="29"/>
  <c r="F63" i="29" s="1"/>
  <c r="F73" i="29" s="1"/>
  <c r="F84" i="29" s="1"/>
  <c r="G53" i="29"/>
  <c r="G63" i="29" s="1"/>
  <c r="G73" i="29" s="1"/>
  <c r="G84" i="29" s="1"/>
  <c r="H53" i="29"/>
  <c r="H63" i="29" s="1"/>
  <c r="H73" i="29" s="1"/>
  <c r="H84" i="29" s="1"/>
  <c r="I53" i="29"/>
  <c r="I63" i="29" s="1"/>
  <c r="I73" i="29" s="1"/>
  <c r="I84" i="29" s="1"/>
  <c r="E54" i="29"/>
  <c r="E64" i="29" s="1"/>
  <c r="E74" i="29" s="1"/>
  <c r="E85" i="29" s="1"/>
  <c r="F54" i="29"/>
  <c r="F64" i="29" s="1"/>
  <c r="F74" i="29" s="1"/>
  <c r="F85" i="29" s="1"/>
  <c r="G54" i="29"/>
  <c r="G64" i="29" s="1"/>
  <c r="G74" i="29" s="1"/>
  <c r="G85" i="29" s="1"/>
  <c r="H54" i="29"/>
  <c r="H64" i="29" s="1"/>
  <c r="H74" i="29" s="1"/>
  <c r="H85" i="29" s="1"/>
  <c r="I54" i="29"/>
  <c r="I64" i="29" s="1"/>
  <c r="I74" i="29" s="1"/>
  <c r="I85" i="29" s="1"/>
  <c r="E55" i="29"/>
  <c r="E65" i="29" s="1"/>
  <c r="E75" i="29" s="1"/>
  <c r="E86" i="29" s="1"/>
  <c r="F55" i="29"/>
  <c r="F65" i="29" s="1"/>
  <c r="F75" i="29" s="1"/>
  <c r="F86" i="29" s="1"/>
  <c r="G55" i="29"/>
  <c r="G65" i="29" s="1"/>
  <c r="G75" i="29" s="1"/>
  <c r="G86" i="29" s="1"/>
  <c r="H55" i="29"/>
  <c r="H65" i="29" s="1"/>
  <c r="H75" i="29" s="1"/>
  <c r="H86" i="29" s="1"/>
  <c r="I55" i="29"/>
  <c r="I65" i="29" s="1"/>
  <c r="I75" i="29" s="1"/>
  <c r="I86" i="29" s="1"/>
  <c r="C50" i="29"/>
  <c r="C60" i="29" s="1"/>
  <c r="C70" i="29" s="1"/>
  <c r="C81" i="29" s="1"/>
  <c r="C51" i="29"/>
  <c r="C61" i="29" s="1"/>
  <c r="C71" i="29" s="1"/>
  <c r="C82" i="29" s="1"/>
  <c r="C49" i="29"/>
  <c r="C59" i="29" s="1"/>
  <c r="C69" i="29" s="1"/>
  <c r="C80" i="29" s="1"/>
  <c r="B44" i="29"/>
  <c r="B43" i="29"/>
  <c r="B42" i="29"/>
  <c r="B41" i="29"/>
  <c r="B40" i="29"/>
  <c r="I37" i="29"/>
  <c r="H37" i="29"/>
  <c r="G37" i="29"/>
  <c r="F37" i="29"/>
  <c r="E37" i="29"/>
  <c r="D37" i="29"/>
  <c r="C37" i="29"/>
  <c r="B36" i="29"/>
  <c r="Z10" i="20"/>
  <c r="AA10" i="20"/>
  <c r="AB10" i="20"/>
  <c r="AC10" i="20"/>
  <c r="Z11" i="20"/>
  <c r="AA11" i="20"/>
  <c r="AB11" i="20"/>
  <c r="AC11" i="20"/>
  <c r="Z12" i="20"/>
  <c r="AA12" i="20"/>
  <c r="AB12" i="20"/>
  <c r="AC12" i="20"/>
  <c r="Z13" i="20"/>
  <c r="AA13" i="20"/>
  <c r="AB13" i="20"/>
  <c r="AC13" i="20"/>
  <c r="Z14" i="20"/>
  <c r="AA14" i="20"/>
  <c r="AB14" i="20"/>
  <c r="AC14" i="20"/>
  <c r="Z15" i="20"/>
  <c r="AA15" i="20"/>
  <c r="AB15" i="20"/>
  <c r="AC15" i="20"/>
  <c r="Z16" i="20"/>
  <c r="AA16" i="20"/>
  <c r="AB16" i="20"/>
  <c r="AC16" i="20"/>
  <c r="F9" i="20"/>
  <c r="F40" i="29" s="1"/>
  <c r="F99" i="29" l="1"/>
  <c r="F11" i="29" s="1"/>
  <c r="F28" i="29" s="1"/>
  <c r="I98" i="29"/>
  <c r="I10" i="29" s="1"/>
  <c r="I27" i="29" s="1"/>
  <c r="E98" i="29"/>
  <c r="E10" i="29" s="1"/>
  <c r="E27" i="29" s="1"/>
  <c r="H97" i="29"/>
  <c r="H9" i="29" s="1"/>
  <c r="H26" i="29" s="1"/>
  <c r="G96" i="29"/>
  <c r="G8" i="29" s="1"/>
  <c r="G25" i="29" s="1"/>
  <c r="H94" i="29"/>
  <c r="H6" i="29" s="1"/>
  <c r="H23" i="29" s="1"/>
  <c r="C94" i="29"/>
  <c r="C6" i="29" s="1"/>
  <c r="C23" i="29" s="1"/>
  <c r="I99" i="29"/>
  <c r="I11" i="29" s="1"/>
  <c r="I28" i="29" s="1"/>
  <c r="E99" i="29"/>
  <c r="E11" i="29" s="1"/>
  <c r="E28" i="29" s="1"/>
  <c r="H98" i="29"/>
  <c r="H10" i="29" s="1"/>
  <c r="H27" i="29" s="1"/>
  <c r="G97" i="29"/>
  <c r="G9" i="29" s="1"/>
  <c r="G26" i="29" s="1"/>
  <c r="I95" i="29"/>
  <c r="I7" i="29" s="1"/>
  <c r="I24" i="29" s="1"/>
  <c r="G94" i="29"/>
  <c r="G6" i="29" s="1"/>
  <c r="G23" i="29" s="1"/>
  <c r="C93" i="29"/>
  <c r="C5" i="29" s="1"/>
  <c r="C22" i="29" s="1"/>
  <c r="H99" i="29"/>
  <c r="H11" i="29" s="1"/>
  <c r="H28" i="29" s="1"/>
  <c r="G98" i="29"/>
  <c r="G10" i="29" s="1"/>
  <c r="G27" i="29" s="1"/>
  <c r="F97" i="29"/>
  <c r="F9" i="29" s="1"/>
  <c r="F26" i="29" s="1"/>
  <c r="I96" i="29"/>
  <c r="I8" i="29" s="1"/>
  <c r="I25" i="29" s="1"/>
  <c r="H95" i="29"/>
  <c r="H7" i="29" s="1"/>
  <c r="H24" i="29" s="1"/>
  <c r="C95" i="29"/>
  <c r="C7" i="29" s="1"/>
  <c r="C24" i="29" s="1"/>
  <c r="G99" i="29"/>
  <c r="G11" i="29" s="1"/>
  <c r="G28" i="29" s="1"/>
  <c r="F98" i="29"/>
  <c r="F10" i="29" s="1"/>
  <c r="F27" i="29" s="1"/>
  <c r="I97" i="29"/>
  <c r="I9" i="29" s="1"/>
  <c r="I26" i="29" s="1"/>
  <c r="E97" i="29"/>
  <c r="E9" i="29" s="1"/>
  <c r="E26" i="29" s="1"/>
  <c r="H96" i="29"/>
  <c r="H8" i="29" s="1"/>
  <c r="H25" i="29" s="1"/>
  <c r="G95" i="29"/>
  <c r="G7" i="29" s="1"/>
  <c r="G24" i="29" s="1"/>
  <c r="I94" i="29"/>
  <c r="I6" i="29" s="1"/>
  <c r="I23" i="29" s="1"/>
  <c r="F51" i="29"/>
  <c r="F61" i="29" s="1"/>
  <c r="F71" i="29" s="1"/>
  <c r="C10" i="20"/>
  <c r="C41" i="29" s="1"/>
  <c r="C15" i="19"/>
  <c r="C88" i="20"/>
  <c r="F82" i="29" l="1"/>
  <c r="F95" i="29"/>
  <c r="F7" i="29" s="1"/>
  <c r="F24" i="29" s="1"/>
  <c r="C52" i="29"/>
  <c r="C62" i="29" s="1"/>
  <c r="C72" i="29" s="1"/>
  <c r="C27" i="19"/>
  <c r="C24" i="19"/>
  <c r="C23" i="19"/>
  <c r="C22" i="19"/>
  <c r="C21" i="19"/>
  <c r="C20" i="19"/>
  <c r="C83" i="29" l="1"/>
  <c r="C96" i="29"/>
  <c r="C8" i="29" s="1"/>
  <c r="C25" i="29" s="1"/>
  <c r="I31" i="20"/>
  <c r="H31" i="20"/>
  <c r="G31" i="20"/>
  <c r="F31" i="20"/>
  <c r="E31" i="20"/>
  <c r="D31" i="20"/>
  <c r="C31" i="20"/>
  <c r="I29" i="20"/>
  <c r="H29" i="20"/>
  <c r="G29" i="20"/>
  <c r="F29" i="20"/>
  <c r="E29" i="20"/>
  <c r="D29" i="20"/>
  <c r="C29" i="20"/>
  <c r="I30" i="20"/>
  <c r="H30" i="20"/>
  <c r="G30" i="20"/>
  <c r="F30" i="20"/>
  <c r="E30" i="20"/>
  <c r="D30" i="20"/>
  <c r="E28" i="20"/>
  <c r="F28" i="20"/>
  <c r="G28" i="20"/>
  <c r="H28" i="20"/>
  <c r="I28" i="20"/>
  <c r="D28" i="20"/>
  <c r="C28" i="20" s="1"/>
  <c r="C27" i="20"/>
  <c r="D27" i="20"/>
  <c r="E27" i="20"/>
  <c r="F27" i="20"/>
  <c r="G27" i="20"/>
  <c r="H27" i="20"/>
  <c r="I27" i="20"/>
  <c r="E26" i="20"/>
  <c r="AB8" i="20" s="1"/>
  <c r="AE8" i="20" s="1"/>
  <c r="AG8" i="20" s="1"/>
  <c r="AH8" i="20" s="1"/>
  <c r="AI8" i="20" s="1"/>
  <c r="F26" i="20"/>
  <c r="G26" i="20"/>
  <c r="H26" i="20"/>
  <c r="I26" i="20"/>
  <c r="C26" i="20"/>
  <c r="D26" i="20"/>
  <c r="C29" i="19" l="1"/>
  <c r="C28" i="19"/>
  <c r="D32" i="20"/>
  <c r="E32" i="20"/>
  <c r="C32" i="20"/>
  <c r="B29" i="19"/>
  <c r="B28" i="19"/>
  <c r="B27" i="19"/>
  <c r="B26" i="19"/>
  <c r="B25" i="19"/>
  <c r="B24" i="19"/>
  <c r="B23" i="19"/>
  <c r="B22" i="19"/>
  <c r="B21" i="19"/>
  <c r="B20" i="19"/>
  <c r="C89" i="20" l="1"/>
  <c r="C90" i="20"/>
  <c r="AL36" i="20" l="1"/>
  <c r="F46" i="20"/>
  <c r="F12" i="20"/>
  <c r="D14" i="20"/>
  <c r="C18" i="19"/>
  <c r="E14" i="20" l="1"/>
  <c r="F32" i="20"/>
  <c r="G46" i="20"/>
  <c r="G32" i="20" s="1"/>
  <c r="F14" i="20" l="1"/>
  <c r="G14" i="20" s="1"/>
  <c r="H14" i="20" s="1"/>
  <c r="I14" i="20" s="1"/>
  <c r="H46" i="20"/>
  <c r="H32" i="20" s="1"/>
  <c r="I46" i="20" l="1"/>
  <c r="B42" i="19"/>
  <c r="B43" i="19"/>
  <c r="B41" i="19"/>
  <c r="B40" i="19"/>
  <c r="B39" i="19"/>
  <c r="B38" i="19"/>
  <c r="B37" i="19"/>
  <c r="B36" i="19"/>
  <c r="B35" i="19"/>
  <c r="B34" i="19"/>
  <c r="B33" i="19"/>
  <c r="B32" i="19"/>
  <c r="B31" i="19"/>
  <c r="B94" i="20"/>
  <c r="B93" i="20"/>
  <c r="B92" i="20"/>
  <c r="B91" i="20"/>
  <c r="B88" i="20"/>
  <c r="E10" i="20"/>
  <c r="F10" i="20"/>
  <c r="F41" i="29" s="1"/>
  <c r="E11" i="20"/>
  <c r="F11" i="20"/>
  <c r="E12" i="20"/>
  <c r="D12" i="20"/>
  <c r="D54" i="29" l="1"/>
  <c r="D64" i="29" s="1"/>
  <c r="D74" i="29" s="1"/>
  <c r="F52" i="29"/>
  <c r="F62" i="29" s="1"/>
  <c r="F72" i="29" s="1"/>
  <c r="E41" i="29"/>
  <c r="C35" i="20"/>
  <c r="D35" i="20" s="1"/>
  <c r="I32" i="20"/>
  <c r="E13" i="20"/>
  <c r="F47" i="20"/>
  <c r="D13" i="20"/>
  <c r="G10" i="20"/>
  <c r="G12" i="20"/>
  <c r="G11" i="20"/>
  <c r="F13" i="20"/>
  <c r="D11" i="19"/>
  <c r="D85" i="29" l="1"/>
  <c r="D98" i="29"/>
  <c r="D10" i="29" s="1"/>
  <c r="D27" i="29" s="1"/>
  <c r="F83" i="29"/>
  <c r="F96" i="29"/>
  <c r="F8" i="29" s="1"/>
  <c r="F25" i="29" s="1"/>
  <c r="E52" i="29"/>
  <c r="E62" i="29" s="1"/>
  <c r="E72" i="29" s="1"/>
  <c r="C24" i="20"/>
  <c r="E35" i="20"/>
  <c r="D24" i="20"/>
  <c r="F33" i="20"/>
  <c r="E11" i="19"/>
  <c r="H11" i="20"/>
  <c r="H12" i="20"/>
  <c r="H13" i="20" s="1"/>
  <c r="G13" i="20"/>
  <c r="H10" i="20"/>
  <c r="G47" i="20"/>
  <c r="AD16" i="20"/>
  <c r="AE16" i="20"/>
  <c r="AG16" i="20" s="1"/>
  <c r="AD15" i="20"/>
  <c r="AE15" i="20"/>
  <c r="AG15" i="20" s="1"/>
  <c r="AD14" i="20"/>
  <c r="AE14" i="20"/>
  <c r="AG14" i="20" s="1"/>
  <c r="W16" i="20"/>
  <c r="W15" i="20"/>
  <c r="W14" i="20"/>
  <c r="AD13" i="20"/>
  <c r="AE13" i="20"/>
  <c r="AG13" i="20" s="1"/>
  <c r="AD12" i="20"/>
  <c r="AE12" i="20"/>
  <c r="AG12" i="20" s="1"/>
  <c r="W13" i="20"/>
  <c r="W12" i="20"/>
  <c r="AE11" i="20"/>
  <c r="AG11" i="20" s="1"/>
  <c r="AD11" i="20"/>
  <c r="AE10" i="20"/>
  <c r="AG10" i="20" s="1"/>
  <c r="AD10" i="20"/>
  <c r="C9" i="20"/>
  <c r="W10" i="20"/>
  <c r="W11" i="20"/>
  <c r="E83" i="29" l="1"/>
  <c r="E96" i="29"/>
  <c r="E8" i="29" s="1"/>
  <c r="E25" i="29" s="1"/>
  <c r="D55" i="29"/>
  <c r="D65" i="29" s="1"/>
  <c r="D75" i="29" s="1"/>
  <c r="AH16" i="20"/>
  <c r="AI16" i="20" s="1"/>
  <c r="AH12" i="20"/>
  <c r="AI12" i="20"/>
  <c r="AH13" i="20"/>
  <c r="AI13" i="20" s="1"/>
  <c r="AH14" i="20"/>
  <c r="AI14" i="20"/>
  <c r="AH10" i="20"/>
  <c r="AI10" i="20" s="1"/>
  <c r="AH11" i="20"/>
  <c r="AI11" i="20"/>
  <c r="AH15" i="20"/>
  <c r="AI15" i="20" s="1"/>
  <c r="F35" i="20"/>
  <c r="E24" i="20"/>
  <c r="G33" i="20"/>
  <c r="F11" i="19"/>
  <c r="I12" i="20"/>
  <c r="I11" i="20"/>
  <c r="I10" i="20"/>
  <c r="H47" i="20"/>
  <c r="B95" i="20"/>
  <c r="B90" i="20"/>
  <c r="B89" i="20"/>
  <c r="E9" i="20"/>
  <c r="E40" i="29" s="1"/>
  <c r="C12" i="20"/>
  <c r="C43" i="29" s="1"/>
  <c r="D11" i="20"/>
  <c r="C11" i="20"/>
  <c r="D10" i="20"/>
  <c r="D9" i="20"/>
  <c r="D40" i="29" s="1"/>
  <c r="AK9" i="20"/>
  <c r="B20" i="20"/>
  <c r="B19" i="20"/>
  <c r="B18" i="20"/>
  <c r="B17" i="20"/>
  <c r="B65" i="20"/>
  <c r="B64" i="20"/>
  <c r="B63" i="20"/>
  <c r="B62" i="20"/>
  <c r="D41" i="29" l="1"/>
  <c r="D52" i="29" s="1"/>
  <c r="D62" i="29" s="1"/>
  <c r="D72" i="29" s="1"/>
  <c r="C86" i="30"/>
  <c r="D86" i="29"/>
  <c r="D99" i="29"/>
  <c r="D11" i="29" s="1"/>
  <c r="D28" i="29" s="1"/>
  <c r="D51" i="29"/>
  <c r="D61" i="29" s="1"/>
  <c r="D71" i="29" s="1"/>
  <c r="D95" i="29" s="1"/>
  <c r="C54" i="29"/>
  <c r="C64" i="29" s="1"/>
  <c r="C74" i="29" s="1"/>
  <c r="E51" i="29"/>
  <c r="E61" i="29" s="1"/>
  <c r="E71" i="29" s="1"/>
  <c r="C42" i="29"/>
  <c r="D42" i="29"/>
  <c r="G9" i="20"/>
  <c r="F24" i="20"/>
  <c r="G35" i="20"/>
  <c r="G39" i="20"/>
  <c r="H33" i="20"/>
  <c r="G11" i="19"/>
  <c r="AL9" i="20"/>
  <c r="I47" i="20"/>
  <c r="C13" i="20"/>
  <c r="AL10" i="20"/>
  <c r="I13" i="20"/>
  <c r="AK10" i="20"/>
  <c r="C47" i="20"/>
  <c r="H36" i="20"/>
  <c r="I37" i="20"/>
  <c r="G37" i="20"/>
  <c r="C37" i="20"/>
  <c r="I36" i="20"/>
  <c r="H37" i="20"/>
  <c r="F37" i="20"/>
  <c r="F36" i="20"/>
  <c r="G36" i="20"/>
  <c r="D41" i="20"/>
  <c r="I40" i="20"/>
  <c r="E42" i="20"/>
  <c r="F40" i="20"/>
  <c r="E41" i="20"/>
  <c r="H40" i="20"/>
  <c r="D42" i="20"/>
  <c r="I41" i="20"/>
  <c r="C40" i="20"/>
  <c r="H42" i="20"/>
  <c r="F42" i="20"/>
  <c r="G40" i="20"/>
  <c r="C42" i="20"/>
  <c r="F41" i="20"/>
  <c r="G42" i="20"/>
  <c r="H41" i="20"/>
  <c r="I42" i="20"/>
  <c r="G41" i="20"/>
  <c r="F20" i="20"/>
  <c r="F17" i="20"/>
  <c r="F18" i="20"/>
  <c r="F19" i="20"/>
  <c r="AM9" i="20"/>
  <c r="F39" i="20"/>
  <c r="G38" i="20"/>
  <c r="F38" i="20"/>
  <c r="E39" i="20"/>
  <c r="C36" i="20"/>
  <c r="C25" i="20" s="1"/>
  <c r="H39" i="20"/>
  <c r="H38" i="29" s="1"/>
  <c r="D37" i="20"/>
  <c r="I38" i="20"/>
  <c r="D36" i="20"/>
  <c r="D40" i="20"/>
  <c r="E36" i="20"/>
  <c r="I39" i="20"/>
  <c r="I38" i="29" s="1"/>
  <c r="E40" i="20"/>
  <c r="E37" i="20"/>
  <c r="H38" i="20"/>
  <c r="AM10" i="20"/>
  <c r="E17" i="20"/>
  <c r="C17" i="20"/>
  <c r="C18" i="20"/>
  <c r="C20" i="20"/>
  <c r="E20" i="20"/>
  <c r="D20" i="20"/>
  <c r="D17" i="20"/>
  <c r="D19" i="20"/>
  <c r="D18" i="20"/>
  <c r="E18" i="20"/>
  <c r="C19" i="20"/>
  <c r="E19" i="20"/>
  <c r="D47" i="20"/>
  <c r="R21" i="20" l="1"/>
  <c r="R23" i="20" s="1"/>
  <c r="P21" i="20"/>
  <c r="P23" i="20" s="1"/>
  <c r="D11" i="30"/>
  <c r="D14" i="30" s="1"/>
  <c r="C11" i="30"/>
  <c r="C14" i="30" s="1"/>
  <c r="E11" i="30"/>
  <c r="E14" i="30" s="1"/>
  <c r="Q21" i="20"/>
  <c r="Q23" i="20" s="1"/>
  <c r="O21" i="20"/>
  <c r="O23" i="20" s="1"/>
  <c r="D83" i="29"/>
  <c r="D96" i="29"/>
  <c r="D8" i="29" s="1"/>
  <c r="D7" i="29"/>
  <c r="E82" i="29"/>
  <c r="E95" i="29"/>
  <c r="E7" i="29" s="1"/>
  <c r="E24" i="29" s="1"/>
  <c r="C85" i="29"/>
  <c r="C98" i="29"/>
  <c r="C10" i="29" s="1"/>
  <c r="D53" i="29"/>
  <c r="D63" i="29" s="1"/>
  <c r="D73" i="29" s="1"/>
  <c r="I49" i="29"/>
  <c r="I59" i="29" s="1"/>
  <c r="I69" i="29" s="1"/>
  <c r="C55" i="29"/>
  <c r="C65" i="29" s="1"/>
  <c r="C75" i="29" s="1"/>
  <c r="C53" i="29"/>
  <c r="C63" i="29" s="1"/>
  <c r="C73" i="29" s="1"/>
  <c r="H49" i="29"/>
  <c r="H59" i="29" s="1"/>
  <c r="H69" i="29" s="1"/>
  <c r="D39" i="29"/>
  <c r="AB9" i="20"/>
  <c r="AE9" i="20" s="1"/>
  <c r="AG9" i="20" s="1"/>
  <c r="E38" i="29"/>
  <c r="F38" i="29"/>
  <c r="F39" i="29"/>
  <c r="C39" i="20"/>
  <c r="D38" i="29"/>
  <c r="D49" i="29" s="1"/>
  <c r="G38" i="29"/>
  <c r="E39" i="29"/>
  <c r="H35" i="20"/>
  <c r="G24" i="20"/>
  <c r="AM39" i="20"/>
  <c r="G25" i="20"/>
  <c r="H25" i="20"/>
  <c r="E25" i="20"/>
  <c r="F25" i="20"/>
  <c r="I25" i="20"/>
  <c r="D25" i="20"/>
  <c r="C33" i="20"/>
  <c r="D33" i="20"/>
  <c r="I33" i="20"/>
  <c r="AM41" i="20"/>
  <c r="H9" i="20"/>
  <c r="G43" i="20"/>
  <c r="F43" i="20"/>
  <c r="D43" i="20"/>
  <c r="E43" i="20"/>
  <c r="AM40" i="20"/>
  <c r="H43" i="20"/>
  <c r="I43" i="20"/>
  <c r="C43" i="20"/>
  <c r="C41" i="20"/>
  <c r="AK13" i="20"/>
  <c r="G17" i="20"/>
  <c r="G19" i="20"/>
  <c r="G18" i="20"/>
  <c r="G20" i="20"/>
  <c r="E47" i="20"/>
  <c r="P17" i="29" l="1"/>
  <c r="C27" i="29"/>
  <c r="P11" i="29"/>
  <c r="W6" i="29" s="1"/>
  <c r="D24" i="29"/>
  <c r="D59" i="29"/>
  <c r="D69" i="29" s="1"/>
  <c r="D93" i="29" s="1"/>
  <c r="P12" i="29"/>
  <c r="W7" i="29" s="1"/>
  <c r="D25" i="29"/>
  <c r="D60" i="30"/>
  <c r="D42" i="30"/>
  <c r="D41" i="30"/>
  <c r="C41" i="30"/>
  <c r="C60" i="30"/>
  <c r="C42" i="30"/>
  <c r="E60" i="30"/>
  <c r="E62" i="30" s="1"/>
  <c r="E41" i="30"/>
  <c r="E42" i="30"/>
  <c r="P22" i="20"/>
  <c r="P24" i="20" s="1"/>
  <c r="R22" i="20"/>
  <c r="R24" i="20" s="1"/>
  <c r="O22" i="20"/>
  <c r="O24" i="20" s="1"/>
  <c r="Q22" i="20"/>
  <c r="Q24" i="20" s="1"/>
  <c r="C84" i="29"/>
  <c r="C97" i="29"/>
  <c r="C9" i="29" s="1"/>
  <c r="D82" i="29"/>
  <c r="H80" i="29"/>
  <c r="H93" i="29"/>
  <c r="H5" i="29" s="1"/>
  <c r="H22" i="29" s="1"/>
  <c r="C86" i="29"/>
  <c r="C99" i="29"/>
  <c r="C11" i="29" s="1"/>
  <c r="D84" i="29"/>
  <c r="D97" i="29"/>
  <c r="D9" i="29" s="1"/>
  <c r="D26" i="29" s="1"/>
  <c r="I80" i="29"/>
  <c r="I93" i="29"/>
  <c r="I5" i="29" s="1"/>
  <c r="I22" i="29" s="1"/>
  <c r="G49" i="29"/>
  <c r="G59" i="29" s="1"/>
  <c r="G69" i="29" s="1"/>
  <c r="F50" i="29"/>
  <c r="F60" i="29" s="1"/>
  <c r="F70" i="29" s="1"/>
  <c r="E49" i="29"/>
  <c r="E59" i="29" s="1"/>
  <c r="E69" i="29" s="1"/>
  <c r="D50" i="29"/>
  <c r="D60" i="29" s="1"/>
  <c r="D70" i="29" s="1"/>
  <c r="E50" i="29"/>
  <c r="E60" i="29" s="1"/>
  <c r="E70" i="29" s="1"/>
  <c r="F49" i="29"/>
  <c r="F59" i="29" s="1"/>
  <c r="F69" i="29" s="1"/>
  <c r="AH9" i="20"/>
  <c r="AI9" i="20"/>
  <c r="H24" i="20"/>
  <c r="I35" i="20"/>
  <c r="E33" i="20"/>
  <c r="H19" i="20"/>
  <c r="H17" i="20"/>
  <c r="C44" i="20"/>
  <c r="H20" i="20"/>
  <c r="H18" i="20"/>
  <c r="I44" i="20"/>
  <c r="H44" i="20"/>
  <c r="E44" i="20"/>
  <c r="F44" i="20"/>
  <c r="I9" i="20"/>
  <c r="D44" i="20"/>
  <c r="G44" i="20"/>
  <c r="AM17" i="20"/>
  <c r="AL17" i="20"/>
  <c r="AK17" i="20"/>
  <c r="B61" i="19"/>
  <c r="B73" i="19" s="1"/>
  <c r="B82" i="19" s="1"/>
  <c r="B60" i="19"/>
  <c r="B72" i="19" s="1"/>
  <c r="B81" i="19" s="1"/>
  <c r="B59" i="19"/>
  <c r="B71" i="19" s="1"/>
  <c r="B80" i="19" s="1"/>
  <c r="B58" i="19"/>
  <c r="B70" i="19" s="1"/>
  <c r="B79" i="19" s="1"/>
  <c r="D62" i="30" l="1"/>
  <c r="P18" i="29"/>
  <c r="C28" i="29"/>
  <c r="W15" i="29"/>
  <c r="X7" i="29"/>
  <c r="W14" i="29"/>
  <c r="P13" i="29"/>
  <c r="W8" i="29" s="1"/>
  <c r="C26" i="29"/>
  <c r="D63" i="30"/>
  <c r="C63" i="30"/>
  <c r="E63" i="30"/>
  <c r="C62" i="30"/>
  <c r="D67" i="30"/>
  <c r="D78" i="30" s="1"/>
  <c r="D80" i="29"/>
  <c r="D5" i="29"/>
  <c r="D22" i="29" s="1"/>
  <c r="D81" i="29"/>
  <c r="D94" i="29"/>
  <c r="D6" i="29" s="1"/>
  <c r="D23" i="29" s="1"/>
  <c r="F81" i="29"/>
  <c r="F94" i="29"/>
  <c r="F6" i="29" s="1"/>
  <c r="F23" i="29" s="1"/>
  <c r="F80" i="29"/>
  <c r="F93" i="29"/>
  <c r="F5" i="29" s="1"/>
  <c r="E81" i="29"/>
  <c r="E94" i="29"/>
  <c r="E6" i="29" s="1"/>
  <c r="E23" i="29" s="1"/>
  <c r="E80" i="29"/>
  <c r="E93" i="29"/>
  <c r="E5" i="29" s="1"/>
  <c r="E22" i="29" s="1"/>
  <c r="G80" i="29"/>
  <c r="G93" i="29"/>
  <c r="G5" i="29" s="1"/>
  <c r="G22" i="29" s="1"/>
  <c r="I24" i="20"/>
  <c r="I20" i="20"/>
  <c r="I17" i="20"/>
  <c r="D45" i="20"/>
  <c r="I18" i="20"/>
  <c r="I19" i="20"/>
  <c r="AK46" i="20"/>
  <c r="AK47" i="20"/>
  <c r="AK48" i="20"/>
  <c r="AK57" i="20" s="1"/>
  <c r="AK49" i="20"/>
  <c r="AK58" i="20" s="1"/>
  <c r="AK50" i="20"/>
  <c r="AK59" i="20" s="1"/>
  <c r="AK45" i="20"/>
  <c r="AK54" i="20" s="1"/>
  <c r="AL37" i="20"/>
  <c r="AL38" i="20" s="1"/>
  <c r="AL39" i="20" s="1"/>
  <c r="AL40" i="20" s="1"/>
  <c r="AL11" i="20"/>
  <c r="AM11" i="20"/>
  <c r="AL12" i="20"/>
  <c r="AM12" i="20"/>
  <c r="AK11" i="20"/>
  <c r="AK12" i="20"/>
  <c r="AM18" i="20"/>
  <c r="AL18" i="20"/>
  <c r="AK18" i="20"/>
  <c r="AM19" i="20"/>
  <c r="AL19" i="20"/>
  <c r="AK19" i="20"/>
  <c r="AM20" i="20"/>
  <c r="AL20" i="20"/>
  <c r="AK20" i="20"/>
  <c r="C67" i="30" l="1"/>
  <c r="C78" i="30" s="1"/>
  <c r="W16" i="29"/>
  <c r="X8" i="29"/>
  <c r="M7" i="29"/>
  <c r="N7" i="29" s="1"/>
  <c r="P10" i="29" s="1"/>
  <c r="X15" i="29"/>
  <c r="W30" i="29"/>
  <c r="W29" i="29"/>
  <c r="X14" i="29"/>
  <c r="E67" i="30"/>
  <c r="E78" i="30" s="1"/>
  <c r="F22" i="29"/>
  <c r="E45" i="20"/>
  <c r="AL47" i="20"/>
  <c r="AL46" i="20"/>
  <c r="AL48" i="20"/>
  <c r="AK56" i="20"/>
  <c r="AK55" i="20"/>
  <c r="AM36" i="20"/>
  <c r="AM37" i="20"/>
  <c r="AM38" i="20"/>
  <c r="AM47" i="20" s="1"/>
  <c r="C17" i="19"/>
  <c r="C16" i="19"/>
  <c r="G8" i="19"/>
  <c r="G9" i="19" s="1"/>
  <c r="F8" i="19"/>
  <c r="F9" i="19" s="1"/>
  <c r="E8" i="19"/>
  <c r="E9" i="19" s="1"/>
  <c r="D8" i="19"/>
  <c r="D9" i="19" s="1"/>
  <c r="C8" i="19"/>
  <c r="C9" i="19" s="1"/>
  <c r="G7" i="19"/>
  <c r="F7" i="19"/>
  <c r="E7" i="19"/>
  <c r="D7" i="19"/>
  <c r="C7" i="19"/>
  <c r="G6" i="19"/>
  <c r="F6" i="19"/>
  <c r="E6" i="19"/>
  <c r="D6" i="19"/>
  <c r="C6" i="19"/>
  <c r="G5" i="19"/>
  <c r="F5" i="19"/>
  <c r="E5" i="19"/>
  <c r="D5" i="19"/>
  <c r="C5" i="19"/>
  <c r="D80" i="30" l="1"/>
  <c r="C80" i="30"/>
  <c r="E80" i="30"/>
  <c r="W36" i="29"/>
  <c r="X36" i="29" s="1"/>
  <c r="X29" i="29"/>
  <c r="W37" i="29"/>
  <c r="X37" i="29" s="1"/>
  <c r="X30" i="29"/>
  <c r="W31" i="29"/>
  <c r="X16" i="29"/>
  <c r="W13" i="29"/>
  <c r="X13" i="29" s="1"/>
  <c r="E10" i="19"/>
  <c r="F10" i="19"/>
  <c r="G10" i="19"/>
  <c r="C10" i="19"/>
  <c r="D10" i="19"/>
  <c r="F45" i="20"/>
  <c r="AL41" i="20"/>
  <c r="AL50" i="20" s="1"/>
  <c r="AL59" i="20" s="1"/>
  <c r="AL49" i="20"/>
  <c r="AL58" i="20" s="1"/>
  <c r="AM48" i="20"/>
  <c r="AM57" i="20" s="1"/>
  <c r="AM49" i="20"/>
  <c r="AM58" i="20" s="1"/>
  <c r="AM56" i="20"/>
  <c r="AL45" i="20"/>
  <c r="AL54" i="20" s="1"/>
  <c r="AM50" i="20"/>
  <c r="AM59" i="20" s="1"/>
  <c r="AM46" i="20"/>
  <c r="AM55" i="20" s="1"/>
  <c r="AM45" i="20"/>
  <c r="AM54" i="20" s="1"/>
  <c r="AL56" i="20"/>
  <c r="AL55" i="20"/>
  <c r="AL57" i="20"/>
  <c r="W38" i="29" l="1"/>
  <c r="X38" i="29" s="1"/>
  <c r="X39" i="29" s="1"/>
  <c r="Y39" i="29" s="1"/>
  <c r="X31" i="29"/>
  <c r="X32" i="29" s="1"/>
  <c r="X17" i="29"/>
  <c r="Y13" i="29" s="1"/>
  <c r="X9" i="29"/>
  <c r="Y5" i="29" s="1"/>
  <c r="G45" i="20"/>
  <c r="Y32" i="29" l="1"/>
  <c r="Y29" i="29"/>
  <c r="Y36" i="29"/>
  <c r="Y31" i="29"/>
  <c r="Y30" i="29"/>
  <c r="Y38" i="29"/>
  <c r="Y37" i="29"/>
  <c r="Y9" i="29"/>
  <c r="Y48" i="29"/>
  <c r="Y7" i="29"/>
  <c r="Y8" i="29"/>
  <c r="Y51" i="29"/>
  <c r="Y50" i="29"/>
  <c r="Y49" i="29"/>
  <c r="Y6" i="29"/>
  <c r="Y15" i="29"/>
  <c r="Y14" i="29"/>
  <c r="Y58" i="29"/>
  <c r="Y16" i="29"/>
  <c r="Y17" i="29"/>
  <c r="Y55" i="29"/>
  <c r="Y56" i="29"/>
  <c r="Y57" i="29"/>
  <c r="H45" i="20"/>
  <c r="I45" i="20" l="1"/>
  <c r="C30"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Mike</author>
  </authors>
  <commentList>
    <comment ref="B5" authorId="0" shapeId="0" xr:uid="{925FA58A-A32A-4695-84DB-C1FF44B6F972}">
      <text>
        <r>
          <rPr>
            <b/>
            <sz val="9"/>
            <color indexed="81"/>
            <rFont val="Tahoma"/>
            <family val="2"/>
          </rPr>
          <t>Estimated peak period occupancy across all trip purposes.</t>
        </r>
      </text>
    </comment>
    <comment ref="B6" authorId="0" shapeId="0" xr:uid="{341EC4A0-0130-4A92-9A04-57EEC801D3FA}">
      <text>
        <r>
          <rPr>
            <b/>
            <sz val="9"/>
            <color indexed="81"/>
            <rFont val="Tahoma"/>
            <family val="2"/>
          </rPr>
          <t>Assume you have a 12-lane freeway cross-section, six on each side.  1 managed lane, 4 GP lanes, and 1 aux lane.  For this field, enter the 4 for the GP lanes.</t>
        </r>
      </text>
    </comment>
    <comment ref="B9" authorId="0" shapeId="0" xr:uid="{A738A266-17F8-4773-AF61-F55B49F14361}">
      <text>
        <r>
          <rPr>
            <b/>
            <sz val="9"/>
            <color indexed="81"/>
            <rFont val="Tahoma"/>
            <family val="2"/>
          </rPr>
          <t xml:space="preserve">An aux lane is continuous between an on ramp and the next downstream off-ramp, and allows for weaving between ons and offs.  It gives merging drivers ample time to find gaps in traffic, often created by those diverging from the freeway (i.e., entering the aux lane). </t>
        </r>
      </text>
    </comment>
    <comment ref="B10" authorId="0" shapeId="0" xr:uid="{EFEB0973-D394-41EE-BB16-DB3F996DAE8A}">
      <text>
        <r>
          <rPr>
            <b/>
            <sz val="9"/>
            <color indexed="81"/>
            <rFont val="Tahoma"/>
            <family val="2"/>
          </rPr>
          <t>Frontage roads represent corridor capacity that should be accounted for.  If frontage roads are one-way and integrated with the freeway (similar to designs common in Texas), then the frontage roads will be able to support higher VPHPL than if operated as a two-way road.</t>
        </r>
      </text>
    </comment>
    <comment ref="B12" authorId="0" shapeId="0" xr:uid="{51B34D95-596E-43B7-A759-7490A2E88900}">
      <text>
        <r>
          <rPr>
            <b/>
            <sz val="9"/>
            <color indexed="81"/>
            <rFont val="Tahoma"/>
            <family val="2"/>
          </rPr>
          <t>Options: 
1: No meters
2: Meters, but they are pretimed and have no knowledge of what is happening at upstream and downstream meters, nor how close the mainline is to failure, and must be manually adjusted to prevent overwhelming influx.
3: Fully algorithmic system. "Managed Motorways".  Capable of slowing influx as much as necessary to prevent failure.
Note: Ability to prevent failure is different than a policy to prevent failure, which is the next question.</t>
        </r>
      </text>
    </comment>
    <comment ref="B13" authorId="0" shapeId="0" xr:uid="{D2BF9794-55A9-4CB7-ABF4-15A5956BA4F5}">
      <text>
        <r>
          <rPr>
            <b/>
            <sz val="9"/>
            <color indexed="81"/>
            <rFont val="Tahoma"/>
            <family val="2"/>
          </rPr>
          <t>How serious is your DOT or community about maintaining maximum throughput even if it requires long waits at the on-ramp?  Note: The longer the required wait, the more likely you will need to add additional ramp meter storage lanes to prevent backing onto the cross-street.</t>
        </r>
      </text>
    </comment>
    <comment ref="B14" authorId="0" shapeId="0" xr:uid="{AEC76DED-CE68-4977-9EB5-C9EA0033CC7B}">
      <text>
        <r>
          <rPr>
            <b/>
            <sz val="9"/>
            <color indexed="81"/>
            <rFont val="Tahoma"/>
            <family val="2"/>
          </rPr>
          <t>Where influx over 2200 causes vphpl to drop from 2200 to 1500 or less, CP has ability to help demand "hover" at say 2100 throughout the entire period so that you clear the overall demand faster.  So it is good for throughput.
However, it is also good for both functional and environmental sustainability: Functional because it makes it possible to keep functioning indefinitely with the same infrastructure, as long as policy is willing to increase price if demand increases.  Environmental because it reduces motivation to take really long trips at the peak period, and it also motivates many to take transit, etc.</t>
        </r>
      </text>
    </comment>
    <comment ref="B15" authorId="0" shapeId="0" xr:uid="{B0586EDD-3E58-427A-A179-5B19EC378450}">
      <text>
        <r>
          <rPr>
            <b/>
            <sz val="9"/>
            <color indexed="81"/>
            <rFont val="Tahoma"/>
            <family val="2"/>
          </rPr>
          <t xml:space="preserve">Incidents reduce throughput, so the faster they can be resolved, the more throughput the corridor can support on average.
Options:
1. No significant program to speed up resolution of incidents.
2. Good program to get there quickly, but red tape causes slow resolution.
3. Community recognizes that slow resolution increases odds of secondary incidents, and has addopted limited liability laws and policies that encourage "fender benders" to exit the freeway to resolve the issue, and allows first responders to "push, pull, or drag"  serious accidents off the freeway, with liability and insurance needs to be resolved later through photographs, testimony, and forensics.
</t>
        </r>
      </text>
    </comment>
    <comment ref="B18" authorId="0" shapeId="0" xr:uid="{CACF76CE-C20B-4574-A108-31A6BA872DBA}">
      <text>
        <r>
          <rPr>
            <b/>
            <sz val="9"/>
            <color indexed="81"/>
            <rFont val="Tahoma"/>
            <family val="2"/>
          </rPr>
          <t>What kind of transit options exist in the corridor?</t>
        </r>
      </text>
    </comment>
    <comment ref="B19" authorId="0" shapeId="0" xr:uid="{1FE59A40-8989-4074-8667-DB53704A597A}">
      <text>
        <r>
          <rPr>
            <b/>
            <sz val="9"/>
            <color indexed="81"/>
            <rFont val="Tahoma"/>
            <family val="2"/>
          </rPr>
          <t>Estimate how many people are or will use transit options.  This may require use of a travel demand model, or a sketch planning means of estimating how many people will cross a particular line in the corridor during the peak hour on a transit vehicle.
Note: This value should assume there is a fare to ride, and it should also assume no congestion pricing.  This is because this tool will automatically boost ridership if you select the free/low-fare option, and also if you select a congestion pricing option (since drivers will be motivated to use transit to avoid the vehicle fee).</t>
        </r>
      </text>
    </comment>
    <comment ref="B20" authorId="0" shapeId="0" xr:uid="{4C2DD1C4-4E94-49CC-AB46-6E8C4CFD633D}">
      <text>
        <r>
          <rPr>
            <b/>
            <sz val="9"/>
            <color indexed="81"/>
            <rFont val="Tahoma"/>
            <family val="2"/>
          </rPr>
          <t>If transit is free or has a nominal fee designed mainly to discourage vagrants and rowdy joy riders, then it will attract many more riders than it otherwise could.  Thus if a corridor elects to support such a policy, the overall corridor will have higher throughput and will be more sustainable.</t>
        </r>
      </text>
    </comment>
    <comment ref="B21" authorId="0" shapeId="0" xr:uid="{0B3F3D73-80F8-4432-BB2D-039AEFF9FA21}">
      <text>
        <r>
          <rPr>
            <b/>
            <sz val="9"/>
            <color indexed="81"/>
            <rFont val="Tahoma"/>
            <family val="2"/>
          </rPr>
          <t xml:space="preserve">Until the potential of CAV is better understood, go ahead and assume CAV can increase throughput by however much you think it can.  To assume a no CAV scenario, leave the factor at 1.0.  To assume it will increase throughput by 30%, use a 1.30 factor. </t>
        </r>
      </text>
    </comment>
    <comment ref="C26" authorId="0" shapeId="0" xr:uid="{92B459F5-134B-495F-8061-2DD3C8F5A32A}">
      <text>
        <r>
          <rPr>
            <b/>
            <sz val="9"/>
            <color indexed="81"/>
            <rFont val="Tahoma"/>
            <family val="2"/>
          </rPr>
          <t>These are assumed gains in ridership, which you can change if you have a better estimate.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Mike</author>
  </authors>
  <commentList>
    <comment ref="C8" authorId="0" shapeId="0" xr:uid="{6B2F94A8-3465-4588-AA1F-2C3FB226A413}">
      <text>
        <r>
          <rPr>
            <sz val="9"/>
            <color indexed="81"/>
            <rFont val="Tahoma"/>
            <family val="2"/>
          </rPr>
          <t>Starting value is the ideal freeway flow assuming no aux lanes.  If access is unmanaged, this throughput will drop due to stop and go.  
Vlookup pivots off number of lanes, "+2" to get to correct column position.</t>
        </r>
      </text>
    </comment>
    <comment ref="D8" authorId="0" shapeId="0" xr:uid="{2BFFE1ED-D7FB-4CF9-8A53-045B42A90EF1}">
      <text>
        <r>
          <rPr>
            <b/>
            <sz val="9"/>
            <color indexed="81"/>
            <rFont val="Tahoma"/>
            <family val="2"/>
          </rPr>
          <t>Mike:</t>
        </r>
        <r>
          <rPr>
            <sz val="9"/>
            <color indexed="81"/>
            <rFont val="Tahoma"/>
            <family val="2"/>
          </rPr>
          <t xml:space="preserve">
Starting value is basic unmanaged freeway, no aux lanes.  Vlookup pivots off number of lanes, "+2" to get to correct column position.</t>
        </r>
      </text>
    </comment>
    <comment ref="E8" authorId="0" shapeId="0" xr:uid="{9A1313CE-E047-4BA1-92F7-E105BFC605CA}">
      <text>
        <r>
          <rPr>
            <b/>
            <sz val="9"/>
            <color indexed="81"/>
            <rFont val="Tahoma"/>
            <family val="2"/>
          </rPr>
          <t>Mike:</t>
        </r>
        <r>
          <rPr>
            <sz val="9"/>
            <color indexed="81"/>
            <rFont val="Tahoma"/>
            <family val="2"/>
          </rPr>
          <t xml:space="preserve">
Starting value is basic unmanaged freeway, no aux lanes.  Vlookup pivots off number of lanes, "+2" to get to correct column position.</t>
        </r>
      </text>
    </comment>
    <comment ref="I10" authorId="0" shapeId="0" xr:uid="{C5FA86A6-5C17-4C39-AEFA-C4E76FA8F08D}">
      <text>
        <r>
          <rPr>
            <b/>
            <sz val="9"/>
            <color indexed="81"/>
            <rFont val="Tahoma"/>
            <family val="2"/>
          </rPr>
          <t>Mike:</t>
        </r>
        <r>
          <rPr>
            <sz val="9"/>
            <color indexed="81"/>
            <rFont val="Tahoma"/>
            <family val="2"/>
          </rPr>
          <t xml:space="preserve">
Best functional sustainability would be to have at least 2-managed lanes each dir. But don't actually set lanes to 2 as it messes up capacity calcs.  Leave actual lanes whatever Build has, and just note in points that 2 is the most you can get.</t>
        </r>
      </text>
    </comment>
    <comment ref="C11" authorId="0" shapeId="0" xr:uid="{644BD043-834F-451C-BF62-2FE289FD3114}">
      <text>
        <r>
          <rPr>
            <b/>
            <sz val="9"/>
            <color indexed="81"/>
            <rFont val="Tahoma"/>
            <family val="2"/>
          </rPr>
          <t>Mike:</t>
        </r>
        <r>
          <rPr>
            <sz val="9"/>
            <color indexed="81"/>
            <rFont val="Tahoma"/>
            <family val="2"/>
          </rPr>
          <t xml:space="preserve">
Starting value is basic unmanaged freeway, no aux lanes.  Vlookup pivots off number of lanes, "+2" to get to correct column position.</t>
        </r>
      </text>
    </comment>
    <comment ref="D11" authorId="0" shapeId="0" xr:uid="{74F0986F-D290-48F7-A03B-ED81A1FC6005}">
      <text>
        <r>
          <rPr>
            <b/>
            <sz val="9"/>
            <color indexed="81"/>
            <rFont val="Tahoma"/>
            <family val="2"/>
          </rPr>
          <t>Mike:</t>
        </r>
        <r>
          <rPr>
            <sz val="9"/>
            <color indexed="81"/>
            <rFont val="Tahoma"/>
            <family val="2"/>
          </rPr>
          <t xml:space="preserve">
Starting value is basic unmanaged freeway, no aux lanes.  Vlookup pivots off number of lanes, "+2" to get to correct column position.</t>
        </r>
      </text>
    </comment>
    <comment ref="E11" authorId="0" shapeId="0" xr:uid="{E28136EE-BE9D-4853-A77F-8D4A2BFA544C}">
      <text>
        <r>
          <rPr>
            <b/>
            <sz val="9"/>
            <color indexed="81"/>
            <rFont val="Tahoma"/>
            <family val="2"/>
          </rPr>
          <t>Mike:</t>
        </r>
        <r>
          <rPr>
            <sz val="9"/>
            <color indexed="81"/>
            <rFont val="Tahoma"/>
            <family val="2"/>
          </rPr>
          <t xml:space="preserve">
Starting value is basic unmanaged freeway, no aux lanes.  Vlookup pivots off number of lanes, "+2" to get to correct column position.</t>
        </r>
      </text>
    </comment>
    <comment ref="C14" authorId="0" shapeId="0" xr:uid="{F235CE76-DE18-4C6C-A3DC-65F521F12DC6}">
      <text>
        <r>
          <rPr>
            <b/>
            <sz val="9"/>
            <color indexed="81"/>
            <rFont val="Tahoma"/>
            <family val="2"/>
          </rPr>
          <t>Reduce result by .8 to reflect that lanes are likely influenced by lack of management on GP lanes)</t>
        </r>
      </text>
    </comment>
    <comment ref="P18" authorId="0" shapeId="0" xr:uid="{ADDE1B3A-B25A-4123-A0FE-ECDE0DA530BD}">
      <text>
        <r>
          <rPr>
            <b/>
            <sz val="9"/>
            <color indexed="81"/>
            <rFont val="Tahoma"/>
            <family val="2"/>
          </rPr>
          <t>This is the worst-case throughput (60%) not counting incident management.  It happens when there is no metering and no congestion pricing.</t>
        </r>
      </text>
    </comment>
    <comment ref="B22" authorId="0" shapeId="0" xr:uid="{5BD7B7E1-ABE4-4896-9445-3CA64A89709D}">
      <text>
        <r>
          <rPr>
            <sz val="11"/>
            <color indexed="81"/>
            <rFont val="Tahoma"/>
            <family val="2"/>
          </rPr>
          <t>A typical freeway lane can carry about 2200 vehilcles per hour per lane (or 2400 passenger car equivalents).  However, it can only achieve this maximum for 5-10 minutes, after which it will collapse into stop-n-go.  Throughput will then reduce to as low as 50% of the maximum potential (1100 actual vs 2200 vphpl potential).  
The only way to avoid this collapse is to slow down the rate of entry at on-ramps. This is achieved either by aggressive metering, or congestion pricing, or combinations of both.  Therefore, this calculator first asks the user to describe their base-case situation for ramp metering and congestion pricing.  If both are weak or non-existent, then maximum throughput will be reduced.  If they are willing to do this in their build scenario, throughput is increased.
In addition to ramp metering and congestion pricing which affect throughput of general purpose lanes, there are many other factors that influence overall corridor throughput such as HOV/HOT lanes, on/off ramp auxiliary lanes (for managing merge/diverge), Transit, frontage roads, dynamic speed limits, and CAV potential gains.  All of these are accounted for in this calculator.</t>
        </r>
        <r>
          <rPr>
            <b/>
            <sz val="9"/>
            <color indexed="81"/>
            <rFont val="Tahoma"/>
            <family val="2"/>
          </rPr>
          <t xml:space="preserve">
</t>
        </r>
      </text>
    </comment>
    <comment ref="E24" authorId="0" shapeId="0" xr:uid="{AFA6B073-3F65-4ACB-9EA4-6257F021CF27}">
      <text>
        <r>
          <rPr>
            <sz val="10"/>
            <color indexed="81"/>
            <rFont val="Tahoma"/>
            <family val="2"/>
          </rPr>
          <t>Algorithmic can achieve 1.0 efficiency, but only if regional policy tolerates high wait times at on-ramps. So assume if they have algorithmic, they're willing to wait at least up to 4-minutes and give 85% efficiency.  But if they're willing to wait up to 6 or more, give the rest of the efficiency.</t>
        </r>
      </text>
    </comment>
    <comment ref="B29" authorId="0" shapeId="0" xr:uid="{9C96A1CF-7790-4246-9F6C-7865A78AF7A2}">
      <text>
        <r>
          <rPr>
            <b/>
            <sz val="9"/>
            <color indexed="81"/>
            <rFont val="Tahoma"/>
            <family val="2"/>
          </rPr>
          <t>This is the factor required to get back to the efficiency shown, from a base efficiency of 60%.  Example: With a base of 60%, and a policy that can get efficiency up to 90%, 90 is a 50% increase over 60, so PctFactor is .50, or a 50% increase in throughput.</t>
        </r>
      </text>
    </comment>
    <comment ref="B31" authorId="0" shapeId="0" xr:uid="{8AC451F8-F7DC-466D-8E00-9AF24DA83740}">
      <text>
        <r>
          <rPr>
            <sz val="10"/>
            <color indexed="81"/>
            <rFont val="Tahoma"/>
            <family val="2"/>
          </rPr>
          <t>If CP is "None" this means there is no pricing (i.e., the near universal case in the USA), and hence the freeway will collapse into stop and go, experiencing the worst possible throughput.</t>
        </r>
      </text>
    </comment>
    <comment ref="B34" authorId="0" shapeId="0" xr:uid="{690A0258-E762-4982-9514-EE366C38FFA2}">
      <text>
        <r>
          <rPr>
            <b/>
            <sz val="9"/>
            <color indexed="81"/>
            <rFont val="Tahoma"/>
            <family val="2"/>
          </rPr>
          <t>Throughput is gained either by ramp metering or pricing.  If you have both, you may not gain much more throughput. But likely you will gain at least a little more, or at least be more stable with redundancy, so there is some allowance here for a higher throughput factor if you have both a significant ramp metering policy and a pricing strategy.</t>
        </r>
      </text>
    </comment>
    <comment ref="D34" authorId="0" shapeId="0" xr:uid="{DC5F4D3A-72D7-436F-9C64-FF6464BE7CEA}">
      <text>
        <r>
          <rPr>
            <b/>
            <sz val="9"/>
            <color indexed="81"/>
            <rFont val="Tahoma"/>
            <family val="2"/>
          </rPr>
          <t>If their build has BOTH aggressive metering and congestion pricing, it will be possible to hit higher throughput than if only one of the two.</t>
        </r>
      </text>
    </comment>
    <comment ref="E34" authorId="0" shapeId="0" xr:uid="{DCB53C25-C228-4D2D-8F87-6C3049001076}">
      <text>
        <r>
          <rPr>
            <b/>
            <sz val="9"/>
            <color indexed="81"/>
            <rFont val="Tahoma"/>
            <family val="2"/>
          </rPr>
          <t>If their build has BOTH aggressive metering and congestion pricing, it will be possible to hit higher throughput than if only one of the two.</t>
        </r>
      </text>
    </comment>
    <comment ref="B40" authorId="0" shapeId="0" xr:uid="{AD387A8C-3BDD-4FFF-9CAF-DA26CD9122FD}">
      <text>
        <r>
          <rPr>
            <b/>
            <sz val="9"/>
            <color indexed="81"/>
            <rFont val="Tahoma"/>
            <family val="2"/>
          </rPr>
          <t>For reduction factor, start with worst situation then show how mgt options help improve.  Worst is No Meters (60% throughput) and No Incident Management (reduce 60% by another 5%).  High demand well in excess of 2200 vphpl will cause stop-n-go where throughput drops to as low as 50%, but assume 60% is the worst that it could get, to be conservative.</t>
        </r>
      </text>
    </comment>
    <comment ref="B49" authorId="0" shapeId="0" xr:uid="{65B942A9-E627-49AF-8507-7D6F6452C57E}">
      <text>
        <r>
          <rPr>
            <b/>
            <sz val="9"/>
            <color indexed="81"/>
            <rFont val="Tahoma"/>
            <family val="2"/>
          </rPr>
          <t>There is some evidence that many free fare systems achieve a 100% increase in riders over systems with fares (i.e., doubling of ridership).  To be conservative, this tool assumes a 70% increase.</t>
        </r>
      </text>
    </comment>
    <comment ref="B50" authorId="0" shapeId="0" xr:uid="{291351DA-1258-431B-AFA3-185B751C3845}">
      <text>
        <r>
          <rPr>
            <b/>
            <sz val="9"/>
            <color indexed="81"/>
            <rFont val="Tahoma"/>
            <family val="2"/>
          </rPr>
          <t>If drivers must pay during congested times, many will be motivated to use transit.  Assume a 30% increase, potentially applied on top of the 70% increase if the free fare option is selected.</t>
        </r>
      </text>
    </comment>
    <comment ref="B53" authorId="0" shapeId="0" xr:uid="{6C1F7D1F-7CF7-4E4B-9AC8-93586109FD3A}">
      <text>
        <r>
          <rPr>
            <b/>
            <sz val="9"/>
            <color indexed="81"/>
            <rFont val="Tahoma"/>
            <family val="2"/>
          </rPr>
          <t xml:space="preserve">For now, just allow people to assume that CAV can increase capacity beyond its historic limit, and this is an editable factor they can use to choose how much they think they can get out of CAV. </t>
        </r>
      </text>
    </comment>
    <comment ref="P56" authorId="0" shapeId="0" xr:uid="{7E9DC2D5-4519-461B-8540-0696F1085640}">
      <text>
        <r>
          <rPr>
            <b/>
            <sz val="9"/>
            <color indexed="81"/>
            <rFont val="Tahoma"/>
            <family val="2"/>
          </rPr>
          <t>The default assumption is no incident management (No factor).  If you have a medium-effective plan, 5% boost.  If a highly effective, 10% boost in throughput and reliability.</t>
        </r>
      </text>
    </comment>
    <comment ref="B67" authorId="0" shapeId="0" xr:uid="{13BAE6B2-7DCE-40E1-B1EB-E7BBB7BA0CCB}">
      <text>
        <r>
          <rPr>
            <b/>
            <sz val="9"/>
            <color indexed="81"/>
            <rFont val="Tahoma"/>
            <family val="2"/>
          </rPr>
          <t xml:space="preserve"> (avoid double counting of system mgt)</t>
        </r>
      </text>
    </comment>
    <comment ref="C86" authorId="0" shapeId="0" xr:uid="{D043BBB1-6BF3-42F0-8D7B-2B7D99A2D155}">
      <text>
        <r>
          <rPr>
            <b/>
            <sz val="9"/>
            <color indexed="81"/>
            <rFont val="Tahoma"/>
            <family val="2"/>
          </rPr>
          <t>Mike:</t>
        </r>
        <r>
          <rPr>
            <sz val="9"/>
            <color indexed="81"/>
            <rFont val="Tahoma"/>
            <family val="2"/>
          </rPr>
          <t xml:space="preserve">
Starting value is basic unmanaged freeway, no aux lanes.  Vlookup pivots off number of lanes, "+2" to get to correct column position.</t>
        </r>
      </text>
    </comment>
    <comment ref="D86" authorId="0" shapeId="0" xr:uid="{D2B119B0-B148-4BF9-BC42-6935DFF272D6}">
      <text>
        <r>
          <rPr>
            <b/>
            <sz val="9"/>
            <color indexed="81"/>
            <rFont val="Tahoma"/>
            <family val="2"/>
          </rPr>
          <t>Mike:</t>
        </r>
        <r>
          <rPr>
            <sz val="9"/>
            <color indexed="81"/>
            <rFont val="Tahoma"/>
            <family val="2"/>
          </rPr>
          <t xml:space="preserve">
Starting value is basic unmanaged freeway, no aux lanes.  Vlookup pivots off number of lanes, "+2" to get to correct column position.</t>
        </r>
      </text>
    </comment>
    <comment ref="E86" authorId="0" shapeId="0" xr:uid="{476DCD84-5CD6-4C98-9C3D-D0E0F97FDD9E}">
      <text>
        <r>
          <rPr>
            <b/>
            <sz val="9"/>
            <color indexed="81"/>
            <rFont val="Tahoma"/>
            <family val="2"/>
          </rPr>
          <t>Mike:</t>
        </r>
        <r>
          <rPr>
            <sz val="9"/>
            <color indexed="81"/>
            <rFont val="Tahoma"/>
            <family val="2"/>
          </rPr>
          <t xml:space="preserve">
Starting value is basic unmanaged freeway, no aux lanes.  Vlookup pivots off number of lanes, "+2" to get to correct column position.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Mike</author>
  </authors>
  <commentList>
    <comment ref="W3" authorId="0" shapeId="0" xr:uid="{9AACF7A3-BB5B-4CD7-BD2F-78B6778F24B8}">
      <text>
        <r>
          <rPr>
            <sz val="9"/>
            <color indexed="81"/>
            <rFont val="Tahoma"/>
            <family val="2"/>
          </rPr>
          <t>This is the ADT on a single facility over a single mile.  To get VMT, multiply by the number of facility miles in the 25 square mile tile.</t>
        </r>
      </text>
    </comment>
    <comment ref="T5" authorId="0" shapeId="0" xr:uid="{AEDDB566-5BA5-4192-8CE8-CBCBD7780EEC}">
      <text>
        <r>
          <rPr>
            <sz val="9"/>
            <color indexed="81"/>
            <rFont val="Tahoma"/>
            <family val="2"/>
          </rPr>
          <t>While the graphic shows  four expressways on the outer edges of the 5x5 tile, only two really belong to this tile (and the other two would belong to the next tile).  Therefore "facility miles" is two facilities, each 5-miles long.</t>
        </r>
      </text>
    </comment>
    <comment ref="T6" authorId="0" shapeId="0" xr:uid="{5E6A82D8-733C-49B7-B1C2-2B107DA64CC8}">
      <text>
        <r>
          <rPr>
            <sz val="9"/>
            <color indexed="81"/>
            <rFont val="Tahoma"/>
            <family val="2"/>
          </rPr>
          <t>The tile has two EW and two NS principal arterials, a total of 4, each 5-miles long.</t>
        </r>
      </text>
    </comment>
    <comment ref="M7" authorId="0" shapeId="0" xr:uid="{F1EB00D9-4FCE-4B1F-91CA-261B62FAE951}">
      <text>
        <r>
          <rPr>
            <b/>
            <sz val="9"/>
            <color indexed="81"/>
            <rFont val="Tahoma"/>
            <family val="2"/>
          </rPr>
          <t>First determine the total ADT of three 8-lane freeways (4/dir), plus one 7-lane at-grade expressway (3/dir).  Then divide result by 4 to arrive at the ADT of a "typical" expressway/freeway.</t>
        </r>
      </text>
    </comment>
    <comment ref="N7" authorId="0" shapeId="0" xr:uid="{E8103F9C-A311-438C-BAFD-78D6DCBD8192}">
      <text>
        <r>
          <rPr>
            <b/>
            <sz val="9"/>
            <color indexed="81"/>
            <rFont val="Tahoma"/>
            <family val="2"/>
          </rPr>
          <t>ADT of typical expressway/freeway</t>
        </r>
      </text>
    </comment>
    <comment ref="T7" authorId="0" shapeId="0" xr:uid="{9F1D1F54-2B4C-422A-A88C-DABA8D79D9A9}">
      <text>
        <r>
          <rPr>
            <sz val="9"/>
            <color indexed="81"/>
            <rFont val="Tahoma"/>
            <family val="2"/>
          </rPr>
          <t>The tile has two EW and two NS principal arterials, a total of 4, each 5-miles long.</t>
        </r>
      </text>
    </comment>
    <comment ref="T8" authorId="0" shapeId="0" xr:uid="{22B02F88-7BB1-4056-995C-E39FAB16EECE}">
      <text>
        <r>
          <rPr>
            <sz val="9"/>
            <color indexed="81"/>
            <rFont val="Tahoma"/>
            <family val="2"/>
          </rPr>
          <t>There are 5 EW and 5 NS collectors, for a total of 10 that are each 5-miles long.</t>
        </r>
      </text>
    </comment>
    <comment ref="H57" authorId="0" shapeId="0" xr:uid="{ACA77490-C819-44ED-9EFE-F22694EACCD2}">
      <text>
        <r>
          <rPr>
            <b/>
            <sz val="9"/>
            <color indexed="81"/>
            <rFont val="Tahoma"/>
            <family val="2"/>
          </rPr>
          <t>Mike:</t>
        </r>
        <r>
          <rPr>
            <sz val="9"/>
            <color indexed="81"/>
            <rFont val="Tahoma"/>
            <family val="2"/>
          </rPr>
          <t xml:space="preserve">
.8 seems to be the factor that best represents 55/45 split.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Chad Worthen</author>
    <author>Mike</author>
  </authors>
  <commentList>
    <comment ref="I4" authorId="0" shapeId="0" xr:uid="{00000000-0006-0000-0200-000001000000}">
      <text>
        <r>
          <rPr>
            <b/>
            <sz val="8"/>
            <color indexed="81"/>
            <rFont val="Tahoma"/>
            <family val="2"/>
          </rPr>
          <t xml:space="preserve"> :</t>
        </r>
        <r>
          <rPr>
            <sz val="8"/>
            <color indexed="81"/>
            <rFont val="Tahoma"/>
            <family val="2"/>
          </rPr>
          <t xml:space="preserve">
Change from Rural to CBD to see how AreaType affects capacity (5% change with each type)</t>
        </r>
      </text>
    </comment>
    <comment ref="C45" authorId="1" shapeId="0" xr:uid="{00000000-0006-0000-0200-000002000000}">
      <text>
        <r>
          <rPr>
            <sz val="9"/>
            <color indexed="81"/>
            <rFont val="Tahoma"/>
            <family val="2"/>
          </rPr>
          <t>Tollway capacity specified by user.</t>
        </r>
      </text>
    </comment>
    <comment ref="H85" authorId="2" shapeId="0" xr:uid="{169928F3-F022-494B-BC9D-3468DDA70DAB}">
      <text>
        <r>
          <rPr>
            <b/>
            <sz val="9"/>
            <color indexed="81"/>
            <rFont val="Tahoma"/>
            <family val="2"/>
          </rPr>
          <t>Changed from .775 to .68, because .775 is too high</t>
        </r>
      </text>
    </comment>
  </commentList>
</comments>
</file>

<file path=xl/sharedStrings.xml><?xml version="1.0" encoding="utf-8"?>
<sst xmlns="http://schemas.openxmlformats.org/spreadsheetml/2006/main" count="807" uniqueCount="368">
  <si>
    <t>Urban</t>
  </si>
  <si>
    <t>Suburban</t>
  </si>
  <si>
    <t>Lanes</t>
  </si>
  <si>
    <t>Local</t>
  </si>
  <si>
    <t>CBD</t>
  </si>
  <si>
    <t>Transition</t>
  </si>
  <si>
    <t>Required stops/mile due to signals or stop signs</t>
  </si>
  <si>
    <t>Unsignalized Speed</t>
  </si>
  <si>
    <t>Uncongested delay per stop - all types (Sec/veh between LOS B-C)</t>
  </si>
  <si>
    <t>All types</t>
  </si>
  <si>
    <t>Fwy</t>
  </si>
  <si>
    <t>PHF</t>
  </si>
  <si>
    <t>Fhv</t>
  </si>
  <si>
    <t>Cap1hr1ln = _SatRate * Fhv * Fbb  * Flu * Fgrn * Fatype</t>
  </si>
  <si>
    <t>Rural</t>
  </si>
  <si>
    <t>Fle</t>
  </si>
  <si>
    <t>Aux</t>
  </si>
  <si>
    <t>Cap1hr = (Sat * LANES * PHF * Fle * Fhv) + AuxVolAtCapacity   ;AuxVol = 0 for FT 31; 700 for FT 32</t>
  </si>
  <si>
    <t>Cap1hr1ln = Cap1hr / LANES  ;distributes AuxVolAtCapacity across the GP lanes</t>
  </si>
  <si>
    <t>Cap1hr1ln</t>
  </si>
  <si>
    <t>How much of the daily volume is assumed to occur in the peak hour?</t>
  </si>
  <si>
    <t>Sat</t>
  </si>
  <si>
    <t>Sat Flow</t>
  </si>
  <si>
    <t>Sat Flow, 100% efficient, PCE</t>
  </si>
  <si>
    <t>Actual Vehicles (not PCE)</t>
  </si>
  <si>
    <t>Speed by Area Type</t>
  </si>
  <si>
    <t>FT</t>
  </si>
  <si>
    <t>Functional Type</t>
  </si>
  <si>
    <t>CBD-Like</t>
  </si>
  <si>
    <t>Centroid Connector / Local</t>
  </si>
  <si>
    <t>Principle Arterial</t>
  </si>
  <si>
    <t>Minor Arterial</t>
  </si>
  <si>
    <t>Collectors</t>
  </si>
  <si>
    <t>Speed</t>
  </si>
  <si>
    <t>Fwy: Toll lanes</t>
  </si>
  <si>
    <t>SFF = 1 / ((1 / unsignalized speed) + (Num stops per mile * Uncongested delay per V / 3600))</t>
  </si>
  <si>
    <t>Major Collector</t>
  </si>
  <si>
    <t>Minor Collector</t>
  </si>
  <si>
    <t>Fwy: On-ramp</t>
  </si>
  <si>
    <t>Fwy: Off-ramp</t>
  </si>
  <si>
    <t>Fwy: Managed Ln access</t>
  </si>
  <si>
    <t>Fwy: Tollway</t>
  </si>
  <si>
    <t>Notes</t>
  </si>
  <si>
    <t>(These do not vary by Area Type)</t>
  </si>
  <si>
    <t>Area Type</t>
  </si>
  <si>
    <t>Principal Arterial</t>
  </si>
  <si>
    <t>New</t>
  </si>
  <si>
    <t>Old</t>
  </si>
  <si>
    <t>Arterial/collector speeds are reduced by 1 mph if only 1-lane per direction to account for inability to pass</t>
  </si>
  <si>
    <t>Arterial/collector speeds are increased by 5% if one-way link</t>
  </si>
  <si>
    <t>(used in calculation of Equiv. AWDT)</t>
  </si>
  <si>
    <t>_SatRate</t>
  </si>
  <si>
    <t>Flu</t>
  </si>
  <si>
    <t>Fgrn</t>
  </si>
  <si>
    <t>1 lane</t>
  </si>
  <si>
    <t>2 lanes</t>
  </si>
  <si>
    <t>3 lanes</t>
  </si>
  <si>
    <t>Capacity per hour per lane</t>
  </si>
  <si>
    <t>Arterial / Expressway Capacity Calculation Parameters</t>
  </si>
  <si>
    <t>Freeway Capacity Calculation Parameters</t>
  </si>
  <si>
    <t>4 lanes</t>
  </si>
  <si>
    <t>5 lanes</t>
  </si>
  <si>
    <t>6 lanes</t>
  </si>
  <si>
    <t>7 lanes</t>
  </si>
  <si>
    <t>CFAC &lt; 1 means the road has less capacity than normal (high side friction, no center turn lane, no right pockets, etc)</t>
  </si>
  <si>
    <t>CFAC &gt; 1 means the road has better capacity than normal (good access control, high-efficiency intersections, etc).</t>
  </si>
  <si>
    <t>Expressway, posted 60-70 mph</t>
  </si>
  <si>
    <t>Expressway, posted 55-65 mph</t>
  </si>
  <si>
    <t>Expressway, posted 50-60 mph</t>
  </si>
  <si>
    <t>Expressway, posted 45-55 mph</t>
  </si>
  <si>
    <t>The highway network also has "CFAC**" variable, which if not zero, will be multiplied by Cap1hr1ln</t>
  </si>
  <si>
    <t>Daily two-way capacity</t>
  </si>
  <si>
    <t>Arterial</t>
  </si>
  <si>
    <t>Collector</t>
  </si>
  <si>
    <t>Fbb values</t>
  </si>
  <si>
    <t>Expressway</t>
  </si>
  <si>
    <t>Fwy: Managed lane access</t>
  </si>
  <si>
    <t>Fwy: HOV lane</t>
  </si>
  <si>
    <t>Fwy: Managed lane</t>
  </si>
  <si>
    <t>Fwy: C-D road, flyover ramp</t>
  </si>
  <si>
    <t>* Capacity on one-way arterials/collectors increases by 20%</t>
  </si>
  <si>
    <t>Fwy: off ramp capacity is 10% higher than a minor arterial</t>
  </si>
  <si>
    <t>Fwy: posted 55-60 mph</t>
  </si>
  <si>
    <t>Fwy: posted 65 mph, aux lane</t>
  </si>
  <si>
    <t>Fwy: posted 65 mph, no aux lane</t>
  </si>
  <si>
    <t>Fwy: fwy-to-fwy loop ramp</t>
  </si>
  <si>
    <t>Unpaved</t>
  </si>
  <si>
    <t>Centroid Connector</t>
  </si>
  <si>
    <t>Fwy: posted 75 mph, aux lane</t>
  </si>
  <si>
    <t>Fwy: posted 75 mph, no aux lane</t>
  </si>
  <si>
    <t>Arterial &amp; collector capacities are adjusted up or down by 5% as area type moves away from suburban</t>
  </si>
  <si>
    <t>Max</t>
  </si>
  <si>
    <t>Cap1hr, all lanes</t>
  </si>
  <si>
    <t>AWDT both directions, all lanes</t>
  </si>
  <si>
    <t>Freeway</t>
  </si>
  <si>
    <t>orig</t>
  </si>
  <si>
    <t>adj fac</t>
  </si>
  <si>
    <t>place holder</t>
  </si>
  <si>
    <t>MM: fwy-to-fwy loop ramp</t>
  </si>
  <si>
    <t>MM: C-D road, flyover ramp</t>
  </si>
  <si>
    <t>MM: posted 55-60 mph</t>
  </si>
  <si>
    <t>MM: posted 65 mph, no aux lane</t>
  </si>
  <si>
    <t>MM: posted 65 mph, aux lane</t>
  </si>
  <si>
    <t>MM: posted 75 mph, no aux lane</t>
  </si>
  <si>
    <t>MM: posted 75 mph, aux lane</t>
  </si>
  <si>
    <t>MM: On-ramp</t>
  </si>
  <si>
    <t>MM: Off-ramp</t>
  </si>
  <si>
    <t>Model capacities are expressed as passenger vehicles per hour, thus no heavy vehicle adjustments are applied</t>
  </si>
  <si>
    <t>MM: all facilities</t>
  </si>
  <si>
    <t>Free Flow Speed Calculation</t>
  </si>
  <si>
    <t>Free Flow Speed v8.3</t>
  </si>
  <si>
    <t>Capacity v8.3</t>
  </si>
  <si>
    <t>Per lane</t>
  </si>
  <si>
    <t>Pk Dr</t>
  </si>
  <si>
    <t>Ok Dr</t>
  </si>
  <si>
    <t>Tot</t>
  </si>
  <si>
    <t>Expway</t>
  </si>
  <si>
    <t>Capacity per Hour per Lane</t>
  </si>
  <si>
    <t>Capacity in one direction, peak hour</t>
  </si>
  <si>
    <t>Total peak hour flow on roadway, both sides</t>
  </si>
  <si>
    <t>Share of total in the peak direction</t>
  </si>
  <si>
    <t>AADT (assuming 9% of AADT occurs in peak hour), both directions</t>
  </si>
  <si>
    <t>Flow in the opposite direction at peak hour, assuming 55/45 split)</t>
  </si>
  <si>
    <t>Formatted</t>
  </si>
  <si>
    <t>Lanes per dir</t>
  </si>
  <si>
    <t>See below for calcuations of above</t>
  </si>
  <si>
    <t>Length</t>
  </si>
  <si>
    <t>10+ miles</t>
  </si>
  <si>
    <t>Access Control</t>
  </si>
  <si>
    <t>5+ miles</t>
  </si>
  <si>
    <t>3+ miles</t>
  </si>
  <si>
    <t>1+ miles</t>
  </si>
  <si>
    <t>&lt; 1 mile</t>
  </si>
  <si>
    <t>NA</t>
  </si>
  <si>
    <t>Significant</t>
  </si>
  <si>
    <t>Some</t>
  </si>
  <si>
    <t>Minimal</t>
  </si>
  <si>
    <t>None</t>
  </si>
  <si>
    <t>Very Significant</t>
  </si>
  <si>
    <t>EW</t>
  </si>
  <si>
    <t>NS</t>
  </si>
  <si>
    <t>Total</t>
  </si>
  <si>
    <t>Expwy / Fwy</t>
  </si>
  <si>
    <t>Functional Class</t>
  </si>
  <si>
    <t>VMT per 25 SqMi</t>
  </si>
  <si>
    <t>Pct of Total</t>
  </si>
  <si>
    <t>LN/Dir</t>
  </si>
  <si>
    <t>ADT Max</t>
  </si>
  <si>
    <t>EX</t>
  </si>
  <si>
    <t>PA</t>
  </si>
  <si>
    <t>MA</t>
  </si>
  <si>
    <t>CL</t>
  </si>
  <si>
    <t>Crossings per square mile (divide by 25)</t>
  </si>
  <si>
    <t>VMT Capability per Square Mile (divide 25)</t>
  </si>
  <si>
    <t>Lanes / Dir</t>
  </si>
  <si>
    <t>VMT per SqMi</t>
  </si>
  <si>
    <t>Pct of Miles</t>
  </si>
  <si>
    <t>VMT Capability per 5x5-mile Tile (Expwy/Fwy replaced by arterials)</t>
  </si>
  <si>
    <t>VMT Capability per 5x5-mile Benchmark Tile (includes Expwy/Fwy)</t>
  </si>
  <si>
    <t>Facility-Miles</t>
  </si>
  <si>
    <t>Facility-Miles/SqMi</t>
  </si>
  <si>
    <t>Lane-Miles (2-dir)*</t>
  </si>
  <si>
    <t>* Note: Lane-Miles = Facility-Miles * Lanes / Dir * 2-directions</t>
  </si>
  <si>
    <t>Lane-Miles per SqMi*</t>
  </si>
  <si>
    <t>Cross-Section Ln</t>
  </si>
  <si>
    <t>2-3</t>
  </si>
  <si>
    <t>4-5</t>
  </si>
  <si>
    <t>6-7</t>
  </si>
  <si>
    <t>E</t>
  </si>
  <si>
    <t>C</t>
  </si>
  <si>
    <t>P</t>
  </si>
  <si>
    <t>M</t>
  </si>
  <si>
    <t>Roadway ID</t>
  </si>
  <si>
    <t>Rpt</t>
  </si>
  <si>
    <t>…</t>
  </si>
  <si>
    <t>Expressway, posted 55-70 mph</t>
  </si>
  <si>
    <t>Expressway, posted 45-60 mph</t>
  </si>
  <si>
    <t>Basic Types</t>
  </si>
  <si>
    <t>General purpose lanes, each dir</t>
  </si>
  <si>
    <t>HOV Min Occupancy</t>
  </si>
  <si>
    <t>Congestion Pricing?</t>
  </si>
  <si>
    <t>Frontage Road Configuration</t>
  </si>
  <si>
    <t>Starting vehicles per hour per lane</t>
  </si>
  <si>
    <t>Yes</t>
  </si>
  <si>
    <t>Aux Lane Factor</t>
  </si>
  <si>
    <t>Aux Lane</t>
  </si>
  <si>
    <t>Aux No</t>
  </si>
  <si>
    <t>Aux Factor</t>
  </si>
  <si>
    <t>No</t>
  </si>
  <si>
    <t>Ramp Metering Method</t>
  </si>
  <si>
    <t>Ramp Metering</t>
  </si>
  <si>
    <t>No Metering</t>
  </si>
  <si>
    <t>Traditional, Uncoordinated</t>
  </si>
  <si>
    <t>Coordinated, Algorithmic</t>
  </si>
  <si>
    <t>Ramp Metering Factor</t>
  </si>
  <si>
    <t>Algorithmic Meters</t>
  </si>
  <si>
    <t>No Meters</t>
  </si>
  <si>
    <t>NoM over TM</t>
  </si>
  <si>
    <t>Ramp Policy</t>
  </si>
  <si>
    <t>6+, if nec.</t>
  </si>
  <si>
    <t>HOT lanes only</t>
  </si>
  <si>
    <t>F.Sustain</t>
  </si>
  <si>
    <t>E. Sustain</t>
  </si>
  <si>
    <t>Base</t>
  </si>
  <si>
    <t>Build</t>
  </si>
  <si>
    <t>Transit, Long Distance</t>
  </si>
  <si>
    <t>No significant transit</t>
  </si>
  <si>
    <t>Express Buses</t>
  </si>
  <si>
    <t>Commuter Rail</t>
  </si>
  <si>
    <t>Light Rail</t>
  </si>
  <si>
    <t>Fac: 1hr</t>
  </si>
  <si>
    <t>Fac: 3hr</t>
  </si>
  <si>
    <t>Frontage Roads</t>
  </si>
  <si>
    <t>No Frontage Roads</t>
  </si>
  <si>
    <t>Two-way, one side</t>
  </si>
  <si>
    <t>Two-way, both sides</t>
  </si>
  <si>
    <t>Peak Hour Screenline Ridership</t>
  </si>
  <si>
    <t>Free/Low Fare Transit?</t>
  </si>
  <si>
    <t xml:space="preserve"> Transit Fare Factor</t>
  </si>
  <si>
    <t xml:space="preserve"> Transit Congestion Price Factor</t>
  </si>
  <si>
    <t>Transit, Adjusted Screenline Ridership</t>
  </si>
  <si>
    <t>Vehicle Equivalent Factor</t>
  </si>
  <si>
    <t>Vehicle Equivalent due to Transit</t>
  </si>
  <si>
    <t>CAV Throughput gains (1.0 if no CAV)</t>
  </si>
  <si>
    <t>Incident Management</t>
  </si>
  <si>
    <t>No program or policy</t>
  </si>
  <si>
    <t>Push, Pull, Drag</t>
  </si>
  <si>
    <t>Quick Arrive, Slow Remove</t>
  </si>
  <si>
    <t>Incident management policy</t>
  </si>
  <si>
    <t>Incident management factor</t>
  </si>
  <si>
    <t>F.Sus.</t>
  </si>
  <si>
    <t>Ramp Metering Policy</t>
  </si>
  <si>
    <t>HOV/HOT Lanes, each dir</t>
  </si>
  <si>
    <t>HOV Occupancy Req.</t>
  </si>
  <si>
    <t>4+</t>
  </si>
  <si>
    <t>E.Sus.</t>
  </si>
  <si>
    <t>Best</t>
  </si>
  <si>
    <t>Full Fwy, limit $max</t>
  </si>
  <si>
    <t>Full Fwy, no $Limit</t>
  </si>
  <si>
    <t>Normalize to 100</t>
  </si>
  <si>
    <t>Scale of 1-100</t>
  </si>
  <si>
    <t>Min</t>
  </si>
  <si>
    <t>Score</t>
  </si>
  <si>
    <t>Baseline</t>
  </si>
  <si>
    <t>Functional</t>
  </si>
  <si>
    <t>Sustainability</t>
  </si>
  <si>
    <t>Environmental</t>
  </si>
  <si>
    <t>Transit, Arterial Corridor</t>
  </si>
  <si>
    <t>No Transit</t>
  </si>
  <si>
    <t>Bus: 30-min or higher</t>
  </si>
  <si>
    <t>Bus: 15-20-min</t>
  </si>
  <si>
    <t>BRT: 10-15-min</t>
  </si>
  <si>
    <t>StreetCar: 10-15-min</t>
  </si>
  <si>
    <t>Transit, Arterial</t>
  </si>
  <si>
    <t>Lt.Rail: 10-15-min</t>
  </si>
  <si>
    <t>Congestion Price, Local Transit Factor</t>
  </si>
  <si>
    <t>Congestion Price on Nearby Fwy?</t>
  </si>
  <si>
    <t>Transit Fare Factor</t>
  </si>
  <si>
    <t>VMT Capability per 5x5-mile Benchmark Tile (ignoring Collectors)</t>
  </si>
  <si>
    <t>Ln/Exp if 3 of 4 are 4-ln fwy</t>
  </si>
  <si>
    <t>ADT max if 3 of 4 are 4-ln fwy</t>
  </si>
  <si>
    <t>AADT capacity by direction for two-way roads</t>
  </si>
  <si>
    <t>Typical AADT, sum of both directions (red used in later calculations)</t>
  </si>
  <si>
    <t>Expway / Fwy*</t>
  </si>
  <si>
    <t>Principal Arterial**</t>
  </si>
  <si>
    <t>** Benchmark assumes half have 3-ln each dir, and half have 2-ln each dir</t>
  </si>
  <si>
    <t>* Benchmark assumes 3 of 4 are 4-ln fwy. The other is 3-ln at-grade (each dir)</t>
  </si>
  <si>
    <t>127,000 ADT</t>
  </si>
  <si>
    <t>Pct of F.Miles</t>
  </si>
  <si>
    <t>ADT     Max</t>
  </si>
  <si>
    <t>ADT    Max</t>
  </si>
  <si>
    <t>TM over AM</t>
  </si>
  <si>
    <t>Auto Occupancy</t>
  </si>
  <si>
    <t>Boost in HOV lane auto occupancy</t>
  </si>
  <si>
    <t>People Throughput by Component</t>
  </si>
  <si>
    <t>Round all values</t>
  </si>
  <si>
    <t>Total Lanes</t>
  </si>
  <si>
    <t>Full-length Aux Lane?</t>
  </si>
  <si>
    <t>Base Auto Occupancy</t>
  </si>
  <si>
    <t>Two transit options</t>
  </si>
  <si>
    <t>Three transit options</t>
  </si>
  <si>
    <t>F.Sust.</t>
  </si>
  <si>
    <t>E.Sust.</t>
  </si>
  <si>
    <t>Points, Raw</t>
  </si>
  <si>
    <t>Points, 1-100</t>
  </si>
  <si>
    <t>Up to 4-min</t>
  </si>
  <si>
    <t>Up to 6-min</t>
  </si>
  <si>
    <t>Miles from Expwy 1</t>
  </si>
  <si>
    <t>Expressway/Fwy</t>
  </si>
  <si>
    <t>Repeat Pattern</t>
  </si>
  <si>
    <t>Fishnet pattern for 10x10-mile tile, where buildout includes significant open space or low density (Made for Asheville area)</t>
  </si>
  <si>
    <t>Step 2: Describe base-case and build policies designed to reduce likelihood of overloading freeway</t>
  </si>
  <si>
    <t>Step 3: Describe base and build transit situation in the corridor, and any assumptions about future Connected and Autonomous Vehicle efficiency gains</t>
  </si>
  <si>
    <t>Step 1: Basic Attributes of Corridor</t>
  </si>
  <si>
    <t>Traditional Meters</t>
  </si>
  <si>
    <t>HOV occ.</t>
  </si>
  <si>
    <t>Step 1: Basic attributes of the freeway corridor</t>
  </si>
  <si>
    <t>Step 2:  Base-case and build policies designed to reduce likelihood of overloading freeway</t>
  </si>
  <si>
    <t>Step 3:  Base and build transit situation, and any assumptions about future Connected and Autonomous Vehicle efficiency gains</t>
  </si>
  <si>
    <t>Use highest of Congestion Pricing or Metering</t>
  </si>
  <si>
    <t>Combined factor (Applied to GP lanes)</t>
  </si>
  <si>
    <t>Base and Build Combinations, Meter Types</t>
  </si>
  <si>
    <t>Base and Build Combinations, Meter Policy</t>
  </si>
  <si>
    <t>Incremental gain by higher mgt method</t>
  </si>
  <si>
    <t>Incremental gain by higher mgt policy</t>
  </si>
  <si>
    <t>Base and Build Combinations, Congestion Pricing</t>
  </si>
  <si>
    <t>Incremental gain by higher pricing policy</t>
  </si>
  <si>
    <t>Congestion Pricing Factor</t>
  </si>
  <si>
    <t>Base and Build Combinations, Incident Management</t>
  </si>
  <si>
    <t>Arrive Quick, Remove Slow</t>
  </si>
  <si>
    <t>All Fast: Push, Pull, or Drag</t>
  </si>
  <si>
    <t>Arterial Corridor and Complete Street Opportunities (Not finished yet, and not used in calcs at present)</t>
  </si>
  <si>
    <t>Overall Ramp Factor (method + policy)</t>
  </si>
  <si>
    <t>Pct Factor: Traditional</t>
  </si>
  <si>
    <t>Pct Factor: Coordinated</t>
  </si>
  <si>
    <t>Pct Factor</t>
  </si>
  <si>
    <t>Ideal</t>
  </si>
  <si>
    <t>Reduced by inefficiency factors</t>
  </si>
  <si>
    <t>User-supplied Pk Hour Screenline Ridership</t>
  </si>
  <si>
    <t>1: GP+HOV</t>
  </si>
  <si>
    <t>Transit free fare boost factor</t>
  </si>
  <si>
    <t>Transit congestion pricing boost factor</t>
  </si>
  <si>
    <t>&lt;= referenced by the bar chart</t>
  </si>
  <si>
    <t>Below is the table that feeds the throughput bar chart</t>
  </si>
  <si>
    <t>Consider adding frontage roads</t>
  </si>
  <si>
    <t>Trips 1hr</t>
  </si>
  <si>
    <t>One-way both sides</t>
  </si>
  <si>
    <t>Frontage Trips</t>
  </si>
  <si>
    <t>2: Frontage Config</t>
  </si>
  <si>
    <t>3: Access Mgt</t>
  </si>
  <si>
    <t>4: Incident Mgt</t>
  </si>
  <si>
    <t>5: Aux Lanes</t>
  </si>
  <si>
    <t>6: CAV</t>
  </si>
  <si>
    <t>7: Transit</t>
  </si>
  <si>
    <t>8: Sum</t>
  </si>
  <si>
    <t>&lt;= Used in main throughput bar chart</t>
  </si>
  <si>
    <t>Poor (Red), Great (Green)</t>
  </si>
  <si>
    <t>Fishnet pattern for 5x5-mile tile, where buildout has little open space and is likely to be heavily suburban, with a fair amount of urban.</t>
  </si>
  <si>
    <t>What type of intersections exist in a 5x5 area?</t>
  </si>
  <si>
    <t>Fishnet pattern for 7x7-mile tile, where buildout includes significant open space or a great many large-lot neighborhoods</t>
  </si>
  <si>
    <t>Blue tabs: Freeway Corridor Person-Trip Throughput Calculator</t>
  </si>
  <si>
    <t>Pct Increase relative to base</t>
  </si>
  <si>
    <t>See red triangle note</t>
  </si>
  <si>
    <t>Calculations that support previous tab.</t>
  </si>
  <si>
    <t>Freeway Corridor Person-Trip Throughput Sketch Planning Estimation Tool</t>
  </si>
  <si>
    <t>Functional and Environmental Sustainability</t>
  </si>
  <si>
    <t>Regional Network Analysis and Examples</t>
  </si>
  <si>
    <t>FOREWORD</t>
  </si>
  <si>
    <t>ACKNOWLEDGMENT OF SPONSORSHIP</t>
  </si>
  <si>
    <t xml:space="preserve">This work was sponsored by the American Association of State Highway and Transportation Officials, in cooperation with the Federal Highway Administration, and was conducted in the National Cooperative Highway Research Program (NCHRP), which is administered by the Transportation Research Board of the National Academies of Sciences, Engineering, and Medicine.  </t>
  </si>
  <si>
    <t>DISCLAIMER</t>
  </si>
  <si>
    <t>COPYRIGHT</t>
  </si>
  <si>
    <t xml:space="preserve">This material and the copyrights therein are owned by the National Academies of Sciences, Engineering, and Medicine.  </t>
  </si>
  <si>
    <t>HANDLING OF COMMENTS AND REVISIONS</t>
  </si>
  <si>
    <t>INSTRUCTIONS</t>
  </si>
  <si>
    <t>VERSION HISTORY</t>
  </si>
  <si>
    <t>First beta version</t>
  </si>
  <si>
    <t>Build: 2022-11-07</t>
  </si>
  <si>
    <t xml:space="preserve">This spreadsheet contains two different but related topics.  The blue tabs offer a calculator the user can use to determine the person-trip throughput of freeway corridors by summing the contributions of general purpose freeway lanes, HOV/HOT lanes, freeway auxiliary lanes, frontage road lanes, and transit.  It also allows the user to speculate on how connected and autonomous vehicles (CAV) might increase the person-trip capability.  In addition to these, it also allows the user to explore how corridor management strategies such as algorithmic ramp metering, congestion pricing, and free or reduced fare transit can enhance the person-trip throughput capability of the corridor.  </t>
  </si>
  <si>
    <t xml:space="preserve">Comments should be directed to the National Cooperative Highway Research Program. Comments and questions should be specific and refer to specific spreadsheet cells.  </t>
  </si>
  <si>
    <t>The spreadsheet consists of seven sheets: Instructions, Freeway Corridor Throughooput Inputs, Throughput Calculations, Regional Network Analysis, Regional Network Examples, WFRC Speed V8.3 and WFRC Cap1hr1ln V8.3</t>
  </si>
  <si>
    <t xml:space="preserve">User-provided data are entered into the gray cells on the Freeway Corridor Throughoput sheet and the WFRC Speed V8.3 Sheet. </t>
  </si>
  <si>
    <t xml:space="preserve">Each sheet has detailed instructions. </t>
  </si>
  <si>
    <t>2022-11-07</t>
  </si>
  <si>
    <t>NCHRP Project 08-124</t>
  </si>
  <si>
    <t>This is unedited material as submitted by the contractor for NCHRP Project 08-124, Quantifying the Impacts of Corriodor Management.  The opinions and conclusions expressed or implied in the material are those of the research agency. They are not necessarily those of the Transportation Research Board; the National Academies of Sciences, Engineering, and Medicine; or the program sponsors.</t>
  </si>
  <si>
    <t>This software is offered as is, without warranty or promise of support of any kind either expressed or implied. Under no circumstance will the National Academy of Sciences or the Transportation Research Board (collectively “TRB”) be liable for any loss or damage caused by the installation or operation of this product. TRB makes no representation or warranty of any kind, expressed or implied, in fact or in law, including without limitation, the warranty of merchantability or the warranty of fitness for a particular purpose, and shall not in any case be liable for any consequential or special damages.</t>
  </si>
  <si>
    <t>Corridor and Network Multimodal Capacity Calculators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</si>
</sst>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
    <numFmt numFmtId="165" formatCode="_(* #,##0_);_(* \(#,##0\);_(* &quot;-&quot;??_);_(@_)"/>
    <numFmt numFmtId="166" formatCode="0.0%"/>
    <numFmt numFmtId="167" formatCode="_(* #,##0.000_);_(* \(#,##0.000\);_(* &quot;-&quot;??_);_(@_)"/>
    <numFmt numFmtId="168" formatCode="_(* #,##0.0_);_(* \(#,##0.0\);_(* &quot;-&quot;??_);_(@_)"/>
    <numFmt numFmtId="169" formatCode="_(* #,##0.0_);_(* \(#,##0.0\);_(* &quot;-&quot;?_);_(@_)"/>
    <numFmt numFmtId="170" formatCode="0.00000000"/>
  </numFmts>
  <fonts count="60"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family val="2"/>
    </font>
    <font>
      <sz val="8"/>
      <color indexed="81"/>
      <name val="Tahoma"/>
      <family val="2"/>
    </font>
    <font>
      <b/>
      <sz val="8"/>
      <color indexed="81"/>
      <name val="Tahoma"/>
      <family val="2"/>
    </font>
    <font>
      <b/>
      <sz val="18"/>
      <name val="Calibri"/>
      <family val="2"/>
    </font>
    <font>
      <sz val="10"/>
      <name val="Calibri"/>
      <family val="2"/>
    </font>
    <font>
      <b/>
      <sz val="10"/>
      <name val="Calibri"/>
      <family val="2"/>
    </font>
    <font>
      <sz val="10"/>
      <color indexed="12"/>
      <name val="Calibri"/>
      <family val="2"/>
    </font>
    <font>
      <b/>
      <u/>
      <sz val="10"/>
      <name val="Calibri"/>
      <family val="2"/>
    </font>
    <font>
      <sz val="9"/>
      <name val="Calibri"/>
      <family val="2"/>
    </font>
    <font>
      <b/>
      <sz val="12"/>
      <name val="Calibri"/>
      <family val="2"/>
    </font>
    <font>
      <b/>
      <u/>
      <sz val="11"/>
      <name val="Calibri"/>
      <family val="2"/>
    </font>
    <font>
      <b/>
      <sz val="10"/>
      <name val="Calibri"/>
      <family val="2"/>
      <scheme val="minor"/>
    </font>
    <font>
      <sz val="10"/>
      <name val="Calibri"/>
      <family val="2"/>
      <scheme val="minor"/>
    </font>
    <font>
      <sz val="10"/>
      <color rgb="FF0000FF"/>
      <name val="Calibri"/>
      <family val="2"/>
    </font>
    <font>
      <i/>
      <sz val="10"/>
      <name val="Calibri"/>
      <family val="2"/>
    </font>
    <font>
      <b/>
      <sz val="10"/>
      <color indexed="8"/>
      <name val="Calibri"/>
      <family val="2"/>
      <scheme val="minor"/>
    </font>
    <font>
      <b/>
      <sz val="18"/>
      <name val="Calibri"/>
      <family val="2"/>
      <scheme val="minor"/>
    </font>
    <font>
      <b/>
      <sz val="10"/>
      <color indexed="60"/>
      <name val="Calibri"/>
      <family val="2"/>
      <scheme val="minor"/>
    </font>
    <font>
      <sz val="10"/>
      <color rgb="FF0000FF"/>
      <name val="Calibri"/>
      <family val="2"/>
      <scheme val="minor"/>
    </font>
    <font>
      <sz val="10"/>
      <color rgb="FFFF000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1"/>
      <name val="Tahoma"/>
      <family val="2"/>
    </font>
    <font>
      <sz val="10"/>
      <color rgb="FF0000FF"/>
      <name val="Arial"/>
      <family val="2"/>
    </font>
    <font>
      <sz val="10"/>
      <color rgb="FFFF0000"/>
      <name val="Calibri"/>
      <family val="2"/>
      <scheme val="minor"/>
    </font>
    <font>
      <b/>
      <sz val="10"/>
      <color rgb="FFFF0000"/>
      <name val="Arial"/>
      <family val="2"/>
    </font>
    <font>
      <sz val="10"/>
      <color rgb="FFFF0000"/>
      <name val="Arial"/>
      <family val="2"/>
    </font>
    <font>
      <b/>
      <sz val="9"/>
      <color indexed="81"/>
      <name val="Tahoma"/>
      <family val="2"/>
    </font>
    <font>
      <sz val="9"/>
      <name val="Arial"/>
      <family val="2"/>
    </font>
    <font>
      <b/>
      <sz val="12"/>
      <name val="Arial"/>
      <family val="2"/>
    </font>
    <font>
      <sz val="12"/>
      <name val="Arial"/>
      <family val="2"/>
    </font>
    <font>
      <sz val="10"/>
      <color theme="0" tint="-4.9989318521683403E-2"/>
      <name val="Arial"/>
      <family val="2"/>
    </font>
    <font>
      <b/>
      <sz val="10"/>
      <color theme="0" tint="-4.9989318521683403E-2"/>
      <name val="Arial"/>
      <family val="2"/>
    </font>
    <font>
      <b/>
      <sz val="10"/>
      <color theme="0"/>
      <name val="Arial"/>
      <family val="2"/>
    </font>
    <font>
      <sz val="10"/>
      <color indexed="81"/>
      <name val="Tahoma"/>
      <family val="2"/>
    </font>
    <font>
      <b/>
      <sz val="10"/>
      <color theme="4" tint="-0.249977111117893"/>
      <name val="Arial"/>
      <family val="2"/>
    </font>
    <font>
      <b/>
      <sz val="12"/>
      <color theme="4" tint="-0.249977111117893"/>
      <name val="Arial"/>
      <family val="2"/>
    </font>
    <font>
      <sz val="11"/>
      <color indexed="81"/>
      <name val="Tahoma"/>
      <family val="2"/>
    </font>
    <font>
      <b/>
      <u/>
      <sz val="14"/>
      <name val="Arial"/>
      <family val="2"/>
    </font>
    <font>
      <sz val="22"/>
      <name val="Arial"/>
      <family val="2"/>
    </font>
  </fonts>
  <fills count="4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rgb="FFD17B79"/>
        <bgColor indexed="64"/>
      </patternFill>
    </fill>
    <fill>
      <patternFill patternType="solid">
        <fgColor rgb="FFFF0000"/>
        <bgColor indexed="64"/>
      </patternFill>
    </fill>
    <fill>
      <patternFill patternType="solid">
        <fgColor rgb="FFFF9999"/>
        <bgColor indexed="64"/>
      </patternFill>
    </fill>
    <fill>
      <patternFill patternType="solid">
        <fgColor rgb="FF00B050"/>
        <bgColor indexed="64"/>
      </patternFill>
    </fill>
    <fill>
      <patternFill patternType="solid">
        <fgColor theme="6" tint="0.39997558519241921"/>
        <bgColor indexed="64"/>
      </patternFill>
    </fill>
    <fill>
      <patternFill patternType="solid">
        <fgColor rgb="FFF9B4A9"/>
        <bgColor indexed="64"/>
      </patternFill>
    </fill>
    <fill>
      <patternFill patternType="solid">
        <fgColor theme="9" tint="-0.249977111117893"/>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rgb="FF00B0F0"/>
        <bgColor indexed="64"/>
      </patternFill>
    </fill>
  </fills>
  <borders count="75">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diagonal/>
    </border>
    <border>
      <left/>
      <right style="medium">
        <color indexed="64"/>
      </right>
      <top/>
      <bottom/>
      <diagonal/>
    </border>
    <border>
      <left style="medium">
        <color auto="1"/>
      </left>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46">
    <xf numFmtId="0" fontId="0"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2" borderId="0" applyNumberFormat="0" applyBorder="0" applyAlignment="0" applyProtection="0"/>
    <xf numFmtId="0" fontId="27" fillId="6" borderId="0" applyNumberFormat="0" applyBorder="0" applyAlignment="0" applyProtection="0"/>
    <xf numFmtId="0" fontId="28" fillId="23" borderId="8" applyNumberFormat="0" applyAlignment="0" applyProtection="0"/>
    <xf numFmtId="0" fontId="29" fillId="24" borderId="9" applyNumberFormat="0" applyAlignment="0" applyProtection="0"/>
    <xf numFmtId="0" fontId="30" fillId="0" borderId="0" applyNumberFormat="0" applyFill="0" applyBorder="0" applyAlignment="0" applyProtection="0"/>
    <xf numFmtId="0" fontId="31" fillId="7" borderId="0" applyNumberFormat="0" applyBorder="0" applyAlignment="0" applyProtection="0"/>
    <xf numFmtId="0" fontId="32" fillId="0" borderId="10" applyNumberFormat="0" applyFill="0" applyAlignment="0" applyProtection="0"/>
    <xf numFmtId="0" fontId="33" fillId="0" borderId="11" applyNumberFormat="0" applyFill="0" applyAlignment="0" applyProtection="0"/>
    <xf numFmtId="0" fontId="34" fillId="0" borderId="12" applyNumberFormat="0" applyFill="0" applyAlignment="0" applyProtection="0"/>
    <xf numFmtId="0" fontId="34" fillId="0" borderId="0" applyNumberFormat="0" applyFill="0" applyBorder="0" applyAlignment="0" applyProtection="0"/>
    <xf numFmtId="0" fontId="35" fillId="10" borderId="8" applyNumberFormat="0" applyAlignment="0" applyProtection="0"/>
    <xf numFmtId="0" fontId="36" fillId="0" borderId="13" applyNumberFormat="0" applyFill="0" applyAlignment="0" applyProtection="0"/>
    <xf numFmtId="0" fontId="37" fillId="25" borderId="0" applyNumberFormat="0" applyBorder="0" applyAlignment="0" applyProtection="0"/>
    <xf numFmtId="0" fontId="2" fillId="26" borderId="14" applyNumberFormat="0" applyFont="0" applyAlignment="0" applyProtection="0"/>
    <xf numFmtId="0" fontId="38" fillId="23" borderId="15" applyNumberFormat="0" applyAlignment="0" applyProtection="0"/>
    <xf numFmtId="0" fontId="39" fillId="0" borderId="0" applyNumberFormat="0" applyFill="0" applyBorder="0" applyAlignment="0" applyProtection="0"/>
    <xf numFmtId="0" fontId="40" fillId="0" borderId="16" applyNumberFormat="0" applyFill="0" applyAlignment="0" applyProtection="0"/>
    <xf numFmtId="0" fontId="41" fillId="0" borderId="0" applyNumberFormat="0" applyFill="0" applyBorder="0" applyAlignment="0" applyProtection="0"/>
    <xf numFmtId="0" fontId="1" fillId="0" borderId="0"/>
  </cellStyleXfs>
  <cellXfs count="337">
    <xf numFmtId="0" fontId="0" fillId="0" borderId="0" xfId="0"/>
    <xf numFmtId="0" fontId="0" fillId="0" borderId="0" xfId="0" applyAlignment="1">
      <alignment wrapText="1"/>
    </xf>
    <xf numFmtId="0" fontId="0" fillId="0" borderId="0" xfId="0" applyAlignment="1">
      <alignment horizontal="center"/>
    </xf>
    <xf numFmtId="0" fontId="4" fillId="0" borderId="0" xfId="0" applyFont="1"/>
    <xf numFmtId="165" fontId="0" fillId="0" borderId="0" xfId="1" applyNumberFormat="1" applyFont="1"/>
    <xf numFmtId="165" fontId="0" fillId="0" borderId="0" xfId="0" applyNumberFormat="1"/>
    <xf numFmtId="0" fontId="9" fillId="2" borderId="0" xfId="0" applyFont="1" applyFill="1"/>
    <xf numFmtId="0" fontId="9" fillId="2" borderId="0" xfId="0" applyFont="1" applyFill="1" applyAlignment="1">
      <alignment horizontal="center"/>
    </xf>
    <xf numFmtId="0" fontId="10" fillId="2" borderId="0" xfId="0" applyFont="1" applyFill="1"/>
    <xf numFmtId="0" fontId="10" fillId="2" borderId="0" xfId="0" applyFont="1" applyFill="1" applyAlignment="1">
      <alignment horizontal="center" wrapText="1"/>
    </xf>
    <xf numFmtId="164" fontId="11" fillId="2" borderId="0" xfId="0" applyNumberFormat="1" applyFont="1" applyFill="1" applyAlignment="1">
      <alignment horizontal="center"/>
    </xf>
    <xf numFmtId="0" fontId="9" fillId="2" borderId="0" xfId="0" quotePrefix="1" applyFont="1" applyFill="1" applyAlignment="1">
      <alignment horizontal="center"/>
    </xf>
    <xf numFmtId="164" fontId="9" fillId="2" borderId="0" xfId="0" applyNumberFormat="1" applyFont="1" applyFill="1" applyAlignment="1">
      <alignment horizontal="center"/>
    </xf>
    <xf numFmtId="1" fontId="9" fillId="2" borderId="0" xfId="0" applyNumberFormat="1" applyFont="1" applyFill="1" applyAlignment="1">
      <alignment horizontal="center"/>
    </xf>
    <xf numFmtId="0" fontId="9" fillId="2" borderId="0" xfId="0" applyFont="1" applyFill="1" applyAlignment="1">
      <alignment horizontal="right"/>
    </xf>
    <xf numFmtId="1" fontId="9" fillId="2" borderId="0" xfId="0" applyNumberFormat="1" applyFont="1" applyFill="1"/>
    <xf numFmtId="164" fontId="9" fillId="2" borderId="0" xfId="0" applyNumberFormat="1" applyFont="1" applyFill="1"/>
    <xf numFmtId="0" fontId="13" fillId="2" borderId="0" xfId="0" applyFont="1" applyFill="1"/>
    <xf numFmtId="0" fontId="9" fillId="2" borderId="0" xfId="0" applyFont="1" applyFill="1" applyAlignment="1">
      <alignment horizontal="left" indent="1"/>
    </xf>
    <xf numFmtId="164" fontId="10" fillId="2" borderId="0" xfId="0" applyNumberFormat="1" applyFont="1" applyFill="1" applyAlignment="1">
      <alignment horizontal="center"/>
    </xf>
    <xf numFmtId="0" fontId="10" fillId="2" borderId="0" xfId="0" applyFont="1" applyFill="1" applyAlignment="1">
      <alignment horizontal="right"/>
    </xf>
    <xf numFmtId="0" fontId="14" fillId="2" borderId="0" xfId="0" applyFont="1" applyFill="1"/>
    <xf numFmtId="0" fontId="9" fillId="2" borderId="0" xfId="0" applyFont="1" applyFill="1" applyAlignment="1">
      <alignment horizontal="left"/>
    </xf>
    <xf numFmtId="164" fontId="9" fillId="2" borderId="0" xfId="0" applyNumberFormat="1" applyFont="1" applyFill="1" applyAlignment="1">
      <alignment horizontal="left"/>
    </xf>
    <xf numFmtId="0" fontId="15" fillId="2" borderId="0" xfId="0" applyFont="1" applyFill="1" applyAlignment="1">
      <alignment horizontal="left"/>
    </xf>
    <xf numFmtId="1" fontId="9" fillId="0" borderId="0" xfId="0" applyNumberFormat="1" applyFont="1" applyAlignment="1">
      <alignment horizontal="center"/>
    </xf>
    <xf numFmtId="0" fontId="9" fillId="0" borderId="0" xfId="0" applyFont="1" applyAlignment="1">
      <alignment horizontal="center"/>
    </xf>
    <xf numFmtId="164" fontId="9" fillId="0" borderId="0" xfId="0" applyNumberFormat="1" applyFont="1"/>
    <xf numFmtId="0" fontId="9" fillId="0" borderId="0" xfId="0" applyFont="1"/>
    <xf numFmtId="0" fontId="2" fillId="0" borderId="0" xfId="0" applyFont="1"/>
    <xf numFmtId="9" fontId="0" fillId="0" borderId="0" xfId="2" applyFont="1"/>
    <xf numFmtId="0" fontId="10" fillId="2" borderId="0" xfId="0" applyFont="1" applyFill="1" applyAlignment="1">
      <alignment horizontal="center"/>
    </xf>
    <xf numFmtId="1" fontId="9" fillId="3" borderId="0" xfId="0" applyNumberFormat="1" applyFont="1" applyFill="1" applyAlignment="1">
      <alignment horizontal="center"/>
    </xf>
    <xf numFmtId="164" fontId="9" fillId="3" borderId="0" xfId="0" applyNumberFormat="1" applyFont="1" applyFill="1" applyAlignment="1">
      <alignment horizontal="center"/>
    </xf>
    <xf numFmtId="0" fontId="9" fillId="3" borderId="0" xfId="0" applyFont="1" applyFill="1" applyAlignment="1">
      <alignment horizontal="center"/>
    </xf>
    <xf numFmtId="1" fontId="11" fillId="2" borderId="0" xfId="0" applyNumberFormat="1" applyFont="1" applyFill="1" applyAlignment="1">
      <alignment horizontal="center"/>
    </xf>
    <xf numFmtId="1" fontId="18" fillId="2" borderId="0" xfId="0" applyNumberFormat="1" applyFont="1" applyFill="1" applyAlignment="1">
      <alignment horizontal="center"/>
    </xf>
    <xf numFmtId="165" fontId="16" fillId="3" borderId="0" xfId="1" applyNumberFormat="1" applyFont="1" applyFill="1" applyAlignment="1">
      <alignment horizontal="center" vertical="center"/>
    </xf>
    <xf numFmtId="165" fontId="17" fillId="3" borderId="0" xfId="0" applyNumberFormat="1" applyFont="1" applyFill="1" applyAlignment="1">
      <alignment vertical="center"/>
    </xf>
    <xf numFmtId="1" fontId="24" fillId="2" borderId="0" xfId="0" applyNumberFormat="1" applyFont="1" applyFill="1" applyAlignment="1">
      <alignment horizontal="center"/>
    </xf>
    <xf numFmtId="0" fontId="24" fillId="2" borderId="0" xfId="0" applyFont="1" applyFill="1" applyAlignment="1">
      <alignment horizontal="center"/>
    </xf>
    <xf numFmtId="1" fontId="24" fillId="4" borderId="0" xfId="0" applyNumberFormat="1" applyFont="1" applyFill="1" applyAlignment="1">
      <alignment horizontal="center"/>
    </xf>
    <xf numFmtId="164" fontId="24" fillId="3" borderId="0" xfId="0" applyNumberFormat="1" applyFont="1" applyFill="1" applyAlignment="1">
      <alignment horizontal="center"/>
    </xf>
    <xf numFmtId="2" fontId="24" fillId="3" borderId="0" xfId="0" applyNumberFormat="1" applyFont="1" applyFill="1" applyAlignment="1">
      <alignment horizontal="center"/>
    </xf>
    <xf numFmtId="1" fontId="24" fillId="3" borderId="0" xfId="0" applyNumberFormat="1" applyFont="1" applyFill="1" applyAlignment="1">
      <alignment horizontal="center"/>
    </xf>
    <xf numFmtId="165" fontId="44" fillId="3" borderId="0" xfId="0" applyNumberFormat="1" applyFont="1" applyFill="1" applyAlignment="1">
      <alignment vertical="center"/>
    </xf>
    <xf numFmtId="0" fontId="21" fillId="3" borderId="0" xfId="0" applyFont="1" applyFill="1"/>
    <xf numFmtId="0" fontId="0" fillId="3" borderId="0" xfId="0" applyFill="1" applyAlignment="1">
      <alignment vertical="center"/>
    </xf>
    <xf numFmtId="0" fontId="16" fillId="3" borderId="0" xfId="0" applyFont="1" applyFill="1" applyAlignment="1">
      <alignment horizontal="center"/>
    </xf>
    <xf numFmtId="0" fontId="2" fillId="3" borderId="0" xfId="0" applyFont="1" applyFill="1" applyAlignment="1">
      <alignment vertical="center"/>
    </xf>
    <xf numFmtId="0" fontId="22" fillId="3" borderId="0" xfId="0" applyFont="1" applyFill="1" applyAlignment="1">
      <alignment vertical="center"/>
    </xf>
    <xf numFmtId="0" fontId="17" fillId="3" borderId="0" xfId="0" applyFont="1" applyFill="1" applyAlignment="1">
      <alignment vertical="center"/>
    </xf>
    <xf numFmtId="0" fontId="16" fillId="3" borderId="0" xfId="0" applyFont="1" applyFill="1" applyAlignment="1">
      <alignment horizontal="center" wrapText="1"/>
    </xf>
    <xf numFmtId="0" fontId="20" fillId="3" borderId="0" xfId="0" applyFont="1" applyFill="1" applyAlignment="1">
      <alignment vertical="center" wrapText="1"/>
    </xf>
    <xf numFmtId="166" fontId="22" fillId="3" borderId="0" xfId="2" applyNumberFormat="1" applyFont="1" applyFill="1" applyAlignment="1">
      <alignment vertical="center"/>
    </xf>
    <xf numFmtId="0" fontId="17" fillId="3" borderId="0" xfId="0" applyFont="1" applyFill="1" applyAlignment="1">
      <alignment horizontal="center" vertical="center"/>
    </xf>
    <xf numFmtId="0" fontId="9" fillId="3" borderId="0" xfId="0" applyFont="1" applyFill="1"/>
    <xf numFmtId="165" fontId="17" fillId="3" borderId="0" xfId="1" applyNumberFormat="1" applyFont="1" applyFill="1" applyAlignment="1">
      <alignment vertical="center"/>
    </xf>
    <xf numFmtId="1" fontId="0" fillId="3" borderId="0" xfId="0" applyNumberFormat="1" applyFill="1" applyAlignment="1">
      <alignment vertical="center"/>
    </xf>
    <xf numFmtId="0" fontId="0" fillId="3" borderId="0" xfId="0" applyFill="1" applyAlignment="1">
      <alignment horizontal="center" vertical="center"/>
    </xf>
    <xf numFmtId="0" fontId="16" fillId="3" borderId="0" xfId="0" applyFont="1" applyFill="1" applyAlignment="1">
      <alignment horizontal="center" vertical="center"/>
    </xf>
    <xf numFmtId="1" fontId="16" fillId="3" borderId="0" xfId="0" applyNumberFormat="1" applyFont="1" applyFill="1" applyAlignment="1">
      <alignment horizontal="center" vertical="center"/>
    </xf>
    <xf numFmtId="0" fontId="16" fillId="3" borderId="0" xfId="0" applyFont="1" applyFill="1" applyAlignment="1">
      <alignment vertical="center"/>
    </xf>
    <xf numFmtId="165" fontId="23" fillId="3" borderId="0" xfId="0" applyNumberFormat="1" applyFont="1" applyFill="1" applyAlignment="1">
      <alignment horizontal="center" vertical="center"/>
    </xf>
    <xf numFmtId="165" fontId="17" fillId="3" borderId="0" xfId="0" applyNumberFormat="1" applyFont="1" applyFill="1" applyAlignment="1">
      <alignment horizontal="center" vertical="center"/>
    </xf>
    <xf numFmtId="165" fontId="23" fillId="3" borderId="0" xfId="1" applyNumberFormat="1" applyFont="1" applyFill="1" applyAlignment="1">
      <alignment vertical="center"/>
    </xf>
    <xf numFmtId="165" fontId="44" fillId="3" borderId="0" xfId="0" applyNumberFormat="1" applyFont="1" applyFill="1" applyAlignment="1">
      <alignment horizontal="center" vertical="center"/>
    </xf>
    <xf numFmtId="0" fontId="19" fillId="3" borderId="0" xfId="0" applyFont="1" applyFill="1" applyAlignment="1">
      <alignment horizontal="left" indent="1"/>
    </xf>
    <xf numFmtId="1" fontId="17" fillId="3" borderId="0" xfId="0" applyNumberFormat="1" applyFont="1" applyFill="1" applyAlignment="1">
      <alignment vertical="center"/>
    </xf>
    <xf numFmtId="165" fontId="23" fillId="3" borderId="0" xfId="0" applyNumberFormat="1" applyFont="1" applyFill="1" applyAlignment="1">
      <alignment vertical="center"/>
    </xf>
    <xf numFmtId="165" fontId="43" fillId="3" borderId="0" xfId="0" applyNumberFormat="1" applyFont="1" applyFill="1" applyAlignment="1">
      <alignment vertical="center"/>
    </xf>
    <xf numFmtId="165" fontId="0" fillId="3" borderId="0" xfId="0" applyNumberFormat="1" applyFill="1" applyAlignment="1">
      <alignment vertical="center"/>
    </xf>
    <xf numFmtId="2" fontId="17" fillId="3" borderId="0" xfId="0" applyNumberFormat="1" applyFont="1" applyFill="1" applyAlignment="1">
      <alignment vertical="center"/>
    </xf>
    <xf numFmtId="0" fontId="5" fillId="3" borderId="0" xfId="0" applyFont="1" applyFill="1" applyAlignment="1">
      <alignment vertical="center"/>
    </xf>
    <xf numFmtId="0" fontId="4" fillId="3" borderId="0" xfId="0" applyFont="1" applyFill="1" applyAlignment="1">
      <alignment vertical="center"/>
    </xf>
    <xf numFmtId="165" fontId="0" fillId="3" borderId="0" xfId="1" applyNumberFormat="1" applyFont="1" applyFill="1" applyAlignment="1">
      <alignment vertical="center"/>
    </xf>
    <xf numFmtId="0" fontId="15" fillId="3" borderId="0" xfId="0" applyFont="1" applyFill="1" applyAlignment="1">
      <alignment horizontal="left" vertical="center"/>
    </xf>
    <xf numFmtId="0" fontId="17" fillId="3" borderId="0" xfId="0" applyFont="1" applyFill="1" applyAlignment="1">
      <alignment horizontal="left" vertical="center" indent="1"/>
    </xf>
    <xf numFmtId="2" fontId="17" fillId="3" borderId="0" xfId="0" applyNumberFormat="1" applyFont="1" applyFill="1" applyAlignment="1">
      <alignment horizontal="left" vertical="center" indent="1"/>
    </xf>
    <xf numFmtId="0" fontId="9" fillId="3" borderId="0" xfId="0" applyFont="1" applyFill="1" applyAlignment="1">
      <alignment horizontal="left" vertical="center" indent="1"/>
    </xf>
    <xf numFmtId="165" fontId="44" fillId="3" borderId="0" xfId="1" applyNumberFormat="1" applyFont="1" applyFill="1" applyAlignment="1">
      <alignment vertical="center"/>
    </xf>
    <xf numFmtId="43" fontId="44" fillId="3" borderId="0" xfId="1" applyFont="1" applyFill="1" applyAlignment="1">
      <alignment vertical="center"/>
    </xf>
    <xf numFmtId="43" fontId="17" fillId="3" borderId="0" xfId="1" applyFont="1" applyFill="1" applyAlignment="1">
      <alignment vertical="center"/>
    </xf>
    <xf numFmtId="43" fontId="16" fillId="3" borderId="0" xfId="1" applyFont="1" applyFill="1" applyAlignment="1">
      <alignment horizontal="center" vertical="center"/>
    </xf>
    <xf numFmtId="43" fontId="44" fillId="3" borderId="0" xfId="1" applyFont="1" applyFill="1" applyAlignment="1">
      <alignment horizontal="center" vertical="center"/>
    </xf>
    <xf numFmtId="1" fontId="17" fillId="3" borderId="0" xfId="0" applyNumberFormat="1" applyFont="1" applyFill="1" applyAlignment="1">
      <alignment horizontal="right" vertical="center"/>
    </xf>
    <xf numFmtId="167" fontId="44" fillId="3" borderId="0" xfId="1" applyNumberFormat="1" applyFont="1" applyFill="1" applyAlignment="1">
      <alignment vertical="center"/>
    </xf>
    <xf numFmtId="0" fontId="17" fillId="3" borderId="0" xfId="0" applyFont="1" applyFill="1" applyAlignment="1">
      <alignment horizontal="left" vertical="center"/>
    </xf>
    <xf numFmtId="0" fontId="5" fillId="3" borderId="0" xfId="0" applyFont="1" applyFill="1" applyAlignment="1">
      <alignment horizontal="left" vertical="center" wrapText="1"/>
    </xf>
    <xf numFmtId="0" fontId="5" fillId="3" borderId="0" xfId="0" applyFont="1" applyFill="1" applyAlignment="1">
      <alignment horizontal="center" vertical="center"/>
    </xf>
    <xf numFmtId="0" fontId="5" fillId="3" borderId="0" xfId="0" applyFont="1" applyFill="1" applyAlignment="1">
      <alignment horizontal="right" vertical="center"/>
    </xf>
    <xf numFmtId="0" fontId="0" fillId="3" borderId="0" xfId="0" applyFill="1" applyAlignment="1">
      <alignment horizontal="right" vertical="center"/>
    </xf>
    <xf numFmtId="0" fontId="2" fillId="3" borderId="0" xfId="0" applyFont="1" applyFill="1" applyAlignment="1">
      <alignment horizontal="center" vertical="center"/>
    </xf>
    <xf numFmtId="165" fontId="44" fillId="27" borderId="0" xfId="1" applyNumberFormat="1" applyFont="1" applyFill="1" applyAlignment="1">
      <alignment vertical="center"/>
    </xf>
    <xf numFmtId="165" fontId="17" fillId="3" borderId="0" xfId="1" applyNumberFormat="1" applyFont="1" applyFill="1" applyAlignment="1">
      <alignment horizontal="right" vertical="center"/>
    </xf>
    <xf numFmtId="165" fontId="23" fillId="3" borderId="0" xfId="1" applyNumberFormat="1" applyFont="1" applyFill="1" applyAlignment="1">
      <alignment horizontal="center" vertical="center"/>
    </xf>
    <xf numFmtId="0" fontId="8" fillId="2" borderId="0" xfId="0" applyFont="1" applyFill="1"/>
    <xf numFmtId="165" fontId="44" fillId="0" borderId="0" xfId="1" applyNumberFormat="1" applyFont="1" applyFill="1" applyAlignment="1">
      <alignment vertical="center"/>
    </xf>
    <xf numFmtId="0" fontId="44" fillId="0" borderId="0" xfId="0" applyFont="1" applyAlignment="1">
      <alignment vertical="center"/>
    </xf>
    <xf numFmtId="1" fontId="11" fillId="28" borderId="0" xfId="0" applyNumberFormat="1" applyFont="1" applyFill="1" applyAlignment="1">
      <alignment horizontal="center"/>
    </xf>
    <xf numFmtId="165" fontId="0" fillId="0" borderId="0" xfId="0" applyNumberFormat="1" applyAlignment="1">
      <alignment horizontal="center"/>
    </xf>
    <xf numFmtId="0" fontId="0" fillId="29" borderId="17" xfId="0" applyFill="1" applyBorder="1" applyAlignment="1">
      <alignment horizontal="right"/>
    </xf>
    <xf numFmtId="0" fontId="0" fillId="29" borderId="18" xfId="0" applyFill="1" applyBorder="1" applyAlignment="1">
      <alignment horizontal="center"/>
    </xf>
    <xf numFmtId="0" fontId="0" fillId="29" borderId="19" xfId="0" applyFill="1" applyBorder="1" applyAlignment="1">
      <alignment horizontal="center"/>
    </xf>
    <xf numFmtId="0" fontId="0" fillId="0" borderId="20" xfId="0" applyBorder="1"/>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3" xfId="0" applyBorder="1"/>
    <xf numFmtId="165" fontId="0" fillId="0" borderId="24" xfId="0" applyNumberFormat="1" applyBorder="1" applyAlignment="1">
      <alignment horizontal="center"/>
    </xf>
    <xf numFmtId="165" fontId="0" fillId="0" borderId="25" xfId="0" applyNumberFormat="1" applyBorder="1" applyAlignment="1">
      <alignment horizontal="center"/>
    </xf>
    <xf numFmtId="0" fontId="45" fillId="0" borderId="0" xfId="0" applyFont="1"/>
    <xf numFmtId="165" fontId="0" fillId="4" borderId="0" xfId="0" applyNumberFormat="1" applyFill="1" applyAlignment="1">
      <alignment vertical="center"/>
    </xf>
    <xf numFmtId="0" fontId="2" fillId="0" borderId="0" xfId="0" applyFont="1" applyAlignment="1">
      <alignment horizontal="center"/>
    </xf>
    <xf numFmtId="0" fontId="0" fillId="0" borderId="4" xfId="0" applyBorder="1" applyAlignment="1">
      <alignment horizontal="center"/>
    </xf>
    <xf numFmtId="0" fontId="0" fillId="0" borderId="1" xfId="0" applyBorder="1" applyAlignment="1">
      <alignment horizontal="center"/>
    </xf>
    <xf numFmtId="0" fontId="0" fillId="0" borderId="0" xfId="0" applyAlignment="1">
      <alignment horizontal="center" wrapText="1"/>
    </xf>
    <xf numFmtId="0" fontId="2" fillId="0" borderId="20" xfId="0" applyFont="1" applyBorder="1"/>
    <xf numFmtId="0" fontId="2" fillId="0" borderId="21" xfId="0" applyFont="1" applyBorder="1" applyAlignment="1">
      <alignment horizontal="center"/>
    </xf>
    <xf numFmtId="0" fontId="0" fillId="0" borderId="21" xfId="0" applyBorder="1" applyAlignment="1">
      <alignment horizontal="center"/>
    </xf>
    <xf numFmtId="0" fontId="2" fillId="0" borderId="24" xfId="0" applyFont="1" applyBorder="1" applyAlignment="1">
      <alignment horizontal="center"/>
    </xf>
    <xf numFmtId="0" fontId="0" fillId="0" borderId="24" xfId="0" applyBorder="1" applyAlignment="1">
      <alignment horizontal="center"/>
    </xf>
    <xf numFmtId="0" fontId="0" fillId="29" borderId="17" xfId="0" applyFill="1" applyBorder="1"/>
    <xf numFmtId="0" fontId="2" fillId="29" borderId="18" xfId="0" applyFont="1" applyFill="1" applyBorder="1" applyAlignment="1">
      <alignment horizontal="center"/>
    </xf>
    <xf numFmtId="0" fontId="2" fillId="29" borderId="19" xfId="0" applyFont="1" applyFill="1" applyBorder="1" applyAlignment="1">
      <alignment horizontal="center"/>
    </xf>
    <xf numFmtId="165" fontId="46" fillId="0" borderId="21" xfId="0" applyNumberFormat="1" applyFont="1" applyBorder="1" applyAlignment="1">
      <alignment horizontal="center"/>
    </xf>
    <xf numFmtId="0" fontId="2" fillId="30" borderId="3" xfId="0" applyFont="1" applyFill="1" applyBorder="1"/>
    <xf numFmtId="0" fontId="2" fillId="30" borderId="0" xfId="0" applyFont="1" applyFill="1" applyAlignment="1">
      <alignment horizontal="center"/>
    </xf>
    <xf numFmtId="0" fontId="2" fillId="30" borderId="5" xfId="0" applyFont="1" applyFill="1" applyBorder="1"/>
    <xf numFmtId="0" fontId="2" fillId="30" borderId="1" xfId="0" applyFont="1" applyFill="1" applyBorder="1" applyAlignment="1">
      <alignment horizontal="center"/>
    </xf>
    <xf numFmtId="0" fontId="2" fillId="30" borderId="27" xfId="0" applyFont="1" applyFill="1" applyBorder="1" applyAlignment="1">
      <alignment horizontal="center"/>
    </xf>
    <xf numFmtId="0" fontId="2" fillId="30" borderId="28" xfId="0" applyFont="1" applyFill="1" applyBorder="1" applyAlignment="1">
      <alignment horizontal="center"/>
    </xf>
    <xf numFmtId="0" fontId="2" fillId="30" borderId="4" xfId="0" applyFont="1" applyFill="1" applyBorder="1" applyAlignment="1">
      <alignment horizontal="center"/>
    </xf>
    <xf numFmtId="0" fontId="0" fillId="30" borderId="26" xfId="0" applyFill="1" applyBorder="1"/>
    <xf numFmtId="0" fontId="0" fillId="30" borderId="27" xfId="0" applyFill="1" applyBorder="1"/>
    <xf numFmtId="0" fontId="0" fillId="30" borderId="3" xfId="0" applyFill="1" applyBorder="1"/>
    <xf numFmtId="0" fontId="0" fillId="30" borderId="0" xfId="0" applyFill="1" applyAlignment="1">
      <alignment horizontal="center"/>
    </xf>
    <xf numFmtId="0" fontId="4" fillId="0" borderId="0" xfId="0" applyFont="1" applyAlignment="1">
      <alignment horizontal="center"/>
    </xf>
    <xf numFmtId="2" fontId="4" fillId="0" borderId="0" xfId="0" applyNumberFormat="1" applyFont="1"/>
    <xf numFmtId="164" fontId="4" fillId="0" borderId="0" xfId="0" applyNumberFormat="1" applyFont="1"/>
    <xf numFmtId="164" fontId="4" fillId="0" borderId="0" xfId="0" applyNumberFormat="1" applyFont="1" applyAlignment="1">
      <alignment horizontal="center"/>
    </xf>
    <xf numFmtId="0" fontId="0" fillId="0" borderId="29" xfId="0" applyBorder="1"/>
    <xf numFmtId="164" fontId="0" fillId="0" borderId="30" xfId="0" applyNumberFormat="1" applyBorder="1" applyAlignment="1">
      <alignment horizontal="center"/>
    </xf>
    <xf numFmtId="0" fontId="0" fillId="0" borderId="30" xfId="0" applyBorder="1" applyAlignment="1">
      <alignment horizontal="center"/>
    </xf>
    <xf numFmtId="165" fontId="0" fillId="0" borderId="30" xfId="1" applyNumberFormat="1" applyFont="1" applyBorder="1" applyAlignment="1">
      <alignment horizontal="center"/>
    </xf>
    <xf numFmtId="9" fontId="0" fillId="0" borderId="31" xfId="2" applyFont="1" applyBorder="1" applyAlignment="1">
      <alignment horizontal="center"/>
    </xf>
    <xf numFmtId="0" fontId="2" fillId="0" borderId="29" xfId="0" applyFont="1" applyBorder="1"/>
    <xf numFmtId="0" fontId="2" fillId="0" borderId="32" xfId="0" applyFont="1" applyBorder="1"/>
    <xf numFmtId="0" fontId="0" fillId="0" borderId="33" xfId="0" applyBorder="1" applyAlignment="1">
      <alignment horizontal="center"/>
    </xf>
    <xf numFmtId="165" fontId="0" fillId="0" borderId="33" xfId="1" applyNumberFormat="1" applyFont="1" applyBorder="1" applyAlignment="1">
      <alignment horizontal="center"/>
    </xf>
    <xf numFmtId="9" fontId="0" fillId="0" borderId="34" xfId="2" applyFont="1" applyBorder="1" applyAlignment="1">
      <alignment horizontal="center"/>
    </xf>
    <xf numFmtId="0" fontId="0" fillId="31" borderId="17" xfId="0" applyFill="1" applyBorder="1" applyAlignment="1">
      <alignment wrapText="1"/>
    </xf>
    <xf numFmtId="0" fontId="0" fillId="31" borderId="18" xfId="0" applyFill="1" applyBorder="1" applyAlignment="1">
      <alignment horizontal="center" wrapText="1"/>
    </xf>
    <xf numFmtId="0" fontId="2" fillId="31" borderId="18" xfId="0" applyFont="1" applyFill="1" applyBorder="1" applyAlignment="1">
      <alignment horizontal="center" wrapText="1"/>
    </xf>
    <xf numFmtId="0" fontId="2" fillId="31" borderId="19" xfId="0" applyFont="1" applyFill="1" applyBorder="1" applyAlignment="1">
      <alignment horizontal="center" wrapText="1"/>
    </xf>
    <xf numFmtId="0" fontId="46" fillId="0" borderId="6" xfId="0" applyFont="1" applyBorder="1" applyAlignment="1">
      <alignment horizontal="center"/>
    </xf>
    <xf numFmtId="0" fontId="46" fillId="0" borderId="0" xfId="0" applyFont="1" applyAlignment="1">
      <alignment horizontal="center"/>
    </xf>
    <xf numFmtId="9" fontId="0" fillId="0" borderId="30" xfId="2" applyFont="1" applyBorder="1" applyAlignment="1">
      <alignment horizontal="center"/>
    </xf>
    <xf numFmtId="9" fontId="0" fillId="0" borderId="33" xfId="2" applyFont="1" applyBorder="1" applyAlignment="1">
      <alignment horizontal="center"/>
    </xf>
    <xf numFmtId="0" fontId="0" fillId="29" borderId="17" xfId="0" applyFill="1" applyBorder="1" applyAlignment="1">
      <alignment wrapText="1"/>
    </xf>
    <xf numFmtId="0" fontId="2" fillId="29" borderId="18" xfId="0" applyFont="1" applyFill="1" applyBorder="1" applyAlignment="1">
      <alignment horizontal="center" wrapText="1"/>
    </xf>
    <xf numFmtId="0" fontId="2" fillId="29" borderId="19" xfId="0" applyFont="1" applyFill="1" applyBorder="1" applyAlignment="1">
      <alignment horizontal="center" wrapText="1"/>
    </xf>
    <xf numFmtId="0" fontId="0" fillId="0" borderId="35" xfId="0" applyBorder="1" applyAlignment="1">
      <alignment horizontal="center"/>
    </xf>
    <xf numFmtId="0" fontId="0" fillId="0" borderId="36" xfId="0" applyBorder="1" applyAlignment="1">
      <alignment horizontal="center"/>
    </xf>
    <xf numFmtId="164" fontId="0" fillId="0" borderId="33" xfId="0" applyNumberFormat="1" applyBorder="1" applyAlignment="1">
      <alignment horizontal="center"/>
    </xf>
    <xf numFmtId="169" fontId="3" fillId="0" borderId="0" xfId="0" applyNumberFormat="1" applyFont="1"/>
    <xf numFmtId="0" fontId="0" fillId="31" borderId="37" xfId="0" applyFill="1" applyBorder="1" applyAlignment="1">
      <alignment wrapText="1"/>
    </xf>
    <xf numFmtId="0" fontId="2" fillId="31" borderId="7" xfId="0" applyFont="1" applyFill="1" applyBorder="1" applyAlignment="1">
      <alignment horizontal="center" wrapText="1"/>
    </xf>
    <xf numFmtId="0" fontId="0" fillId="31" borderId="7" xfId="0" applyFill="1" applyBorder="1" applyAlignment="1">
      <alignment horizontal="center" wrapText="1"/>
    </xf>
    <xf numFmtId="0" fontId="2" fillId="31" borderId="38" xfId="0" applyFont="1" applyFill="1" applyBorder="1" applyAlignment="1">
      <alignment horizontal="center" wrapText="1"/>
    </xf>
    <xf numFmtId="0" fontId="2" fillId="29" borderId="17" xfId="0" applyFont="1" applyFill="1" applyBorder="1" applyAlignment="1">
      <alignment horizontal="right"/>
    </xf>
    <xf numFmtId="0" fontId="2" fillId="29" borderId="18" xfId="0" quotePrefix="1" applyFont="1" applyFill="1" applyBorder="1" applyAlignment="1">
      <alignment horizontal="center"/>
    </xf>
    <xf numFmtId="0" fontId="4" fillId="0" borderId="0" xfId="0" applyFont="1" applyAlignment="1">
      <alignment vertical="center"/>
    </xf>
    <xf numFmtId="0" fontId="2" fillId="0" borderId="0" xfId="0" applyFont="1" applyAlignment="1">
      <alignment wrapText="1"/>
    </xf>
    <xf numFmtId="0" fontId="2" fillId="0" borderId="39" xfId="0" applyFont="1" applyBorder="1" applyAlignment="1">
      <alignment wrapText="1"/>
    </xf>
    <xf numFmtId="168" fontId="0" fillId="0" borderId="40" xfId="1" applyNumberFormat="1" applyFont="1" applyBorder="1" applyAlignment="1">
      <alignment horizontal="center" vertical="center" wrapText="1"/>
    </xf>
    <xf numFmtId="168" fontId="0" fillId="0" borderId="41" xfId="1" applyNumberFormat="1" applyFont="1" applyBorder="1" applyAlignment="1">
      <alignment horizontal="center" vertical="center" wrapText="1"/>
    </xf>
    <xf numFmtId="0" fontId="2" fillId="0" borderId="42" xfId="0" applyFont="1" applyBorder="1" applyAlignment="1">
      <alignment wrapText="1"/>
    </xf>
    <xf numFmtId="0" fontId="0" fillId="0" borderId="2" xfId="0" applyBorder="1" applyAlignment="1">
      <alignment horizontal="center" wrapText="1"/>
    </xf>
    <xf numFmtId="0" fontId="45" fillId="0" borderId="2" xfId="0" applyFont="1" applyBorder="1"/>
    <xf numFmtId="0" fontId="0" fillId="0" borderId="43" xfId="0" applyBorder="1" applyAlignment="1">
      <alignment horizontal="center"/>
    </xf>
    <xf numFmtId="0" fontId="2" fillId="0" borderId="44" xfId="0" applyFont="1" applyBorder="1"/>
    <xf numFmtId="0" fontId="4" fillId="34" borderId="45" xfId="0" applyFont="1" applyFill="1" applyBorder="1" applyAlignment="1">
      <alignment horizontal="center" vertical="center" wrapText="1"/>
    </xf>
    <xf numFmtId="0" fontId="4" fillId="32" borderId="45" xfId="0" applyFont="1" applyFill="1" applyBorder="1" applyAlignment="1">
      <alignment horizontal="center" vertical="center" wrapText="1"/>
    </xf>
    <xf numFmtId="0" fontId="4" fillId="28" borderId="45" xfId="0" applyFont="1" applyFill="1" applyBorder="1" applyAlignment="1">
      <alignment horizontal="center" vertical="center" wrapText="1"/>
    </xf>
    <xf numFmtId="0" fontId="4" fillId="33" borderId="45" xfId="0" applyFont="1" applyFill="1" applyBorder="1" applyAlignment="1">
      <alignment horizontal="center" vertical="center" wrapText="1"/>
    </xf>
    <xf numFmtId="0" fontId="4" fillId="28" borderId="46" xfId="0" applyFont="1" applyFill="1" applyBorder="1" applyAlignment="1">
      <alignment horizontal="center" vertical="center" wrapText="1"/>
    </xf>
    <xf numFmtId="0" fontId="0" fillId="0" borderId="43" xfId="0" applyBorder="1" applyAlignment="1">
      <alignment horizontal="center" wrapText="1"/>
    </xf>
    <xf numFmtId="0" fontId="4" fillId="33" borderId="46" xfId="0" applyFont="1" applyFill="1" applyBorder="1" applyAlignment="1">
      <alignment horizontal="center" vertical="center" wrapText="1"/>
    </xf>
    <xf numFmtId="0" fontId="2" fillId="0" borderId="0" xfId="0" applyFont="1" applyAlignment="1">
      <alignment horizontal="left" indent="1"/>
    </xf>
    <xf numFmtId="2"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0" borderId="0" xfId="0" applyFont="1" applyAlignment="1">
      <alignment horizontal="center" wrapText="1"/>
    </xf>
    <xf numFmtId="0" fontId="2" fillId="0" borderId="0" xfId="0" applyFont="1" applyAlignment="1">
      <alignment horizontal="left" indent="2"/>
    </xf>
    <xf numFmtId="2" fontId="2" fillId="0" borderId="0" xfId="0" applyNumberFormat="1" applyFont="1" applyAlignment="1">
      <alignment horizontal="center"/>
    </xf>
    <xf numFmtId="165" fontId="0" fillId="0" borderId="0" xfId="0" applyNumberFormat="1" applyAlignment="1">
      <alignment wrapText="1"/>
    </xf>
    <xf numFmtId="0" fontId="48" fillId="0" borderId="0" xfId="0" applyFont="1"/>
    <xf numFmtId="2" fontId="0" fillId="0" borderId="30" xfId="0" applyNumberFormat="1" applyBorder="1" applyAlignment="1">
      <alignment horizontal="center"/>
    </xf>
    <xf numFmtId="170" fontId="0" fillId="3" borderId="0" xfId="0" applyNumberFormat="1" applyFill="1" applyAlignment="1">
      <alignment vertical="center"/>
    </xf>
    <xf numFmtId="9" fontId="0" fillId="0" borderId="0" xfId="2" applyFont="1" applyAlignment="1">
      <alignment horizontal="center"/>
    </xf>
    <xf numFmtId="165" fontId="0" fillId="0" borderId="0" xfId="1" applyNumberFormat="1" applyFont="1" applyAlignment="1">
      <alignment horizontal="center"/>
    </xf>
    <xf numFmtId="0" fontId="0" fillId="39" borderId="0" xfId="0" applyFill="1" applyAlignment="1">
      <alignment horizontal="center"/>
    </xf>
    <xf numFmtId="0" fontId="2" fillId="39" borderId="0" xfId="0" applyFont="1" applyFill="1" applyAlignment="1">
      <alignment horizontal="center"/>
    </xf>
    <xf numFmtId="0" fontId="2" fillId="39" borderId="0" xfId="0" applyFont="1" applyFill="1" applyAlignment="1">
      <alignment horizontal="center" wrapText="1"/>
    </xf>
    <xf numFmtId="1" fontId="0" fillId="39" borderId="0" xfId="0" applyNumberFormat="1" applyFill="1" applyAlignment="1">
      <alignment horizontal="center"/>
    </xf>
    <xf numFmtId="2" fontId="0" fillId="39" borderId="0" xfId="0" applyNumberFormat="1" applyFill="1" applyAlignment="1">
      <alignment horizontal="center"/>
    </xf>
    <xf numFmtId="0" fontId="49" fillId="0" borderId="0" xfId="0" applyFont="1"/>
    <xf numFmtId="0" fontId="50" fillId="0" borderId="0" xfId="0" applyFont="1"/>
    <xf numFmtId="0" fontId="52" fillId="40" borderId="0" xfId="0" applyFont="1" applyFill="1" applyAlignment="1">
      <alignment horizontal="center"/>
    </xf>
    <xf numFmtId="0" fontId="51" fillId="0" borderId="0" xfId="0" applyFont="1" applyAlignment="1">
      <alignment horizontal="center"/>
    </xf>
    <xf numFmtId="0" fontId="50" fillId="41" borderId="47" xfId="0" applyFont="1" applyFill="1" applyBorder="1"/>
    <xf numFmtId="0" fontId="50" fillId="41" borderId="48" xfId="0" applyFont="1" applyFill="1" applyBorder="1" applyAlignment="1">
      <alignment horizontal="center"/>
    </xf>
    <xf numFmtId="0" fontId="0" fillId="0" borderId="50" xfId="0" applyBorder="1"/>
    <xf numFmtId="0" fontId="0" fillId="0" borderId="51" xfId="0" applyBorder="1"/>
    <xf numFmtId="0" fontId="0" fillId="0" borderId="52" xfId="0" applyBorder="1"/>
    <xf numFmtId="0" fontId="50" fillId="0" borderId="53" xfId="0" applyFont="1" applyBorder="1"/>
    <xf numFmtId="0" fontId="0" fillId="0" borderId="54" xfId="0" applyBorder="1"/>
    <xf numFmtId="0" fontId="50" fillId="0" borderId="42" xfId="0" applyFont="1" applyBorder="1"/>
    <xf numFmtId="0" fontId="0" fillId="0" borderId="2" xfId="0" applyBorder="1"/>
    <xf numFmtId="0" fontId="50" fillId="0" borderId="2" xfId="0" applyFont="1" applyBorder="1" applyAlignment="1">
      <alignment horizontal="center" wrapText="1"/>
    </xf>
    <xf numFmtId="0" fontId="50" fillId="0" borderId="43" xfId="0" applyFont="1" applyBorder="1" applyAlignment="1">
      <alignment horizontal="center" wrapText="1"/>
    </xf>
    <xf numFmtId="0" fontId="50" fillId="0" borderId="42" xfId="0" applyFont="1" applyBorder="1" applyAlignment="1">
      <alignment horizontal="left" indent="1"/>
    </xf>
    <xf numFmtId="0" fontId="50" fillId="0" borderId="56" xfId="0" applyFont="1" applyBorder="1"/>
    <xf numFmtId="0" fontId="0" fillId="0" borderId="57" xfId="0" applyBorder="1"/>
    <xf numFmtId="0" fontId="50" fillId="0" borderId="57" xfId="0" applyFont="1" applyBorder="1" applyAlignment="1">
      <alignment horizontal="center" wrapText="1"/>
    </xf>
    <xf numFmtId="0" fontId="50" fillId="0" borderId="58" xfId="0" applyFont="1" applyBorder="1" applyAlignment="1">
      <alignment horizontal="center" wrapText="1"/>
    </xf>
    <xf numFmtId="0" fontId="2" fillId="0" borderId="48" xfId="0" applyFont="1" applyBorder="1" applyAlignment="1">
      <alignment horizontal="center"/>
    </xf>
    <xf numFmtId="0" fontId="50" fillId="42" borderId="48" xfId="0" applyFont="1" applyFill="1" applyBorder="1" applyAlignment="1">
      <alignment horizontal="center" wrapText="1"/>
    </xf>
    <xf numFmtId="0" fontId="50" fillId="42" borderId="54" xfId="0" applyFont="1" applyFill="1" applyBorder="1" applyAlignment="1">
      <alignment horizontal="center" wrapText="1"/>
    </xf>
    <xf numFmtId="0" fontId="0" fillId="0" borderId="59" xfId="0" applyBorder="1"/>
    <xf numFmtId="0" fontId="0" fillId="0" borderId="60" xfId="0" applyBorder="1"/>
    <xf numFmtId="0" fontId="50" fillId="0" borderId="60" xfId="0" applyFont="1" applyBorder="1" applyAlignment="1">
      <alignment horizontal="right"/>
    </xf>
    <xf numFmtId="0" fontId="2" fillId="0" borderId="60" xfId="0" applyFont="1" applyBorder="1"/>
    <xf numFmtId="1" fontId="50" fillId="0" borderId="60" xfId="0" applyNumberFormat="1" applyFont="1" applyBorder="1" applyAlignment="1">
      <alignment horizontal="center" wrapText="1"/>
    </xf>
    <xf numFmtId="1" fontId="50" fillId="0" borderId="61" xfId="0" applyNumberFormat="1" applyFont="1" applyBorder="1" applyAlignment="1">
      <alignment horizontal="center" wrapText="1"/>
    </xf>
    <xf numFmtId="0" fontId="50" fillId="38" borderId="48" xfId="0" applyFont="1" applyFill="1" applyBorder="1" applyAlignment="1">
      <alignment horizontal="center" wrapText="1"/>
    </xf>
    <xf numFmtId="0" fontId="50" fillId="38" borderId="49" xfId="0" applyFont="1" applyFill="1" applyBorder="1" applyAlignment="1">
      <alignment horizontal="center" wrapText="1"/>
    </xf>
    <xf numFmtId="0" fontId="50" fillId="38" borderId="54" xfId="0" applyFont="1" applyFill="1" applyBorder="1" applyAlignment="1">
      <alignment horizontal="center" wrapText="1"/>
    </xf>
    <xf numFmtId="0" fontId="50" fillId="38" borderId="55" xfId="0" applyFont="1" applyFill="1" applyBorder="1" applyAlignment="1">
      <alignment horizontal="center" wrapText="1"/>
    </xf>
    <xf numFmtId="0" fontId="50" fillId="32" borderId="54" xfId="0" applyFont="1" applyFill="1" applyBorder="1" applyAlignment="1">
      <alignment horizontal="center"/>
    </xf>
    <xf numFmtId="0" fontId="50" fillId="32" borderId="2" xfId="0" applyFont="1" applyFill="1" applyBorder="1" applyAlignment="1">
      <alignment horizontal="center"/>
    </xf>
    <xf numFmtId="0" fontId="50" fillId="32" borderId="2" xfId="0" applyFont="1" applyFill="1" applyBorder="1" applyAlignment="1">
      <alignment horizontal="center" wrapText="1"/>
    </xf>
    <xf numFmtId="1" fontId="50" fillId="32" borderId="2" xfId="0" applyNumberFormat="1" applyFont="1" applyFill="1" applyBorder="1" applyAlignment="1">
      <alignment horizontal="center"/>
    </xf>
    <xf numFmtId="2" fontId="50" fillId="32" borderId="57" xfId="0" applyNumberFormat="1" applyFont="1" applyFill="1" applyBorder="1" applyAlignment="1">
      <alignment horizontal="center"/>
    </xf>
    <xf numFmtId="0" fontId="53" fillId="35" borderId="0" xfId="0" applyFont="1" applyFill="1"/>
    <xf numFmtId="0" fontId="4" fillId="34" borderId="0" xfId="0" applyFont="1" applyFill="1" applyAlignment="1">
      <alignment horizontal="center" vertical="center" wrapText="1"/>
    </xf>
    <xf numFmtId="0" fontId="4" fillId="28" borderId="0" xfId="0" applyFont="1" applyFill="1" applyAlignment="1">
      <alignment horizontal="center" vertical="center" wrapText="1"/>
    </xf>
    <xf numFmtId="0" fontId="4" fillId="33" borderId="0" xfId="0" applyFont="1" applyFill="1" applyAlignment="1">
      <alignment horizontal="center" vertical="center" wrapText="1"/>
    </xf>
    <xf numFmtId="0" fontId="4" fillId="32" borderId="0" xfId="0" applyFont="1" applyFill="1" applyAlignment="1">
      <alignment horizontal="center" vertical="center" wrapText="1"/>
    </xf>
    <xf numFmtId="0" fontId="4" fillId="32" borderId="46" xfId="0" applyFont="1" applyFill="1" applyBorder="1" applyAlignment="1">
      <alignment horizontal="center" vertical="center" wrapText="1"/>
    </xf>
    <xf numFmtId="0" fontId="2" fillId="0" borderId="0" xfId="0" applyFont="1" applyAlignment="1">
      <alignment horizontal="left"/>
    </xf>
    <xf numFmtId="0" fontId="46" fillId="0" borderId="0" xfId="0" applyFont="1" applyAlignment="1">
      <alignment horizontal="left"/>
    </xf>
    <xf numFmtId="0" fontId="2" fillId="0" borderId="0" xfId="0" applyFont="1" applyAlignment="1">
      <alignment horizontal="right"/>
    </xf>
    <xf numFmtId="0" fontId="50" fillId="0" borderId="54" xfId="0" applyFont="1" applyBorder="1" applyAlignment="1">
      <alignment horizontal="center"/>
    </xf>
    <xf numFmtId="0" fontId="50" fillId="0" borderId="2" xfId="0" applyFont="1" applyBorder="1" applyAlignment="1">
      <alignment horizontal="center"/>
    </xf>
    <xf numFmtId="0" fontId="55" fillId="0" borderId="0" xfId="0" applyFont="1"/>
    <xf numFmtId="0" fontId="56" fillId="0" borderId="0" xfId="0" applyFont="1"/>
    <xf numFmtId="0" fontId="46" fillId="0" borderId="0" xfId="0" applyFont="1"/>
    <xf numFmtId="2" fontId="45" fillId="0" borderId="0" xfId="0" applyNumberFormat="1" applyFont="1" applyAlignment="1">
      <alignment horizontal="center"/>
    </xf>
    <xf numFmtId="0" fontId="4" fillId="0" borderId="0" xfId="0" applyFont="1" applyAlignment="1">
      <alignment horizontal="left"/>
    </xf>
    <xf numFmtId="0" fontId="0" fillId="43" borderId="0" xfId="0" applyFill="1" applyAlignment="1">
      <alignment horizontal="center"/>
    </xf>
    <xf numFmtId="0" fontId="0" fillId="0" borderId="47" xfId="0" applyBorder="1"/>
    <xf numFmtId="0" fontId="0" fillId="0" borderId="48" xfId="0" applyBorder="1" applyAlignment="1">
      <alignment horizontal="center"/>
    </xf>
    <xf numFmtId="0" fontId="0" fillId="0" borderId="49" xfId="0" applyBorder="1" applyAlignment="1">
      <alignment horizontal="center"/>
    </xf>
    <xf numFmtId="0" fontId="0" fillId="0" borderId="62" xfId="0" applyBorder="1"/>
    <xf numFmtId="0" fontId="0" fillId="0" borderId="63" xfId="0" applyBorder="1" applyAlignment="1">
      <alignment horizontal="center"/>
    </xf>
    <xf numFmtId="0" fontId="2" fillId="0" borderId="62" xfId="0" applyFont="1" applyBorder="1"/>
    <xf numFmtId="2" fontId="0" fillId="0" borderId="0" xfId="0" applyNumberFormat="1"/>
    <xf numFmtId="2" fontId="0" fillId="0" borderId="63" xfId="0" applyNumberFormat="1" applyBorder="1"/>
    <xf numFmtId="164" fontId="0" fillId="0" borderId="63" xfId="0" applyNumberFormat="1" applyBorder="1" applyAlignment="1">
      <alignment horizontal="center"/>
    </xf>
    <xf numFmtId="0" fontId="0" fillId="0" borderId="63" xfId="0" applyBorder="1"/>
    <xf numFmtId="0" fontId="4" fillId="0" borderId="62" xfId="0" applyFont="1" applyBorder="1" applyAlignment="1">
      <alignment horizontal="center"/>
    </xf>
    <xf numFmtId="0" fontId="0" fillId="0" borderId="62" xfId="0" applyBorder="1" applyAlignment="1">
      <alignment horizontal="center"/>
    </xf>
    <xf numFmtId="0" fontId="2" fillId="0" borderId="62" xfId="0" applyFont="1" applyBorder="1" applyAlignment="1">
      <alignment horizontal="center"/>
    </xf>
    <xf numFmtId="1" fontId="0" fillId="35" borderId="0" xfId="0" applyNumberFormat="1" applyFill="1" applyAlignment="1">
      <alignment horizontal="center"/>
    </xf>
    <xf numFmtId="1" fontId="0" fillId="36" borderId="0" xfId="0" applyNumberFormat="1" applyFill="1" applyAlignment="1">
      <alignment horizontal="center"/>
    </xf>
    <xf numFmtId="1" fontId="0" fillId="32" borderId="0" xfId="0" applyNumberFormat="1" applyFill="1" applyAlignment="1">
      <alignment horizontal="center"/>
    </xf>
    <xf numFmtId="1" fontId="0" fillId="38" borderId="0" xfId="0" applyNumberFormat="1" applyFill="1" applyAlignment="1">
      <alignment horizontal="center"/>
    </xf>
    <xf numFmtId="1" fontId="0" fillId="37" borderId="63" xfId="0" applyNumberFormat="1" applyFill="1" applyBorder="1" applyAlignment="1">
      <alignment horizontal="center"/>
    </xf>
    <xf numFmtId="0" fontId="0" fillId="0" borderId="50" xfId="0" applyBorder="1" applyAlignment="1">
      <alignment horizontal="center"/>
    </xf>
    <xf numFmtId="1" fontId="0" fillId="0" borderId="51" xfId="0" applyNumberFormat="1" applyBorder="1" applyAlignment="1">
      <alignment horizontal="center"/>
    </xf>
    <xf numFmtId="1" fontId="0" fillId="35" borderId="51" xfId="0" applyNumberFormat="1" applyFill="1" applyBorder="1" applyAlignment="1">
      <alignment horizontal="center"/>
    </xf>
    <xf numFmtId="1" fontId="0" fillId="36" borderId="51" xfId="0" applyNumberFormat="1" applyFill="1" applyBorder="1" applyAlignment="1">
      <alignment horizontal="center"/>
    </xf>
    <xf numFmtId="1" fontId="0" fillId="32" borderId="51" xfId="0" applyNumberFormat="1" applyFill="1" applyBorder="1" applyAlignment="1">
      <alignment horizontal="center"/>
    </xf>
    <xf numFmtId="1" fontId="0" fillId="38" borderId="51" xfId="0" applyNumberFormat="1" applyFill="1" applyBorder="1" applyAlignment="1">
      <alignment horizontal="center"/>
    </xf>
    <xf numFmtId="1" fontId="0" fillId="37" borderId="52" xfId="0" applyNumberFormat="1" applyFill="1" applyBorder="1" applyAlignment="1">
      <alignment horizontal="center"/>
    </xf>
    <xf numFmtId="0" fontId="2" fillId="43" borderId="0" xfId="0" applyFont="1" applyFill="1"/>
    <xf numFmtId="0" fontId="56" fillId="0" borderId="62" xfId="0" applyFont="1" applyBorder="1"/>
    <xf numFmtId="0" fontId="50" fillId="0" borderId="44" xfId="0" applyFont="1" applyBorder="1"/>
    <xf numFmtId="0" fontId="50" fillId="32" borderId="45" xfId="0" applyFont="1" applyFill="1" applyBorder="1" applyAlignment="1">
      <alignment horizontal="center" wrapText="1"/>
    </xf>
    <xf numFmtId="0" fontId="0" fillId="0" borderId="45" xfId="0" applyBorder="1"/>
    <xf numFmtId="0" fontId="50" fillId="0" borderId="45" xfId="0" applyFont="1" applyBorder="1" applyAlignment="1">
      <alignment horizontal="center" wrapText="1"/>
    </xf>
    <xf numFmtId="0" fontId="50" fillId="0" borderId="46" xfId="0" applyFont="1" applyBorder="1" applyAlignment="1">
      <alignment horizontal="center" wrapText="1"/>
    </xf>
    <xf numFmtId="0" fontId="50" fillId="0" borderId="39" xfId="0" applyFont="1" applyBorder="1"/>
    <xf numFmtId="0" fontId="50" fillId="32" borderId="40" xfId="0" applyFont="1" applyFill="1" applyBorder="1" applyAlignment="1">
      <alignment horizontal="center" wrapText="1"/>
    </xf>
    <xf numFmtId="0" fontId="0" fillId="0" borderId="40" xfId="0" applyBorder="1"/>
    <xf numFmtId="0" fontId="50" fillId="0" borderId="40" xfId="0" applyFont="1" applyBorder="1" applyAlignment="1">
      <alignment horizontal="center" wrapText="1"/>
    </xf>
    <xf numFmtId="0" fontId="50" fillId="0" borderId="41" xfId="0" applyFont="1" applyBorder="1" applyAlignment="1">
      <alignment horizontal="center" wrapText="1"/>
    </xf>
    <xf numFmtId="0" fontId="0" fillId="0" borderId="64" xfId="0" applyBorder="1"/>
    <xf numFmtId="0" fontId="0" fillId="0" borderId="65" xfId="0" applyBorder="1"/>
    <xf numFmtId="0" fontId="50" fillId="0" borderId="65" xfId="0" applyFont="1" applyBorder="1" applyAlignment="1">
      <alignment horizontal="right"/>
    </xf>
    <xf numFmtId="0" fontId="2" fillId="0" borderId="65" xfId="0" applyFont="1" applyBorder="1"/>
    <xf numFmtId="0" fontId="50" fillId="0" borderId="65" xfId="0" applyFont="1" applyBorder="1" applyAlignment="1">
      <alignment horizontal="center" wrapText="1"/>
    </xf>
    <xf numFmtId="0" fontId="50" fillId="0" borderId="66" xfId="0" applyFont="1" applyBorder="1" applyAlignment="1">
      <alignment horizontal="center" wrapText="1"/>
    </xf>
    <xf numFmtId="165" fontId="3" fillId="0" borderId="0" xfId="0" applyNumberFormat="1" applyFont="1" applyAlignment="1">
      <alignment wrapText="1"/>
    </xf>
    <xf numFmtId="168" fontId="48" fillId="0" borderId="40" xfId="1" applyNumberFormat="1" applyFont="1" applyBorder="1" applyAlignment="1">
      <alignment horizontal="center" vertical="center" wrapText="1"/>
    </xf>
    <xf numFmtId="168" fontId="48" fillId="0" borderId="41" xfId="1" applyNumberFormat="1" applyFont="1" applyBorder="1" applyAlignment="1">
      <alignment horizontal="center" vertical="center" wrapText="1"/>
    </xf>
    <xf numFmtId="0" fontId="4" fillId="44" borderId="0" xfId="0" applyFont="1" applyFill="1"/>
    <xf numFmtId="0" fontId="1" fillId="0" borderId="0" xfId="45"/>
    <xf numFmtId="0" fontId="2" fillId="0" borderId="0" xfId="3"/>
    <xf numFmtId="0" fontId="2" fillId="0" borderId="67" xfId="3" applyBorder="1"/>
    <xf numFmtId="0" fontId="2" fillId="0" borderId="68" xfId="3" applyBorder="1"/>
    <xf numFmtId="0" fontId="2" fillId="0" borderId="69" xfId="3" applyBorder="1"/>
    <xf numFmtId="0" fontId="2" fillId="0" borderId="70" xfId="3" applyBorder="1"/>
    <xf numFmtId="0" fontId="2" fillId="0" borderId="71" xfId="3" applyBorder="1"/>
    <xf numFmtId="0" fontId="2" fillId="0" borderId="72" xfId="3" applyBorder="1"/>
    <xf numFmtId="0" fontId="2" fillId="0" borderId="73" xfId="3" applyBorder="1"/>
    <xf numFmtId="0" fontId="2" fillId="0" borderId="74" xfId="3" applyBorder="1"/>
    <xf numFmtId="0" fontId="4" fillId="0" borderId="0" xfId="3" applyFont="1"/>
    <xf numFmtId="0" fontId="2" fillId="0" borderId="0" xfId="3" applyAlignment="1">
      <alignment horizontal="left" vertical="top" wrapText="1"/>
    </xf>
    <xf numFmtId="0" fontId="2" fillId="0" borderId="0" xfId="3" applyAlignment="1">
      <alignment vertical="top" wrapText="1"/>
    </xf>
    <xf numFmtId="14" fontId="2" fillId="0" borderId="0" xfId="3" quotePrefix="1" applyNumberFormat="1"/>
    <xf numFmtId="0" fontId="48" fillId="0" borderId="0" xfId="3" applyFont="1"/>
    <xf numFmtId="0" fontId="2" fillId="0" borderId="0" xfId="3" applyAlignment="1">
      <alignment wrapText="1"/>
    </xf>
    <xf numFmtId="0" fontId="2" fillId="0" borderId="0" xfId="3" applyAlignment="1">
      <alignment wrapText="1"/>
    </xf>
    <xf numFmtId="0" fontId="2" fillId="0" borderId="0" xfId="3" applyAlignment="1">
      <alignment vertical="top" wrapText="1"/>
    </xf>
    <xf numFmtId="0" fontId="2" fillId="0" borderId="0" xfId="3"/>
    <xf numFmtId="0" fontId="2" fillId="0" borderId="0" xfId="3" applyAlignment="1">
      <alignment horizontal="left" vertical="top" wrapText="1"/>
    </xf>
    <xf numFmtId="0" fontId="58" fillId="0" borderId="0" xfId="3" applyFont="1" applyAlignment="1">
      <alignment horizontal="center"/>
    </xf>
    <xf numFmtId="0" fontId="59" fillId="0" borderId="70" xfId="3" applyFont="1" applyBorder="1" applyAlignment="1">
      <alignment horizontal="center" wrapText="1"/>
    </xf>
    <xf numFmtId="0" fontId="59" fillId="0" borderId="0" xfId="3" applyFont="1" applyAlignment="1">
      <alignment wrapText="1"/>
    </xf>
    <xf numFmtId="0" fontId="59" fillId="0" borderId="71" xfId="3" applyFont="1" applyBorder="1" applyAlignment="1">
      <alignment wrapText="1"/>
    </xf>
    <xf numFmtId="0" fontId="2" fillId="0" borderId="0" xfId="3" applyAlignment="1">
      <alignment horizontal="center" wrapText="1"/>
    </xf>
    <xf numFmtId="0" fontId="10" fillId="2" borderId="0" xfId="0" applyFont="1" applyFill="1" applyAlignment="1">
      <alignment horizontal="center"/>
    </xf>
    <xf numFmtId="0" fontId="12" fillId="2" borderId="0" xfId="0" applyFont="1" applyFill="1" applyAlignment="1">
      <alignment horizontal="center"/>
    </xf>
    <xf numFmtId="0" fontId="8" fillId="2" borderId="0" xfId="0" applyFont="1" applyFill="1" applyAlignment="1">
      <alignment horizontal="center"/>
    </xf>
    <xf numFmtId="0" fontId="21" fillId="3" borderId="0" xfId="0" applyFont="1" applyFill="1" applyAlignment="1">
      <alignment horizontal="center"/>
    </xf>
  </cellXfs>
  <cellStyles count="46">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Explanatory Text 2" xfId="31" xr:uid="{00000000-0005-0000-0000-00001C000000}"/>
    <cellStyle name="Good 2" xfId="32" xr:uid="{00000000-0005-0000-0000-00001D000000}"/>
    <cellStyle name="Heading 1 2" xfId="33" xr:uid="{00000000-0005-0000-0000-00001E000000}"/>
    <cellStyle name="Heading 2 2" xfId="34" xr:uid="{00000000-0005-0000-0000-00001F000000}"/>
    <cellStyle name="Heading 3 2" xfId="35" xr:uid="{00000000-0005-0000-0000-000020000000}"/>
    <cellStyle name="Heading 4 2" xfId="36" xr:uid="{00000000-0005-0000-0000-000021000000}"/>
    <cellStyle name="Input 2" xfId="37" xr:uid="{00000000-0005-0000-0000-000022000000}"/>
    <cellStyle name="Linked Cell 2" xfId="38" xr:uid="{00000000-0005-0000-0000-000023000000}"/>
    <cellStyle name="Neutral 2" xfId="39" xr:uid="{00000000-0005-0000-0000-000024000000}"/>
    <cellStyle name="Normal" xfId="0" builtinId="0"/>
    <cellStyle name="Normal 2" xfId="3" xr:uid="{00000000-0005-0000-0000-000026000000}"/>
    <cellStyle name="Normal 3" xfId="45" xr:uid="{1D5CAFDC-F360-4266-BE91-13C547DC8678}"/>
    <cellStyle name="Note 2" xfId="40" xr:uid="{00000000-0005-0000-0000-000028000000}"/>
    <cellStyle name="Output 2" xfId="41" xr:uid="{00000000-0005-0000-0000-000029000000}"/>
    <cellStyle name="Percent" xfId="2" builtinId="5"/>
    <cellStyle name="Title 2" xfId="42" xr:uid="{00000000-0005-0000-0000-00002B000000}"/>
    <cellStyle name="Total 2" xfId="43" xr:uid="{00000000-0005-0000-0000-00002C000000}"/>
    <cellStyle name="Warning Text 2" xfId="44" xr:uid="{00000000-0005-0000-0000-00002D000000}"/>
  </cellStyles>
  <dxfs count="57">
    <dxf>
      <font>
        <color theme="3" tint="-0.24994659260841701"/>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3" tint="-0.24994659260841701"/>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tint="-0.24994659260841701"/>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3" tint="-0.24994659260841701"/>
      </font>
      <fill>
        <patternFill>
          <bgColor theme="3" tint="0.79998168889431442"/>
        </patternFill>
      </fill>
    </dxf>
    <dxf>
      <font>
        <color theme="3" tint="-0.24994659260841701"/>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tint="-0.24994659260841701"/>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3" tint="-0.24994659260841701"/>
      </font>
      <fill>
        <patternFill>
          <bgColor theme="3" tint="0.79998168889431442"/>
        </patternFill>
      </fill>
    </dxf>
    <dxf>
      <font>
        <color rgb="FF9C5700"/>
      </font>
      <fill>
        <patternFill>
          <bgColor rgb="FFFFEB9C"/>
        </patternFill>
      </fill>
    </dxf>
    <dxf>
      <font>
        <color theme="3" tint="-0.24994659260841701"/>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3" tint="-0.24994659260841701"/>
      </font>
      <fill>
        <patternFill>
          <bgColor theme="3" tint="0.79998168889431442"/>
        </patternFill>
      </fill>
    </dxf>
    <dxf>
      <font>
        <color theme="3" tint="-0.24994659260841701"/>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3" tint="-0.24994659260841701"/>
      </font>
      <fill>
        <patternFill>
          <bgColor theme="3" tint="0.7999816888943144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3" tint="-0.24994659260841701"/>
      </font>
      <fill>
        <patternFill>
          <bgColor theme="3" tint="0.79998168889431442"/>
        </patternFill>
      </fill>
    </dxf>
    <dxf>
      <font>
        <color rgb="FF006100"/>
      </font>
      <fill>
        <patternFill>
          <bgColor rgb="FFC6EFCE"/>
        </patternFill>
      </fill>
    </dxf>
    <dxf>
      <font>
        <color rgb="FF9C5700"/>
      </font>
      <fill>
        <patternFill>
          <bgColor rgb="FFFFEB9C"/>
        </patternFill>
      </fill>
    </dxf>
    <dxf>
      <font>
        <b/>
        <i val="0"/>
        <color theme="0"/>
      </font>
      <fill>
        <patternFill>
          <bgColor rgb="FFFF0000"/>
        </patternFill>
      </fill>
    </dxf>
    <dxf>
      <font>
        <color rgb="FF9C0006"/>
      </font>
      <fill>
        <patternFill>
          <bgColor rgb="FFFFC7CE"/>
        </patternFill>
      </fill>
    </dxf>
    <dxf>
      <font>
        <color theme="1" tint="4.9989318521683403E-2"/>
      </font>
      <fill>
        <patternFill>
          <bgColor rgb="FFFFE181"/>
        </patternFill>
      </fill>
    </dxf>
    <dxf>
      <font>
        <color rgb="FF006100"/>
      </font>
      <fill>
        <patternFill>
          <bgColor rgb="FFC6EFCE"/>
        </patternFill>
      </fill>
    </dxf>
    <dxf>
      <font>
        <b/>
        <i val="0"/>
        <color theme="0"/>
      </font>
      <fill>
        <patternFill>
          <bgColor rgb="FF00B05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3" tint="-0.24994659260841701"/>
      </font>
      <fill>
        <patternFill>
          <bgColor theme="3" tint="0.79998168889431442"/>
        </patternFill>
      </fill>
    </dxf>
  </dxfs>
  <tableStyles count="0" defaultTableStyle="TableStyleMedium9" defaultPivotStyle="PivotStyleLight16"/>
  <colors>
    <mruColors>
      <color rgb="FFFFFFE7"/>
      <color rgb="FFFFFFCC"/>
      <color rgb="FFFFE181"/>
      <color rgb="FFF9B4A9"/>
      <color rgb="FFD17B79"/>
      <color rgb="FFFFFF99"/>
      <color rgb="FFFF00FF"/>
      <color rgb="FF0000FF"/>
      <color rgb="FF008000"/>
      <color rgb="FFFF8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83352797006693"/>
          <c:y val="0.14466707344238797"/>
          <c:w val="0.84187125932527629"/>
          <c:h val="0.53656074043376156"/>
        </c:manualLayout>
      </c:layout>
      <c:barChart>
        <c:barDir val="col"/>
        <c:grouping val="clustered"/>
        <c:varyColors val="0"/>
        <c:ser>
          <c:idx val="0"/>
          <c:order val="0"/>
          <c:tx>
            <c:strRef>
              <c:f>'Throughput Calculations'!$C$59</c:f>
              <c:strCache>
                <c:ptCount val="1"/>
                <c:pt idx="0">
                  <c:v>Base</c:v>
                </c:pt>
              </c:strCache>
            </c:strRef>
          </c:tx>
          <c:spPr>
            <a:solidFill>
              <a:schemeClr val="accent1"/>
            </a:solidFill>
            <a:ln>
              <a:noFill/>
            </a:ln>
            <a:effectLst/>
          </c:spPr>
          <c:invertIfNegative val="0"/>
          <c:dLbls>
            <c:dLbl>
              <c:idx val="0"/>
              <c:delete val="1"/>
              <c:extLst>
                <c:ext xmlns:c15="http://schemas.microsoft.com/office/drawing/2012/chart" uri="{CE6537A1-D6FC-4f65-9D91-7224C49458BB}">
                  <c15:layout>
                    <c:manualLayout>
                      <c:w val="0.14865876723239371"/>
                      <c:h val="5.1803081810345653E-2"/>
                    </c:manualLayout>
                  </c15:layout>
                </c:ext>
                <c:ext xmlns:c16="http://schemas.microsoft.com/office/drawing/2014/chart" uri="{C3380CC4-5D6E-409C-BE32-E72D297353CC}">
                  <c16:uniqueId val="{00000000-0815-4A02-BF19-6EFF34BE16C4}"/>
                </c:ext>
              </c:extLst>
            </c:dLbl>
            <c:dLbl>
              <c:idx val="7"/>
              <c:layout>
                <c:manualLayout>
                  <c:x val="-9.270216962524655E-2"/>
                  <c:y val="0"/>
                </c:manualLayout>
              </c:layout>
              <c:tx>
                <c:rich>
                  <a:bodyPr/>
                  <a:lstStyle/>
                  <a:p>
                    <a:fld id="{B578AEAD-CD53-4354-A455-FBF8E8F70B8F}" type="VALUE">
                      <a:rPr lang="en-US" sz="1400"/>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DEAA-4B09-98CB-E7789CAD84B2}"/>
                </c:ext>
              </c:extLst>
            </c:dLbl>
            <c:dLbl>
              <c:idx val="8"/>
              <c:layout>
                <c:manualLayout>
                  <c:x val="-5.0820035290713009E-2"/>
                  <c:y val="-1.8667790980517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15-4A02-BF19-6EFF34BE16C4}"/>
                </c:ext>
              </c:extLst>
            </c:dLbl>
            <c:dLbl>
              <c:idx val="9"/>
              <c:layout>
                <c:manualLayout>
                  <c:x val="-8.5377659288397856E-2"/>
                  <c:y val="6.1222872432774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15-4A02-BF19-6EFF34BE16C4}"/>
                </c:ext>
              </c:extLst>
            </c:dLbl>
            <c:dLbl>
              <c:idx val="10"/>
              <c:layout>
                <c:manualLayout>
                  <c:x val="-4.0656028232570411E-2"/>
                  <c:y val="-3.1112984967528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15-4A02-BF19-6EFF34BE16C4}"/>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'Throughput Calculations'!$B$71:$B$79</c15:sqref>
                  </c15:fullRef>
                </c:ext>
              </c:extLst>
              <c:f>'Throughput Calculations'!$B$71:$B$78</c:f>
              <c:strCache>
                <c:ptCount val="8"/>
                <c:pt idx="0">
                  <c:v>1: GP+HOV</c:v>
                </c:pt>
                <c:pt idx="1">
                  <c:v>2: Frontage Config</c:v>
                </c:pt>
                <c:pt idx="2">
                  <c:v>3: Access Mgt</c:v>
                </c:pt>
                <c:pt idx="3">
                  <c:v>4: Incident Mgt</c:v>
                </c:pt>
                <c:pt idx="4">
                  <c:v>5: Aux Lanes</c:v>
                </c:pt>
                <c:pt idx="5">
                  <c:v>6: CAV</c:v>
                </c:pt>
                <c:pt idx="6">
                  <c:v>7: Transit</c:v>
                </c:pt>
                <c:pt idx="7">
                  <c:v>8: Sum</c:v>
                </c:pt>
              </c:strCache>
            </c:strRef>
          </c:cat>
          <c:val>
            <c:numRef>
              <c:extLst>
                <c:ext xmlns:c15="http://schemas.microsoft.com/office/drawing/2012/chart" uri="{02D57815-91ED-43cb-92C2-25804820EDAC}">
                  <c15:fullRef>
                    <c15:sqref>'Throughput Calculations'!$C$71:$C$79</c15:sqref>
                  </c15:fullRef>
                </c:ext>
              </c:extLst>
              <c:f>'Throughput Calculations'!$C$71:$C$78</c:f>
              <c:numCache>
                <c:formatCode>_(* #,##0_);_(* \(#,##0\);_(* "-"??_);_(@_)</c:formatCode>
                <c:ptCount val="8"/>
                <c:pt idx="0">
                  <c:v>8500</c:v>
                </c:pt>
                <c:pt idx="1">
                  <c:v>2500</c:v>
                </c:pt>
                <c:pt idx="2">
                  <c:v>2500</c:v>
                </c:pt>
                <c:pt idx="3">
                  <c:v>500</c:v>
                </c:pt>
                <c:pt idx="4">
                  <c:v>1000</c:v>
                </c:pt>
                <c:pt idx="5">
                  <c:v>0</c:v>
                </c:pt>
                <c:pt idx="6">
                  <c:v>500</c:v>
                </c:pt>
                <c:pt idx="7">
                  <c:v>15500</c:v>
                </c:pt>
              </c:numCache>
            </c:numRef>
          </c:val>
          <c:extLst>
            <c:ext xmlns:c16="http://schemas.microsoft.com/office/drawing/2014/chart" uri="{C3380CC4-5D6E-409C-BE32-E72D297353CC}">
              <c16:uniqueId val="{00000004-0815-4A02-BF19-6EFF34BE16C4}"/>
            </c:ext>
          </c:extLst>
        </c:ser>
        <c:ser>
          <c:idx val="1"/>
          <c:order val="1"/>
          <c:tx>
            <c:strRef>
              <c:f>'Throughput Calculations'!$D$59</c:f>
              <c:strCache>
                <c:ptCount val="1"/>
                <c:pt idx="0">
                  <c:v>Build</c:v>
                </c:pt>
              </c:strCache>
            </c:strRef>
          </c:tx>
          <c:spPr>
            <a:solidFill>
              <a:schemeClr val="accent2"/>
            </a:solidFill>
            <a:ln>
              <a:noFill/>
            </a:ln>
            <a:effectLst/>
          </c:spPr>
          <c:invertIfNegative val="0"/>
          <c:dLbls>
            <c:dLbl>
              <c:idx val="6"/>
              <c:delete val="1"/>
              <c:extLst>
                <c:ext xmlns:c15="http://schemas.microsoft.com/office/drawing/2012/chart" uri="{CE6537A1-D6FC-4f65-9D91-7224C49458BB}">
                  <c15:layout>
                    <c:manualLayout>
                      <c:w val="0.11663715852086537"/>
                      <c:h val="4.6363084395871272E-2"/>
                    </c:manualLayout>
                  </c15:layout>
                </c:ext>
                <c:ext xmlns:c16="http://schemas.microsoft.com/office/drawing/2014/chart" uri="{C3380CC4-5D6E-409C-BE32-E72D297353CC}">
                  <c16:uniqueId val="{00000004-DEAA-4B09-98CB-E7789CAD84B2}"/>
                </c:ext>
              </c:extLst>
            </c:dLbl>
            <c:dLbl>
              <c:idx val="7"/>
              <c:layout>
                <c:manualLayout>
                  <c:x val="-8.2840236686390678E-2"/>
                  <c:y val="2.7894002789400278E-3"/>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fld id="{7D99101F-AE8C-4931-95AC-FB1808BD4E04}" type="VALUE">
                      <a:rPr lang="en-US" sz="1400" b="1"/>
                      <a:pPr>
                        <a:defRPr sz="1600" b="1"/>
                      </a:pPr>
                      <a:t>[VALUE]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EAA-4B09-98CB-E7789CAD84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'Throughput Calculations'!$B$71:$B$79</c15:sqref>
                  </c15:fullRef>
                </c:ext>
              </c:extLst>
              <c:f>'Throughput Calculations'!$B$71:$B$78</c:f>
              <c:strCache>
                <c:ptCount val="8"/>
                <c:pt idx="0">
                  <c:v>1: GP+HOV</c:v>
                </c:pt>
                <c:pt idx="1">
                  <c:v>2: Frontage Config</c:v>
                </c:pt>
                <c:pt idx="2">
                  <c:v>3: Access Mgt</c:v>
                </c:pt>
                <c:pt idx="3">
                  <c:v>4: Incident Mgt</c:v>
                </c:pt>
                <c:pt idx="4">
                  <c:v>5: Aux Lanes</c:v>
                </c:pt>
                <c:pt idx="5">
                  <c:v>6: CAV</c:v>
                </c:pt>
                <c:pt idx="6">
                  <c:v>7: Transit</c:v>
                </c:pt>
                <c:pt idx="7">
                  <c:v>8: Sum</c:v>
                </c:pt>
              </c:strCache>
            </c:strRef>
          </c:cat>
          <c:val>
            <c:numRef>
              <c:extLst>
                <c:ext xmlns:c15="http://schemas.microsoft.com/office/drawing/2012/chart" uri="{02D57815-91ED-43cb-92C2-25804820EDAC}">
                  <c15:fullRef>
                    <c15:sqref>'Throughput Calculations'!$D$71:$D$79</c15:sqref>
                  </c15:fullRef>
                </c:ext>
              </c:extLst>
              <c:f>'Throughput Calculations'!$D$71:$D$78</c:f>
              <c:numCache>
                <c:formatCode>_(* #,##0_);_(* \(#,##0\);_(* "-"??_);_(@_)</c:formatCode>
                <c:ptCount val="8"/>
                <c:pt idx="0">
                  <c:v>8500</c:v>
                </c:pt>
                <c:pt idx="1">
                  <c:v>2500</c:v>
                </c:pt>
                <c:pt idx="2">
                  <c:v>3500</c:v>
                </c:pt>
                <c:pt idx="3">
                  <c:v>500</c:v>
                </c:pt>
                <c:pt idx="4">
                  <c:v>1000</c:v>
                </c:pt>
                <c:pt idx="5">
                  <c:v>0</c:v>
                </c:pt>
                <c:pt idx="6">
                  <c:v>4000</c:v>
                </c:pt>
                <c:pt idx="7">
                  <c:v>20000</c:v>
                </c:pt>
              </c:numCache>
            </c:numRef>
          </c:val>
          <c:extLst>
            <c:ext xmlns:c16="http://schemas.microsoft.com/office/drawing/2014/chart" uri="{C3380CC4-5D6E-409C-BE32-E72D297353CC}">
              <c16:uniqueId val="{00000009-0815-4A02-BF19-6EFF34BE16C4}"/>
            </c:ext>
          </c:extLst>
        </c:ser>
        <c:ser>
          <c:idx val="2"/>
          <c:order val="2"/>
          <c:tx>
            <c:strRef>
              <c:f>'Throughput Calculations'!$E$59</c:f>
              <c:strCache>
                <c:ptCount val="1"/>
                <c:pt idx="0">
                  <c:v>Max</c:v>
                </c:pt>
              </c:strCache>
            </c:strRef>
          </c:tx>
          <c:spPr>
            <a:solidFill>
              <a:schemeClr val="accent3"/>
            </a:solidFill>
            <a:ln>
              <a:noFill/>
            </a:ln>
            <a:effectLst/>
          </c:spPr>
          <c:invertIfNegative val="0"/>
          <c:dLbls>
            <c:dLbl>
              <c:idx val="5"/>
              <c:layout>
                <c:manualLayout>
                  <c:x val="-3.1558185404339252E-2"/>
                  <c:y val="1.12280701754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AA-4B09-98CB-E7789CAD84B2}"/>
                </c:ext>
              </c:extLst>
            </c:dLbl>
            <c:dLbl>
              <c:idx val="6"/>
              <c:layout>
                <c:manualLayout>
                  <c:x val="-1.4792899408284169E-2"/>
                  <c:y val="-1.6718331261223927E-3"/>
                </c:manualLayout>
              </c:layout>
              <c:showLegendKey val="0"/>
              <c:showVal val="1"/>
              <c:showCatName val="0"/>
              <c:showSerName val="0"/>
              <c:showPercent val="0"/>
              <c:showBubbleSize val="0"/>
              <c:extLst>
                <c:ext xmlns:c15="http://schemas.microsoft.com/office/drawing/2012/chart" uri="{CE6537A1-D6FC-4f65-9D91-7224C49458BB}">
                  <c15:layout>
                    <c:manualLayout>
                      <c:w val="0.10502958579881656"/>
                      <c:h val="4.8791742562234362E-2"/>
                    </c:manualLayout>
                  </c15:layout>
                </c:ext>
                <c:ext xmlns:c16="http://schemas.microsoft.com/office/drawing/2014/chart" uri="{C3380CC4-5D6E-409C-BE32-E72D297353CC}">
                  <c16:uniqueId val="{00000005-DEAA-4B09-98CB-E7789CAD84B2}"/>
                </c:ext>
              </c:extLst>
            </c:dLbl>
            <c:dLbl>
              <c:idx val="7"/>
              <c:layout>
                <c:manualLayout>
                  <c:x val="-8.875739644970429E-2"/>
                  <c:y val="1.1157601115760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EAA-4B09-98CB-E7789CAD84B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'Throughput Calculations'!$B$71:$B$79</c15:sqref>
                  </c15:fullRef>
                </c:ext>
              </c:extLst>
              <c:f>'Throughput Calculations'!$B$71:$B$78</c:f>
              <c:strCache>
                <c:ptCount val="8"/>
                <c:pt idx="0">
                  <c:v>1: GP+HOV</c:v>
                </c:pt>
                <c:pt idx="1">
                  <c:v>2: Frontage Config</c:v>
                </c:pt>
                <c:pt idx="2">
                  <c:v>3: Access Mgt</c:v>
                </c:pt>
                <c:pt idx="3">
                  <c:v>4: Incident Mgt</c:v>
                </c:pt>
                <c:pt idx="4">
                  <c:v>5: Aux Lanes</c:v>
                </c:pt>
                <c:pt idx="5">
                  <c:v>6: CAV</c:v>
                </c:pt>
                <c:pt idx="6">
                  <c:v>7: Transit</c:v>
                </c:pt>
                <c:pt idx="7">
                  <c:v>8: Sum</c:v>
                </c:pt>
              </c:strCache>
            </c:strRef>
          </c:cat>
          <c:val>
            <c:numRef>
              <c:extLst>
                <c:ext xmlns:c15="http://schemas.microsoft.com/office/drawing/2012/chart" uri="{02D57815-91ED-43cb-92C2-25804820EDAC}">
                  <c15:fullRef>
                    <c15:sqref>'Throughput Calculations'!$E$71:$E$79</c15:sqref>
                  </c15:fullRef>
                </c:ext>
              </c:extLst>
              <c:f>'Throughput Calculations'!$E$71:$E$78</c:f>
              <c:numCache>
                <c:formatCode>_(* #,##0_);_(* \(#,##0\);_(* "-"??_);_(@_)</c:formatCode>
                <c:ptCount val="8"/>
                <c:pt idx="0">
                  <c:v>8500</c:v>
                </c:pt>
                <c:pt idx="1">
                  <c:v>3500</c:v>
                </c:pt>
                <c:pt idx="2">
                  <c:v>5000</c:v>
                </c:pt>
                <c:pt idx="3">
                  <c:v>1000</c:v>
                </c:pt>
                <c:pt idx="4">
                  <c:v>1000</c:v>
                </c:pt>
                <c:pt idx="5">
                  <c:v>3500</c:v>
                </c:pt>
                <c:pt idx="6">
                  <c:v>4000</c:v>
                </c:pt>
                <c:pt idx="7">
                  <c:v>26500</c:v>
                </c:pt>
              </c:numCache>
            </c:numRef>
          </c:val>
          <c:extLst>
            <c:ext xmlns:c16="http://schemas.microsoft.com/office/drawing/2014/chart" uri="{C3380CC4-5D6E-409C-BE32-E72D297353CC}">
              <c16:uniqueId val="{0000000C-0815-4A02-BF19-6EFF34BE16C4}"/>
            </c:ext>
          </c:extLst>
        </c:ser>
        <c:dLbls>
          <c:showLegendKey val="0"/>
          <c:showVal val="0"/>
          <c:showCatName val="0"/>
          <c:showSerName val="0"/>
          <c:showPercent val="0"/>
          <c:showBubbleSize val="0"/>
        </c:dLbls>
        <c:gapWidth val="219"/>
        <c:overlap val="-27"/>
        <c:axId val="1022218032"/>
        <c:axId val="1018141312"/>
      </c:barChart>
      <c:catAx>
        <c:axId val="102221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18141312"/>
        <c:crosses val="autoZero"/>
        <c:auto val="0"/>
        <c:lblAlgn val="ctr"/>
        <c:lblOffset val="0"/>
        <c:noMultiLvlLbl val="0"/>
      </c:catAx>
      <c:valAx>
        <c:axId val="10181413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022218032"/>
        <c:crosses val="autoZero"/>
        <c:crossBetween val="between"/>
      </c:valAx>
      <c:spPr>
        <a:noFill/>
        <a:ln>
          <a:noFill/>
        </a:ln>
        <a:effectLst/>
      </c:spPr>
    </c:plotArea>
    <c:legend>
      <c:legendPos val="t"/>
      <c:layout>
        <c:manualLayout>
          <c:xMode val="edge"/>
          <c:yMode val="edge"/>
          <c:x val="0.11645759224116516"/>
          <c:y val="8.9863536430639893E-2"/>
          <c:w val="0.37272118159863343"/>
          <c:h val="7.8823644986632441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Expressway</a:t>
            </a:r>
            <a:r>
              <a:rPr lang="en-US" sz="1800" baseline="0"/>
              <a:t> </a:t>
            </a:r>
            <a:r>
              <a:rPr lang="en-US" sz="1800"/>
              <a:t>Capacity</a:t>
            </a:r>
          </a:p>
        </c:rich>
      </c:tx>
      <c:overlay val="0"/>
    </c:title>
    <c:autoTitleDeleted val="0"/>
    <c:plotArea>
      <c:layout>
        <c:manualLayout>
          <c:layoutTarget val="inner"/>
          <c:xMode val="edge"/>
          <c:yMode val="edge"/>
          <c:x val="8.4893306030901158E-2"/>
          <c:y val="0.12754183890708087"/>
          <c:w val="0.89342553336120689"/>
          <c:h val="0.60859475689041209"/>
        </c:manualLayout>
      </c:layout>
      <c:lineChart>
        <c:grouping val="standard"/>
        <c:varyColors val="0"/>
        <c:ser>
          <c:idx val="0"/>
          <c:order val="0"/>
          <c:tx>
            <c:strRef>
              <c:f>'WFRC Cap1hr1ln V8.3'!$B$17</c:f>
              <c:strCache>
                <c:ptCount val="1"/>
                <c:pt idx="0">
                  <c:v>Expressway, posted 60-70 mph</c:v>
                </c:pt>
              </c:strCache>
            </c:strRef>
          </c:tx>
          <c:spPr>
            <a:ln w="38100">
              <a:solidFill>
                <a:srgbClr val="FF0000"/>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V8.3'!$C$17:$I$17</c:f>
              <c:numCache>
                <c:formatCode>_(* #,##0_);_(* \(#,##0\);_(* "-"??_);_(@_)</c:formatCode>
                <c:ptCount val="7"/>
                <c:pt idx="0">
                  <c:v>1102</c:v>
                </c:pt>
                <c:pt idx="1">
                  <c:v>1057.9199999999998</c:v>
                </c:pt>
                <c:pt idx="2">
                  <c:v>1024.8599999999999</c:v>
                </c:pt>
                <c:pt idx="3">
                  <c:v>1002.8199999999999</c:v>
                </c:pt>
                <c:pt idx="4">
                  <c:v>981.25397849462354</c:v>
                </c:pt>
                <c:pt idx="5">
                  <c:v>960.15174239796499</c:v>
                </c:pt>
                <c:pt idx="6">
                  <c:v>939.50331783026684</c:v>
                </c:pt>
              </c:numCache>
            </c:numRef>
          </c:val>
          <c:smooth val="0"/>
          <c:extLst>
            <c:ext xmlns:c16="http://schemas.microsoft.com/office/drawing/2014/chart" uri="{C3380CC4-5D6E-409C-BE32-E72D297353CC}">
              <c16:uniqueId val="{00000000-8159-430A-A8F4-97DA4608514B}"/>
            </c:ext>
          </c:extLst>
        </c:ser>
        <c:ser>
          <c:idx val="1"/>
          <c:order val="1"/>
          <c:tx>
            <c:strRef>
              <c:f>'WFRC Cap1hr1ln V8.3'!$B$18</c:f>
              <c:strCache>
                <c:ptCount val="1"/>
                <c:pt idx="0">
                  <c:v>Expressway, posted 55-65 mph</c:v>
                </c:pt>
              </c:strCache>
            </c:strRef>
          </c:tx>
          <c:spPr>
            <a:ln w="38100">
              <a:solidFill>
                <a:srgbClr val="008000"/>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V8.3'!$C$18:$I$18</c:f>
              <c:numCache>
                <c:formatCode>_(* #,##0_);_(* \(#,##0\);_(* "-"??_);_(@_)</c:formatCode>
                <c:ptCount val="7"/>
                <c:pt idx="0">
                  <c:v>1064</c:v>
                </c:pt>
                <c:pt idx="1">
                  <c:v>1021.44</c:v>
                </c:pt>
                <c:pt idx="2">
                  <c:v>989.5200000000001</c:v>
                </c:pt>
                <c:pt idx="3">
                  <c:v>968.24000000000012</c:v>
                </c:pt>
                <c:pt idx="4">
                  <c:v>947.41763440860223</c:v>
                </c:pt>
                <c:pt idx="5">
                  <c:v>927.04306162562148</c:v>
                </c:pt>
                <c:pt idx="6">
                  <c:v>907.10665169818867</c:v>
                </c:pt>
              </c:numCache>
            </c:numRef>
          </c:val>
          <c:smooth val="0"/>
          <c:extLst>
            <c:ext xmlns:c16="http://schemas.microsoft.com/office/drawing/2014/chart" uri="{C3380CC4-5D6E-409C-BE32-E72D297353CC}">
              <c16:uniqueId val="{00000001-8159-430A-A8F4-97DA4608514B}"/>
            </c:ext>
          </c:extLst>
        </c:ser>
        <c:ser>
          <c:idx val="2"/>
          <c:order val="2"/>
          <c:tx>
            <c:strRef>
              <c:f>'WFRC Cap1hr1ln V8.3'!$B$19</c:f>
              <c:strCache>
                <c:ptCount val="1"/>
                <c:pt idx="0">
                  <c:v>Expressway, posted 50-60 mph</c:v>
                </c:pt>
              </c:strCache>
            </c:strRef>
          </c:tx>
          <c:spPr>
            <a:ln w="38100">
              <a:solidFill>
                <a:srgbClr val="0000FF"/>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V8.3'!$C$19:$I$19</c:f>
              <c:numCache>
                <c:formatCode>_(* #,##0_);_(* \(#,##0\);_(* "-"??_);_(@_)</c:formatCode>
                <c:ptCount val="7"/>
                <c:pt idx="0">
                  <c:v>1026</c:v>
                </c:pt>
                <c:pt idx="1">
                  <c:v>984.96</c:v>
                </c:pt>
                <c:pt idx="2">
                  <c:v>954.18000000000006</c:v>
                </c:pt>
                <c:pt idx="3">
                  <c:v>933.66000000000008</c:v>
                </c:pt>
                <c:pt idx="4">
                  <c:v>913.58129032258068</c:v>
                </c:pt>
                <c:pt idx="5">
                  <c:v>893.93438085327784</c:v>
                </c:pt>
                <c:pt idx="6">
                  <c:v>874.7099855661105</c:v>
                </c:pt>
              </c:numCache>
            </c:numRef>
          </c:val>
          <c:smooth val="0"/>
          <c:extLst>
            <c:ext xmlns:c16="http://schemas.microsoft.com/office/drawing/2014/chart" uri="{C3380CC4-5D6E-409C-BE32-E72D297353CC}">
              <c16:uniqueId val="{00000002-8159-430A-A8F4-97DA4608514B}"/>
            </c:ext>
          </c:extLst>
        </c:ser>
        <c:ser>
          <c:idx val="3"/>
          <c:order val="3"/>
          <c:tx>
            <c:strRef>
              <c:f>'WFRC Cap1hr1ln V8.3'!$B$20</c:f>
              <c:strCache>
                <c:ptCount val="1"/>
                <c:pt idx="0">
                  <c:v>Expressway, posted 45-55 mph</c:v>
                </c:pt>
              </c:strCache>
            </c:strRef>
          </c:tx>
          <c:spPr>
            <a:ln w="38100">
              <a:solidFill>
                <a:srgbClr val="FF00FF"/>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V8.3'!$C$20:$I$20</c:f>
              <c:numCache>
                <c:formatCode>_(* #,##0_);_(* \(#,##0\);_(* "-"??_);_(@_)</c:formatCode>
                <c:ptCount val="7"/>
                <c:pt idx="0">
                  <c:v>988</c:v>
                </c:pt>
                <c:pt idx="1">
                  <c:v>948.48</c:v>
                </c:pt>
                <c:pt idx="2">
                  <c:v>918.84</c:v>
                </c:pt>
                <c:pt idx="3">
                  <c:v>899.08</c:v>
                </c:pt>
                <c:pt idx="4">
                  <c:v>879.74494623655914</c:v>
                </c:pt>
                <c:pt idx="5">
                  <c:v>860.8257000809341</c:v>
                </c:pt>
                <c:pt idx="6">
                  <c:v>842.31331943403211</c:v>
                </c:pt>
              </c:numCache>
            </c:numRef>
          </c:val>
          <c:smooth val="0"/>
          <c:extLst>
            <c:ext xmlns:c16="http://schemas.microsoft.com/office/drawing/2014/chart" uri="{C3380CC4-5D6E-409C-BE32-E72D297353CC}">
              <c16:uniqueId val="{00000003-8159-430A-A8F4-97DA4608514B}"/>
            </c:ext>
          </c:extLst>
        </c:ser>
        <c:dLbls>
          <c:showLegendKey val="0"/>
          <c:showVal val="0"/>
          <c:showCatName val="0"/>
          <c:showSerName val="0"/>
          <c:showPercent val="0"/>
          <c:showBubbleSize val="0"/>
        </c:dLbls>
        <c:smooth val="0"/>
        <c:axId val="244339304"/>
        <c:axId val="244339696"/>
      </c:lineChart>
      <c:catAx>
        <c:axId val="24433930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crossAx val="244339696"/>
        <c:crosses val="autoZero"/>
        <c:auto val="1"/>
        <c:lblAlgn val="ctr"/>
        <c:lblOffset val="100"/>
        <c:noMultiLvlLbl val="0"/>
      </c:catAx>
      <c:valAx>
        <c:axId val="244339696"/>
        <c:scaling>
          <c:orientation val="minMax"/>
          <c:min val="0"/>
        </c:scaling>
        <c:delete val="0"/>
        <c:axPos val="l"/>
        <c:majorGridlines>
          <c:spPr>
            <a:ln>
              <a:solidFill>
                <a:schemeClr val="bg1">
                  <a:lumMod val="75000"/>
                </a:schemeClr>
              </a:solidFill>
            </a:ln>
          </c:spPr>
        </c:majorGridlines>
        <c:numFmt formatCode="_(* #,##0_);_(* \(#,##0\);_(* &quot;-&quot;??_);_(@_)" sourceLinked="1"/>
        <c:majorTickMark val="out"/>
        <c:minorTickMark val="none"/>
        <c:tickLblPos val="nextTo"/>
        <c:crossAx val="244339304"/>
        <c:crosses val="autoZero"/>
        <c:crossBetween val="between"/>
      </c:valAx>
    </c:plotArea>
    <c:legend>
      <c:legendPos val="r"/>
      <c:layout>
        <c:manualLayout>
          <c:xMode val="edge"/>
          <c:yMode val="edge"/>
          <c:x val="8.5055332742960107E-2"/>
          <c:y val="0.84415080227800676"/>
          <c:w val="0.88541995492429304"/>
          <c:h val="0.13739875789257958"/>
        </c:manualLayout>
      </c:layout>
      <c:overlay val="1"/>
      <c:spPr>
        <a:solidFill>
          <a:srgbClr val="FFFFFF"/>
        </a:solidFill>
      </c:sp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Freeway Capacity</a:t>
            </a:r>
          </a:p>
        </c:rich>
      </c:tx>
      <c:overlay val="0"/>
    </c:title>
    <c:autoTitleDeleted val="0"/>
    <c:plotArea>
      <c:layout>
        <c:manualLayout>
          <c:layoutTarget val="inner"/>
          <c:xMode val="edge"/>
          <c:yMode val="edge"/>
          <c:x val="8.4893306030901158E-2"/>
          <c:y val="0.12754183890708087"/>
          <c:w val="0.89342553336120689"/>
          <c:h val="0.60859475689041209"/>
        </c:manualLayout>
      </c:layout>
      <c:lineChart>
        <c:grouping val="standard"/>
        <c:varyColors val="0"/>
        <c:ser>
          <c:idx val="0"/>
          <c:order val="0"/>
          <c:tx>
            <c:strRef>
              <c:f>'WFRC Cap1hr1ln V8.3'!$B$37</c:f>
              <c:strCache>
                <c:ptCount val="1"/>
                <c:pt idx="0">
                  <c:v>Fwy: posted 55-60 mph</c:v>
                </c:pt>
              </c:strCache>
            </c:strRef>
          </c:tx>
          <c:spPr>
            <a:ln w="38100">
              <a:solidFill>
                <a:srgbClr val="FF0000"/>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V8.3'!$D$37:$I$37</c:f>
              <c:numCache>
                <c:formatCode>_(* #,##0_);_(* \(#,##0\);_(* "-"??_);_(@_)</c:formatCode>
                <c:ptCount val="6"/>
                <c:pt idx="0">
                  <c:v>1442.1</c:v>
                </c:pt>
                <c:pt idx="1">
                  <c:v>1442.1000000000001</c:v>
                </c:pt>
                <c:pt idx="2">
                  <c:v>1413.2579999999998</c:v>
                </c:pt>
                <c:pt idx="3">
                  <c:v>1369.9949999999999</c:v>
                </c:pt>
                <c:pt idx="4">
                  <c:v>1312.3110000000001</c:v>
                </c:pt>
                <c:pt idx="5">
                  <c:v>1269.048</c:v>
                </c:pt>
              </c:numCache>
            </c:numRef>
          </c:val>
          <c:smooth val="0"/>
          <c:extLst>
            <c:ext xmlns:c16="http://schemas.microsoft.com/office/drawing/2014/chart" uri="{C3380CC4-5D6E-409C-BE32-E72D297353CC}">
              <c16:uniqueId val="{00000000-F74D-4E23-9C8E-1F2386EC38E8}"/>
            </c:ext>
          </c:extLst>
        </c:ser>
        <c:ser>
          <c:idx val="1"/>
          <c:order val="1"/>
          <c:tx>
            <c:strRef>
              <c:f>'WFRC Cap1hr1ln V8.3'!$B$38</c:f>
              <c:strCache>
                <c:ptCount val="1"/>
                <c:pt idx="0">
                  <c:v>Fwy: posted 65 mph, no aux lane</c:v>
                </c:pt>
              </c:strCache>
            </c:strRef>
          </c:tx>
          <c:spPr>
            <a:ln w="38100">
              <a:solidFill>
                <a:srgbClr val="008000"/>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V8.3'!$D$38:$I$38</c:f>
              <c:numCache>
                <c:formatCode>_(* #,##0_);_(* \(#,##0\);_(* "-"??_);_(@_)</c:formatCode>
                <c:ptCount val="6"/>
                <c:pt idx="0">
                  <c:v>1473.4499999999998</c:v>
                </c:pt>
                <c:pt idx="1">
                  <c:v>1473.4499999999998</c:v>
                </c:pt>
                <c:pt idx="2">
                  <c:v>1443.9809999999998</c:v>
                </c:pt>
                <c:pt idx="3">
                  <c:v>1399.7774999999999</c:v>
                </c:pt>
                <c:pt idx="4">
                  <c:v>1340.8394999999998</c:v>
                </c:pt>
                <c:pt idx="5">
                  <c:v>1296.636</c:v>
                </c:pt>
              </c:numCache>
            </c:numRef>
          </c:val>
          <c:smooth val="0"/>
          <c:extLst>
            <c:ext xmlns:c16="http://schemas.microsoft.com/office/drawing/2014/chart" uri="{C3380CC4-5D6E-409C-BE32-E72D297353CC}">
              <c16:uniqueId val="{00000001-F74D-4E23-9C8E-1F2386EC38E8}"/>
            </c:ext>
          </c:extLst>
        </c:ser>
        <c:ser>
          <c:idx val="2"/>
          <c:order val="2"/>
          <c:tx>
            <c:strRef>
              <c:f>'WFRC Cap1hr1ln V8.3'!$B$39</c:f>
              <c:strCache>
                <c:ptCount val="1"/>
                <c:pt idx="0">
                  <c:v>Fwy: posted 65 mph, aux lane</c:v>
                </c:pt>
              </c:strCache>
            </c:strRef>
          </c:tx>
          <c:spPr>
            <a:ln w="38100">
              <a:solidFill>
                <a:srgbClr val="0000FF"/>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V8.3'!$D$39:$I$39</c:f>
              <c:numCache>
                <c:formatCode>_(* #,##0_);_(* \(#,##0\);_(* "-"??_);_(@_)</c:formatCode>
                <c:ptCount val="6"/>
                <c:pt idx="0">
                  <c:v>1823.4499999999998</c:v>
                </c:pt>
                <c:pt idx="1">
                  <c:v>1706.7833333333331</c:v>
                </c:pt>
                <c:pt idx="2">
                  <c:v>1618.9809999999998</c:v>
                </c:pt>
                <c:pt idx="3">
                  <c:v>1539.7774999999999</c:v>
                </c:pt>
                <c:pt idx="4">
                  <c:v>1457.5061666666668</c:v>
                </c:pt>
                <c:pt idx="5">
                  <c:v>1396.636</c:v>
                </c:pt>
              </c:numCache>
            </c:numRef>
          </c:val>
          <c:smooth val="0"/>
          <c:extLst>
            <c:ext xmlns:c16="http://schemas.microsoft.com/office/drawing/2014/chart" uri="{C3380CC4-5D6E-409C-BE32-E72D297353CC}">
              <c16:uniqueId val="{00000002-F74D-4E23-9C8E-1F2386EC38E8}"/>
            </c:ext>
          </c:extLst>
        </c:ser>
        <c:ser>
          <c:idx val="3"/>
          <c:order val="3"/>
          <c:tx>
            <c:strRef>
              <c:f>'WFRC Cap1hr1ln V8.3'!$B$40</c:f>
              <c:strCache>
                <c:ptCount val="1"/>
                <c:pt idx="0">
                  <c:v>Fwy: posted 75 mph, no aux lane</c:v>
                </c:pt>
              </c:strCache>
            </c:strRef>
          </c:tx>
          <c:spPr>
            <a:ln w="38100">
              <a:solidFill>
                <a:srgbClr val="FF00FF"/>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V8.3'!$D$40:$I$40</c:f>
              <c:numCache>
                <c:formatCode>_(* #,##0_);_(* \(#,##0\);_(* "-"??_);_(@_)</c:formatCode>
                <c:ptCount val="6"/>
                <c:pt idx="0">
                  <c:v>1504.8</c:v>
                </c:pt>
                <c:pt idx="1">
                  <c:v>1504.8</c:v>
                </c:pt>
                <c:pt idx="2">
                  <c:v>1474.704</c:v>
                </c:pt>
                <c:pt idx="3">
                  <c:v>1429.56</c:v>
                </c:pt>
                <c:pt idx="4">
                  <c:v>1369.3679999999997</c:v>
                </c:pt>
                <c:pt idx="5">
                  <c:v>1324.2240000000002</c:v>
                </c:pt>
              </c:numCache>
            </c:numRef>
          </c:val>
          <c:smooth val="0"/>
          <c:extLst>
            <c:ext xmlns:c16="http://schemas.microsoft.com/office/drawing/2014/chart" uri="{C3380CC4-5D6E-409C-BE32-E72D297353CC}">
              <c16:uniqueId val="{00000003-F74D-4E23-9C8E-1F2386EC38E8}"/>
            </c:ext>
          </c:extLst>
        </c:ser>
        <c:ser>
          <c:idx val="4"/>
          <c:order val="4"/>
          <c:tx>
            <c:strRef>
              <c:f>'WFRC Cap1hr1ln V8.3'!$B$41</c:f>
              <c:strCache>
                <c:ptCount val="1"/>
                <c:pt idx="0">
                  <c:v>Fwy: posted 75 mph, aux lane</c:v>
                </c:pt>
              </c:strCache>
            </c:strRef>
          </c:tx>
          <c:spPr>
            <a:ln w="38100">
              <a:solidFill>
                <a:schemeClr val="bg1">
                  <a:lumMod val="50000"/>
                </a:schemeClr>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V8.3'!$D$41:$I$41</c:f>
              <c:numCache>
                <c:formatCode>_(* #,##0_);_(* \(#,##0\);_(* "-"??_);_(@_)</c:formatCode>
                <c:ptCount val="6"/>
                <c:pt idx="0">
                  <c:v>1854.8</c:v>
                </c:pt>
                <c:pt idx="1">
                  <c:v>1738.1333333333332</c:v>
                </c:pt>
                <c:pt idx="2">
                  <c:v>1649.704</c:v>
                </c:pt>
                <c:pt idx="3">
                  <c:v>1569.56</c:v>
                </c:pt>
                <c:pt idx="4">
                  <c:v>1486.0346666666665</c:v>
                </c:pt>
                <c:pt idx="5">
                  <c:v>1424.2240000000002</c:v>
                </c:pt>
              </c:numCache>
            </c:numRef>
          </c:val>
          <c:smooth val="0"/>
          <c:extLst>
            <c:ext xmlns:c16="http://schemas.microsoft.com/office/drawing/2014/chart" uri="{C3380CC4-5D6E-409C-BE32-E72D297353CC}">
              <c16:uniqueId val="{00000004-F74D-4E23-9C8E-1F2386EC38E8}"/>
            </c:ext>
          </c:extLst>
        </c:ser>
        <c:dLbls>
          <c:showLegendKey val="0"/>
          <c:showVal val="0"/>
          <c:showCatName val="0"/>
          <c:showSerName val="0"/>
          <c:showPercent val="0"/>
          <c:showBubbleSize val="0"/>
        </c:dLbls>
        <c:smooth val="0"/>
        <c:axId val="244340480"/>
        <c:axId val="244340872"/>
      </c:lineChart>
      <c:catAx>
        <c:axId val="244340480"/>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crossAx val="244340872"/>
        <c:crosses val="autoZero"/>
        <c:auto val="1"/>
        <c:lblAlgn val="ctr"/>
        <c:lblOffset val="100"/>
        <c:noMultiLvlLbl val="0"/>
      </c:catAx>
      <c:valAx>
        <c:axId val="244340872"/>
        <c:scaling>
          <c:orientation val="minMax"/>
          <c:max val="2400"/>
          <c:min val="1000"/>
        </c:scaling>
        <c:delete val="0"/>
        <c:axPos val="l"/>
        <c:majorGridlines>
          <c:spPr>
            <a:ln>
              <a:solidFill>
                <a:schemeClr val="bg1">
                  <a:lumMod val="75000"/>
                </a:schemeClr>
              </a:solidFill>
            </a:ln>
          </c:spPr>
        </c:majorGridlines>
        <c:numFmt formatCode="_(* #,##0_);_(* \(#,##0\);_(* &quot;-&quot;??_);_(@_)" sourceLinked="1"/>
        <c:majorTickMark val="out"/>
        <c:minorTickMark val="none"/>
        <c:tickLblPos val="nextTo"/>
        <c:crossAx val="244340480"/>
        <c:crosses val="autoZero"/>
        <c:crossBetween val="between"/>
      </c:valAx>
    </c:plotArea>
    <c:legend>
      <c:legendPos val="r"/>
      <c:layout>
        <c:manualLayout>
          <c:xMode val="edge"/>
          <c:yMode val="edge"/>
          <c:x val="8.5055332742960107E-2"/>
          <c:y val="0.84415080227800676"/>
          <c:w val="0.88541995492429304"/>
          <c:h val="0.13739875789257958"/>
        </c:manualLayout>
      </c:layout>
      <c:overlay val="1"/>
      <c:spPr>
        <a:solidFill>
          <a:srgbClr val="FFFFFF"/>
        </a:solidFill>
      </c:sp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Managed Lane Capacity</a:t>
            </a:r>
          </a:p>
        </c:rich>
      </c:tx>
      <c:overlay val="0"/>
    </c:title>
    <c:autoTitleDeleted val="0"/>
    <c:plotArea>
      <c:layout>
        <c:manualLayout>
          <c:layoutTarget val="inner"/>
          <c:xMode val="edge"/>
          <c:yMode val="edge"/>
          <c:x val="8.4893306030901158E-2"/>
          <c:y val="0.12754183890708087"/>
          <c:w val="0.89342553336120689"/>
          <c:h val="0.60859475689041209"/>
        </c:manualLayout>
      </c:layout>
      <c:lineChart>
        <c:grouping val="standard"/>
        <c:varyColors val="0"/>
        <c:ser>
          <c:idx val="0"/>
          <c:order val="0"/>
          <c:tx>
            <c:strRef>
              <c:f>'WFRC Cap1hr1ln V8.3'!$B$26</c:f>
              <c:strCache>
                <c:ptCount val="1"/>
                <c:pt idx="0">
                  <c:v>MM: posted 55-60 mph</c:v>
                </c:pt>
              </c:strCache>
            </c:strRef>
          </c:tx>
          <c:spPr>
            <a:ln w="38100">
              <a:solidFill>
                <a:srgbClr val="FF0000"/>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V8.3'!$D$26:$I$26</c:f>
              <c:numCache>
                <c:formatCode>_(* #,##0_);_(* \(#,##0\);_(* "-"??_);_(@_)</c:formatCode>
                <c:ptCount val="6"/>
                <c:pt idx="0">
                  <c:v>2100</c:v>
                </c:pt>
                <c:pt idx="1">
                  <c:v>2100</c:v>
                </c:pt>
                <c:pt idx="2">
                  <c:v>2058</c:v>
                </c:pt>
                <c:pt idx="3">
                  <c:v>1995</c:v>
                </c:pt>
                <c:pt idx="4">
                  <c:v>1911</c:v>
                </c:pt>
                <c:pt idx="5">
                  <c:v>1848</c:v>
                </c:pt>
              </c:numCache>
            </c:numRef>
          </c:val>
          <c:smooth val="0"/>
          <c:extLst>
            <c:ext xmlns:c16="http://schemas.microsoft.com/office/drawing/2014/chart" uri="{C3380CC4-5D6E-409C-BE32-E72D297353CC}">
              <c16:uniqueId val="{00000000-C9D6-4E16-984B-6AA80AD78C8E}"/>
            </c:ext>
          </c:extLst>
        </c:ser>
        <c:ser>
          <c:idx val="1"/>
          <c:order val="1"/>
          <c:tx>
            <c:strRef>
              <c:f>'WFRC Cap1hr1ln V8.3'!$B$27</c:f>
              <c:strCache>
                <c:ptCount val="1"/>
                <c:pt idx="0">
                  <c:v>MM: posted 65 mph, no aux lane</c:v>
                </c:pt>
              </c:strCache>
            </c:strRef>
          </c:tx>
          <c:spPr>
            <a:ln w="38100">
              <a:solidFill>
                <a:srgbClr val="008000"/>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V8.3'!$D$27:$I$27</c:f>
              <c:numCache>
                <c:formatCode>_(* #,##0_);_(* \(#,##0\);_(* "-"??_);_(@_)</c:formatCode>
                <c:ptCount val="6"/>
                <c:pt idx="0">
                  <c:v>2100</c:v>
                </c:pt>
                <c:pt idx="1">
                  <c:v>2100</c:v>
                </c:pt>
                <c:pt idx="2">
                  <c:v>2058</c:v>
                </c:pt>
                <c:pt idx="3">
                  <c:v>1995</c:v>
                </c:pt>
                <c:pt idx="4">
                  <c:v>1911</c:v>
                </c:pt>
                <c:pt idx="5">
                  <c:v>1848</c:v>
                </c:pt>
              </c:numCache>
            </c:numRef>
          </c:val>
          <c:smooth val="0"/>
          <c:extLst>
            <c:ext xmlns:c16="http://schemas.microsoft.com/office/drawing/2014/chart" uri="{C3380CC4-5D6E-409C-BE32-E72D297353CC}">
              <c16:uniqueId val="{00000001-C9D6-4E16-984B-6AA80AD78C8E}"/>
            </c:ext>
          </c:extLst>
        </c:ser>
        <c:ser>
          <c:idx val="2"/>
          <c:order val="2"/>
          <c:tx>
            <c:strRef>
              <c:f>'WFRC Cap1hr1ln V8.3'!$B$28</c:f>
              <c:strCache>
                <c:ptCount val="1"/>
                <c:pt idx="0">
                  <c:v>MM: posted 65 mph, aux lane</c:v>
                </c:pt>
              </c:strCache>
            </c:strRef>
          </c:tx>
          <c:spPr>
            <a:ln w="38100">
              <a:solidFill>
                <a:srgbClr val="0000FF"/>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V8.3'!$D$28:$I$28</c:f>
              <c:numCache>
                <c:formatCode>_(* #,##0_);_(* \(#,##0\);_(* "-"??_);_(@_)</c:formatCode>
                <c:ptCount val="6"/>
                <c:pt idx="0">
                  <c:v>2450</c:v>
                </c:pt>
                <c:pt idx="1">
                  <c:v>2333.3333333333335</c:v>
                </c:pt>
                <c:pt idx="2">
                  <c:v>2233</c:v>
                </c:pt>
                <c:pt idx="3">
                  <c:v>2135</c:v>
                </c:pt>
                <c:pt idx="4">
                  <c:v>2027.6666666666667</c:v>
                </c:pt>
                <c:pt idx="5">
                  <c:v>1948</c:v>
                </c:pt>
              </c:numCache>
            </c:numRef>
          </c:val>
          <c:smooth val="0"/>
          <c:extLst>
            <c:ext xmlns:c16="http://schemas.microsoft.com/office/drawing/2014/chart" uri="{C3380CC4-5D6E-409C-BE32-E72D297353CC}">
              <c16:uniqueId val="{00000002-C9D6-4E16-984B-6AA80AD78C8E}"/>
            </c:ext>
          </c:extLst>
        </c:ser>
        <c:ser>
          <c:idx val="3"/>
          <c:order val="3"/>
          <c:tx>
            <c:strRef>
              <c:f>'WFRC Cap1hr1ln V8.3'!$B$29</c:f>
              <c:strCache>
                <c:ptCount val="1"/>
                <c:pt idx="0">
                  <c:v>MM: posted 75 mph, no aux lane</c:v>
                </c:pt>
              </c:strCache>
            </c:strRef>
          </c:tx>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V8.3'!$D$29:$I$29</c:f>
              <c:numCache>
                <c:formatCode>_(* #,##0_);_(* \(#,##0\);_(* "-"??_);_(@_)</c:formatCode>
                <c:ptCount val="6"/>
                <c:pt idx="0">
                  <c:v>2100</c:v>
                </c:pt>
                <c:pt idx="1">
                  <c:v>2100</c:v>
                </c:pt>
                <c:pt idx="2">
                  <c:v>2058</c:v>
                </c:pt>
                <c:pt idx="3">
                  <c:v>1995</c:v>
                </c:pt>
                <c:pt idx="4">
                  <c:v>1911</c:v>
                </c:pt>
                <c:pt idx="5">
                  <c:v>1848</c:v>
                </c:pt>
              </c:numCache>
            </c:numRef>
          </c:val>
          <c:smooth val="0"/>
          <c:extLst>
            <c:ext xmlns:c16="http://schemas.microsoft.com/office/drawing/2014/chart" uri="{C3380CC4-5D6E-409C-BE32-E72D297353CC}">
              <c16:uniqueId val="{00000003-C9D6-4E16-984B-6AA80AD78C8E}"/>
            </c:ext>
          </c:extLst>
        </c:ser>
        <c:ser>
          <c:idx val="4"/>
          <c:order val="4"/>
          <c:tx>
            <c:strRef>
              <c:f>'WFRC Cap1hr1ln V8.3'!$B$30</c:f>
              <c:strCache>
                <c:ptCount val="1"/>
                <c:pt idx="0">
                  <c:v>MM: posted 75 mph, aux lane</c:v>
                </c:pt>
              </c:strCache>
            </c:strRef>
          </c:tx>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V8.3'!$D$30:$I$30</c:f>
              <c:numCache>
                <c:formatCode>_(* #,##0_);_(* \(#,##0\);_(* "-"??_);_(@_)</c:formatCode>
                <c:ptCount val="6"/>
                <c:pt idx="0">
                  <c:v>2450</c:v>
                </c:pt>
                <c:pt idx="1">
                  <c:v>2333.3333333333335</c:v>
                </c:pt>
                <c:pt idx="2">
                  <c:v>2233</c:v>
                </c:pt>
                <c:pt idx="3">
                  <c:v>2135</c:v>
                </c:pt>
                <c:pt idx="4">
                  <c:v>2027.6666666666667</c:v>
                </c:pt>
                <c:pt idx="5">
                  <c:v>1948</c:v>
                </c:pt>
              </c:numCache>
            </c:numRef>
          </c:val>
          <c:smooth val="0"/>
          <c:extLst>
            <c:ext xmlns:c16="http://schemas.microsoft.com/office/drawing/2014/chart" uri="{C3380CC4-5D6E-409C-BE32-E72D297353CC}">
              <c16:uniqueId val="{00000004-C9D6-4E16-984B-6AA80AD78C8E}"/>
            </c:ext>
          </c:extLst>
        </c:ser>
        <c:dLbls>
          <c:showLegendKey val="0"/>
          <c:showVal val="0"/>
          <c:showCatName val="0"/>
          <c:showSerName val="0"/>
          <c:showPercent val="0"/>
          <c:showBubbleSize val="0"/>
        </c:dLbls>
        <c:smooth val="0"/>
        <c:axId val="244341656"/>
        <c:axId val="244342048"/>
      </c:lineChart>
      <c:catAx>
        <c:axId val="244341656"/>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crossAx val="244342048"/>
        <c:crosses val="autoZero"/>
        <c:auto val="1"/>
        <c:lblAlgn val="ctr"/>
        <c:lblOffset val="100"/>
        <c:noMultiLvlLbl val="0"/>
      </c:catAx>
      <c:valAx>
        <c:axId val="244342048"/>
        <c:scaling>
          <c:orientation val="minMax"/>
          <c:max val="2400"/>
          <c:min val="1000"/>
        </c:scaling>
        <c:delete val="0"/>
        <c:axPos val="l"/>
        <c:majorGridlines>
          <c:spPr>
            <a:ln>
              <a:solidFill>
                <a:schemeClr val="bg1">
                  <a:lumMod val="75000"/>
                </a:schemeClr>
              </a:solidFill>
            </a:ln>
          </c:spPr>
        </c:majorGridlines>
        <c:numFmt formatCode="_(* #,##0_);_(* \(#,##0\);_(* &quot;-&quot;??_);_(@_)" sourceLinked="1"/>
        <c:majorTickMark val="out"/>
        <c:minorTickMark val="none"/>
        <c:tickLblPos val="nextTo"/>
        <c:crossAx val="244341656"/>
        <c:crosses val="autoZero"/>
        <c:crossBetween val="between"/>
      </c:valAx>
    </c:plotArea>
    <c:legend>
      <c:legendPos val="r"/>
      <c:layout>
        <c:manualLayout>
          <c:xMode val="edge"/>
          <c:yMode val="edge"/>
          <c:x val="5.6223406171327144E-2"/>
          <c:y val="0.8409233570168434"/>
          <c:w val="0.91494469876042528"/>
          <c:h val="0.15584915269485275"/>
        </c:manualLayout>
      </c:layout>
      <c:overlay val="1"/>
      <c:spPr>
        <a:solidFill>
          <a:srgbClr val="FFFFFF"/>
        </a:solidFill>
      </c:sp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Ramp Capacity</a:t>
            </a:r>
          </a:p>
        </c:rich>
      </c:tx>
      <c:overlay val="0"/>
    </c:title>
    <c:autoTitleDeleted val="0"/>
    <c:plotArea>
      <c:layout>
        <c:manualLayout>
          <c:layoutTarget val="inner"/>
          <c:xMode val="edge"/>
          <c:yMode val="edge"/>
          <c:x val="8.4893306030901158E-2"/>
          <c:y val="0.12754183890708087"/>
          <c:w val="0.89342553336120689"/>
          <c:h val="0.60859475689041209"/>
        </c:manualLayout>
      </c:layout>
      <c:lineChart>
        <c:grouping val="standard"/>
        <c:varyColors val="0"/>
        <c:ser>
          <c:idx val="0"/>
          <c:order val="0"/>
          <c:tx>
            <c:strRef>
              <c:f>'WFRC Cap1hr1ln V8.3'!$B$46</c:f>
              <c:strCache>
                <c:ptCount val="1"/>
                <c:pt idx="0">
                  <c:v>Fwy: On-ramp</c:v>
                </c:pt>
              </c:strCache>
            </c:strRef>
          </c:tx>
          <c:spPr>
            <a:ln w="38100">
              <a:solidFill>
                <a:srgbClr val="FF0000"/>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V8.3'!$C$46:$I$46</c:f>
              <c:numCache>
                <c:formatCode>_(* #,##0_);_(* \(#,##0\);_(* "-"??_);_(@_)</c:formatCode>
                <c:ptCount val="7"/>
                <c:pt idx="0">
                  <c:v>1200</c:v>
                </c:pt>
                <c:pt idx="1">
                  <c:v>900</c:v>
                </c:pt>
                <c:pt idx="2">
                  <c:v>600</c:v>
                </c:pt>
                <c:pt idx="3">
                  <c:v>600</c:v>
                </c:pt>
                <c:pt idx="4">
                  <c:v>600</c:v>
                </c:pt>
                <c:pt idx="5">
                  <c:v>600</c:v>
                </c:pt>
                <c:pt idx="6">
                  <c:v>600</c:v>
                </c:pt>
              </c:numCache>
            </c:numRef>
          </c:val>
          <c:smooth val="0"/>
          <c:extLst>
            <c:ext xmlns:c16="http://schemas.microsoft.com/office/drawing/2014/chart" uri="{C3380CC4-5D6E-409C-BE32-E72D297353CC}">
              <c16:uniqueId val="{00000000-3A76-422C-A21A-33EAF9865F92}"/>
            </c:ext>
          </c:extLst>
        </c:ser>
        <c:ser>
          <c:idx val="1"/>
          <c:order val="1"/>
          <c:tx>
            <c:strRef>
              <c:f>'WFRC Cap1hr1ln V8.3'!$B$47</c:f>
              <c:strCache>
                <c:ptCount val="1"/>
                <c:pt idx="0">
                  <c:v>Fwy: Off-ramp</c:v>
                </c:pt>
              </c:strCache>
            </c:strRef>
          </c:tx>
          <c:spPr>
            <a:ln w="38100">
              <a:solidFill>
                <a:srgbClr val="008000"/>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V8.3'!$C$47:$I$47</c:f>
              <c:numCache>
                <c:formatCode>_(* #,##0_);_(* \(#,##0\);_(* "-"??_);_(@_)</c:formatCode>
                <c:ptCount val="7"/>
                <c:pt idx="0">
                  <c:v>933.97920000000011</c:v>
                </c:pt>
                <c:pt idx="1">
                  <c:v>896.33411999999998</c:v>
                </c:pt>
                <c:pt idx="2">
                  <c:v>858.59373600000004</c:v>
                </c:pt>
                <c:pt idx="3">
                  <c:v>838.6751999999999</c:v>
                </c:pt>
                <c:pt idx="4">
                  <c:v>819.21875457875444</c:v>
                </c:pt>
                <c:pt idx="5">
                  <c:v>800.213679686207</c:v>
                </c:pt>
                <c:pt idx="6">
                  <c:v>781.64950396699089</c:v>
                </c:pt>
              </c:numCache>
            </c:numRef>
          </c:val>
          <c:smooth val="0"/>
          <c:extLst>
            <c:ext xmlns:c16="http://schemas.microsoft.com/office/drawing/2014/chart" uri="{C3380CC4-5D6E-409C-BE32-E72D297353CC}">
              <c16:uniqueId val="{00000001-3A76-422C-A21A-33EAF9865F92}"/>
            </c:ext>
          </c:extLst>
        </c:ser>
        <c:ser>
          <c:idx val="2"/>
          <c:order val="2"/>
          <c:tx>
            <c:strRef>
              <c:f>'WFRC Cap1hr1ln V8.3'!$B$35</c:f>
              <c:strCache>
                <c:ptCount val="1"/>
                <c:pt idx="0">
                  <c:v>Fwy: fwy-to-fwy loop ramp</c:v>
                </c:pt>
              </c:strCache>
            </c:strRef>
          </c:tx>
          <c:marker>
            <c:symbol val="none"/>
          </c:marker>
          <c:val>
            <c:numRef>
              <c:f>'WFRC Cap1hr1ln V8.3'!$C$35:$I$35</c:f>
              <c:numCache>
                <c:formatCode>_(* #,##0_);_(* \(#,##0\);_(* "-"??_);_(@_)</c:formatCode>
                <c:ptCount val="7"/>
                <c:pt idx="0">
                  <c:v>1150</c:v>
                </c:pt>
                <c:pt idx="1">
                  <c:v>920</c:v>
                </c:pt>
                <c:pt idx="2">
                  <c:v>736</c:v>
                </c:pt>
                <c:pt idx="3">
                  <c:v>736</c:v>
                </c:pt>
                <c:pt idx="4">
                  <c:v>736</c:v>
                </c:pt>
                <c:pt idx="5">
                  <c:v>736</c:v>
                </c:pt>
                <c:pt idx="6">
                  <c:v>736</c:v>
                </c:pt>
              </c:numCache>
            </c:numRef>
          </c:val>
          <c:smooth val="0"/>
          <c:extLst>
            <c:ext xmlns:c16="http://schemas.microsoft.com/office/drawing/2014/chart" uri="{C3380CC4-5D6E-409C-BE32-E72D297353CC}">
              <c16:uniqueId val="{00000002-3A76-422C-A21A-33EAF9865F92}"/>
            </c:ext>
          </c:extLst>
        </c:ser>
        <c:dLbls>
          <c:showLegendKey val="0"/>
          <c:showVal val="0"/>
          <c:showCatName val="0"/>
          <c:showSerName val="0"/>
          <c:showPercent val="0"/>
          <c:showBubbleSize val="0"/>
        </c:dLbls>
        <c:smooth val="0"/>
        <c:axId val="244563448"/>
        <c:axId val="244563840"/>
      </c:lineChart>
      <c:catAx>
        <c:axId val="24456344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crossAx val="244563840"/>
        <c:crosses val="autoZero"/>
        <c:auto val="1"/>
        <c:lblAlgn val="ctr"/>
        <c:lblOffset val="100"/>
        <c:noMultiLvlLbl val="0"/>
      </c:catAx>
      <c:valAx>
        <c:axId val="244563840"/>
        <c:scaling>
          <c:orientation val="minMax"/>
          <c:min val="0"/>
        </c:scaling>
        <c:delete val="0"/>
        <c:axPos val="l"/>
        <c:majorGridlines>
          <c:spPr>
            <a:ln>
              <a:solidFill>
                <a:schemeClr val="bg1">
                  <a:lumMod val="75000"/>
                </a:schemeClr>
              </a:solidFill>
            </a:ln>
          </c:spPr>
        </c:majorGridlines>
        <c:numFmt formatCode="_(* #,##0_);_(* \(#,##0\);_(* &quot;-&quot;??_);_(@_)" sourceLinked="1"/>
        <c:majorTickMark val="out"/>
        <c:minorTickMark val="none"/>
        <c:tickLblPos val="nextTo"/>
        <c:crossAx val="244563448"/>
        <c:crosses val="autoZero"/>
        <c:crossBetween val="between"/>
      </c:valAx>
    </c:plotArea>
    <c:legend>
      <c:legendPos val="r"/>
      <c:layout>
        <c:manualLayout>
          <c:xMode val="edge"/>
          <c:yMode val="edge"/>
          <c:x val="8.5055332742960107E-2"/>
          <c:y val="0.84415080227800676"/>
          <c:w val="0.89392162961899524"/>
          <c:h val="0.15584919772199315"/>
        </c:manualLayout>
      </c:layout>
      <c:overlay val="1"/>
      <c:spPr>
        <a:solidFill>
          <a:srgbClr val="FFFFFF"/>
        </a:solidFill>
      </c:sp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Arterial</a:t>
            </a:r>
            <a:r>
              <a:rPr lang="en-US" sz="1800" baseline="0"/>
              <a:t> &amp; Local </a:t>
            </a:r>
            <a:r>
              <a:rPr lang="en-US" sz="1800"/>
              <a:t>Capacity</a:t>
            </a:r>
          </a:p>
        </c:rich>
      </c:tx>
      <c:overlay val="0"/>
    </c:title>
    <c:autoTitleDeleted val="0"/>
    <c:plotArea>
      <c:layout>
        <c:manualLayout>
          <c:layoutTarget val="inner"/>
          <c:xMode val="edge"/>
          <c:yMode val="edge"/>
          <c:x val="8.4893306030901158E-2"/>
          <c:y val="0.12754183890708087"/>
          <c:w val="0.89342553336120689"/>
          <c:h val="0.60859475689041209"/>
        </c:manualLayout>
      </c:layout>
      <c:lineChart>
        <c:grouping val="standard"/>
        <c:varyColors val="0"/>
        <c:ser>
          <c:idx val="0"/>
          <c:order val="0"/>
          <c:tx>
            <c:strRef>
              <c:f>'WFRC Cap1hr1ln V8.3'!$B$9</c:f>
              <c:strCache>
                <c:ptCount val="1"/>
                <c:pt idx="0">
                  <c:v>Principal Arterial</c:v>
                </c:pt>
              </c:strCache>
            </c:strRef>
          </c:tx>
          <c:spPr>
            <a:ln w="38100">
              <a:solidFill>
                <a:srgbClr val="FF0000"/>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V8.3'!$C$9:$I$9</c:f>
              <c:numCache>
                <c:formatCode>_(* #,##0_);_(* \(#,##0\);_(* "-"??_);_(@_)</c:formatCode>
                <c:ptCount val="7"/>
                <c:pt idx="0">
                  <c:v>919.82799999999997</c:v>
                </c:pt>
                <c:pt idx="1">
                  <c:v>882.75329999999985</c:v>
                </c:pt>
                <c:pt idx="2">
                  <c:v>845.58474000000001</c:v>
                </c:pt>
                <c:pt idx="3">
                  <c:v>825.96799999999996</c:v>
                </c:pt>
                <c:pt idx="4">
                  <c:v>806.80634920634907</c:v>
                </c:pt>
                <c:pt idx="5">
                  <c:v>788.08922999399169</c:v>
                </c:pt>
                <c:pt idx="6">
                  <c:v>769.80632966446058</c:v>
                </c:pt>
              </c:numCache>
            </c:numRef>
          </c:val>
          <c:smooth val="0"/>
          <c:extLst>
            <c:ext xmlns:c16="http://schemas.microsoft.com/office/drawing/2014/chart" uri="{C3380CC4-5D6E-409C-BE32-E72D297353CC}">
              <c16:uniqueId val="{00000000-E8C2-451F-8296-55C69ED6ABB3}"/>
            </c:ext>
          </c:extLst>
        </c:ser>
        <c:ser>
          <c:idx val="1"/>
          <c:order val="1"/>
          <c:tx>
            <c:strRef>
              <c:f>'WFRC Cap1hr1ln V8.3'!$B$10</c:f>
              <c:strCache>
                <c:ptCount val="1"/>
                <c:pt idx="0">
                  <c:v>Minor Arterial</c:v>
                </c:pt>
              </c:strCache>
            </c:strRef>
          </c:tx>
          <c:spPr>
            <a:ln w="38100">
              <a:solidFill>
                <a:srgbClr val="008000"/>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V8.3'!$C$10:$I$10</c:f>
              <c:numCache>
                <c:formatCode>_(* #,##0_);_(* \(#,##0\);_(* "-"??_);_(@_)</c:formatCode>
                <c:ptCount val="7"/>
                <c:pt idx="0">
                  <c:v>849.072</c:v>
                </c:pt>
                <c:pt idx="1">
                  <c:v>814.84919999999988</c:v>
                </c:pt>
                <c:pt idx="2">
                  <c:v>780.53976</c:v>
                </c:pt>
                <c:pt idx="3">
                  <c:v>762.4319999999999</c:v>
                </c:pt>
                <c:pt idx="4">
                  <c:v>744.7443223443222</c:v>
                </c:pt>
                <c:pt idx="5">
                  <c:v>727.46698153291538</c:v>
                </c:pt>
                <c:pt idx="6">
                  <c:v>710.5904581518098</c:v>
                </c:pt>
              </c:numCache>
            </c:numRef>
          </c:val>
          <c:smooth val="0"/>
          <c:extLst>
            <c:ext xmlns:c16="http://schemas.microsoft.com/office/drawing/2014/chart" uri="{C3380CC4-5D6E-409C-BE32-E72D297353CC}">
              <c16:uniqueId val="{00000001-E8C2-451F-8296-55C69ED6ABB3}"/>
            </c:ext>
          </c:extLst>
        </c:ser>
        <c:ser>
          <c:idx val="2"/>
          <c:order val="2"/>
          <c:tx>
            <c:strRef>
              <c:f>'WFRC Cap1hr1ln V8.3'!$B$11</c:f>
              <c:strCache>
                <c:ptCount val="1"/>
                <c:pt idx="0">
                  <c:v>Major Collector</c:v>
                </c:pt>
              </c:strCache>
            </c:strRef>
          </c:tx>
          <c:spPr>
            <a:ln w="38100">
              <a:solidFill>
                <a:srgbClr val="0000FF"/>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V8.3'!$C$11:$I$11</c:f>
              <c:numCache>
                <c:formatCode>_(* #,##0_);_(* \(#,##0\);_(* "-"??_);_(@_)</c:formatCode>
                <c:ptCount val="7"/>
                <c:pt idx="0">
                  <c:v>710.6</c:v>
                </c:pt>
                <c:pt idx="1">
                  <c:v>675.06999999999994</c:v>
                </c:pt>
                <c:pt idx="2">
                  <c:v>646.64599999999996</c:v>
                </c:pt>
                <c:pt idx="3">
                  <c:v>625.32799999999997</c:v>
                </c:pt>
                <c:pt idx="4">
                  <c:v>604.71279120879126</c:v>
                </c:pt>
                <c:pt idx="5">
                  <c:v>584.77720468542452</c:v>
                </c:pt>
                <c:pt idx="6">
                  <c:v>565.49883530019076</c:v>
                </c:pt>
              </c:numCache>
            </c:numRef>
          </c:val>
          <c:smooth val="0"/>
          <c:extLst>
            <c:ext xmlns:c16="http://schemas.microsoft.com/office/drawing/2014/chart" uri="{C3380CC4-5D6E-409C-BE32-E72D297353CC}">
              <c16:uniqueId val="{00000002-E8C2-451F-8296-55C69ED6ABB3}"/>
            </c:ext>
          </c:extLst>
        </c:ser>
        <c:ser>
          <c:idx val="3"/>
          <c:order val="3"/>
          <c:tx>
            <c:strRef>
              <c:f>'WFRC Cap1hr1ln V8.3'!$B$12</c:f>
              <c:strCache>
                <c:ptCount val="1"/>
                <c:pt idx="0">
                  <c:v>Minor Collector</c:v>
                </c:pt>
              </c:strCache>
            </c:strRef>
          </c:tx>
          <c:spPr>
            <a:ln w="38100">
              <a:solidFill>
                <a:srgbClr val="FF00FF"/>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V8.3'!$C$12:$I$12</c:f>
              <c:numCache>
                <c:formatCode>_(* #,##0_);_(* \(#,##0\);_(* "-"??_);_(@_)</c:formatCode>
                <c:ptCount val="7"/>
                <c:pt idx="0">
                  <c:v>498.75</c:v>
                </c:pt>
                <c:pt idx="1">
                  <c:v>473.81249999999994</c:v>
                </c:pt>
                <c:pt idx="2">
                  <c:v>453.8624999999999</c:v>
                </c:pt>
                <c:pt idx="3">
                  <c:v>438.89999999999992</c:v>
                </c:pt>
                <c:pt idx="4">
                  <c:v>424.43076923076916</c:v>
                </c:pt>
                <c:pt idx="5">
                  <c:v>410.43854606931518</c:v>
                </c:pt>
                <c:pt idx="6">
                  <c:v>396.9076049901069</c:v>
                </c:pt>
              </c:numCache>
            </c:numRef>
          </c:val>
          <c:smooth val="0"/>
          <c:extLst>
            <c:ext xmlns:c16="http://schemas.microsoft.com/office/drawing/2014/chart" uri="{C3380CC4-5D6E-409C-BE32-E72D297353CC}">
              <c16:uniqueId val="{00000003-E8C2-451F-8296-55C69ED6ABB3}"/>
            </c:ext>
          </c:extLst>
        </c:ser>
        <c:ser>
          <c:idx val="4"/>
          <c:order val="4"/>
          <c:tx>
            <c:strRef>
              <c:f>'WFRC Cap1hr1ln V8.3'!$B$13</c:f>
              <c:strCache>
                <c:ptCount val="1"/>
                <c:pt idx="0">
                  <c:v>Local</c:v>
                </c:pt>
              </c:strCache>
            </c:strRef>
          </c:tx>
          <c:spPr>
            <a:ln w="38100">
              <a:solidFill>
                <a:schemeClr val="bg1">
                  <a:lumMod val="50000"/>
                </a:schemeClr>
              </a:solidFill>
              <a:prstDash val="solid"/>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V8.3'!$C$13:$I$13</c:f>
              <c:numCache>
                <c:formatCode>_(* #,##0_);_(* \(#,##0\);_(* "-"??_);_(@_)</c:formatCode>
                <c:ptCount val="7"/>
                <c:pt idx="0">
                  <c:v>399</c:v>
                </c:pt>
                <c:pt idx="1">
                  <c:v>379.04999999999995</c:v>
                </c:pt>
                <c:pt idx="2">
                  <c:v>363.08999999999992</c:v>
                </c:pt>
                <c:pt idx="3">
                  <c:v>351.11999999999995</c:v>
                </c:pt>
                <c:pt idx="4">
                  <c:v>339.54461538461533</c:v>
                </c:pt>
                <c:pt idx="5">
                  <c:v>328.35083685545214</c:v>
                </c:pt>
                <c:pt idx="6">
                  <c:v>317.52608399208555</c:v>
                </c:pt>
              </c:numCache>
            </c:numRef>
          </c:val>
          <c:smooth val="0"/>
          <c:extLst>
            <c:ext xmlns:c16="http://schemas.microsoft.com/office/drawing/2014/chart" uri="{C3380CC4-5D6E-409C-BE32-E72D297353CC}">
              <c16:uniqueId val="{00000004-E8C2-451F-8296-55C69ED6ABB3}"/>
            </c:ext>
          </c:extLst>
        </c:ser>
        <c:ser>
          <c:idx val="5"/>
          <c:order val="5"/>
          <c:tx>
            <c:strRef>
              <c:f>'WFRC Cap1hr1ln V8.3'!$B$14</c:f>
              <c:strCache>
                <c:ptCount val="1"/>
                <c:pt idx="0">
                  <c:v>Unpaved</c:v>
                </c:pt>
              </c:strCache>
            </c:strRef>
          </c:tx>
          <c:spPr>
            <a:ln w="38100">
              <a:solidFill>
                <a:schemeClr val="bg1">
                  <a:lumMod val="50000"/>
                </a:schemeClr>
              </a:solidFill>
              <a:prstDash val="dash"/>
            </a:ln>
          </c:spPr>
          <c:marker>
            <c:symbol val="none"/>
          </c:marker>
          <c:cat>
            <c:strRef>
              <c:f>'WFRC Cap1hr1ln V8.3'!$C$8:$I$8</c:f>
              <c:strCache>
                <c:ptCount val="7"/>
                <c:pt idx="0">
                  <c:v>1 lane</c:v>
                </c:pt>
                <c:pt idx="1">
                  <c:v> 2 lanes </c:v>
                </c:pt>
                <c:pt idx="2">
                  <c:v>3 lanes</c:v>
                </c:pt>
                <c:pt idx="3">
                  <c:v> 4 lanes </c:v>
                </c:pt>
                <c:pt idx="4">
                  <c:v>5 lanes</c:v>
                </c:pt>
                <c:pt idx="5">
                  <c:v> 6 lanes </c:v>
                </c:pt>
                <c:pt idx="6">
                  <c:v>7 lanes</c:v>
                </c:pt>
              </c:strCache>
            </c:strRef>
          </c:cat>
          <c:val>
            <c:numRef>
              <c:f>'WFRC Cap1hr1ln V8.3'!$C$14:$I$14</c:f>
              <c:numCache>
                <c:formatCode>_(* #,##0_);_(* \(#,##0\);_(* "-"??_);_(@_)</c:formatCode>
                <c:ptCount val="7"/>
                <c:pt idx="0">
                  <c:v>300</c:v>
                </c:pt>
                <c:pt idx="1">
                  <c:v>300</c:v>
                </c:pt>
                <c:pt idx="2">
                  <c:v>300</c:v>
                </c:pt>
                <c:pt idx="3">
                  <c:v>300</c:v>
                </c:pt>
                <c:pt idx="4">
                  <c:v>300</c:v>
                </c:pt>
                <c:pt idx="5">
                  <c:v>300</c:v>
                </c:pt>
                <c:pt idx="6">
                  <c:v>300</c:v>
                </c:pt>
              </c:numCache>
            </c:numRef>
          </c:val>
          <c:smooth val="0"/>
          <c:extLst>
            <c:ext xmlns:c16="http://schemas.microsoft.com/office/drawing/2014/chart" uri="{C3380CC4-5D6E-409C-BE32-E72D297353CC}">
              <c16:uniqueId val="{00000005-E8C2-451F-8296-55C69ED6ABB3}"/>
            </c:ext>
          </c:extLst>
        </c:ser>
        <c:dLbls>
          <c:showLegendKey val="0"/>
          <c:showVal val="0"/>
          <c:showCatName val="0"/>
          <c:showSerName val="0"/>
          <c:showPercent val="0"/>
          <c:showBubbleSize val="0"/>
        </c:dLbls>
        <c:smooth val="0"/>
        <c:axId val="244564624"/>
        <c:axId val="244565016"/>
      </c:lineChart>
      <c:catAx>
        <c:axId val="24456462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crossAx val="244565016"/>
        <c:crosses val="autoZero"/>
        <c:auto val="1"/>
        <c:lblAlgn val="ctr"/>
        <c:lblOffset val="100"/>
        <c:noMultiLvlLbl val="0"/>
      </c:catAx>
      <c:valAx>
        <c:axId val="244565016"/>
        <c:scaling>
          <c:orientation val="minMax"/>
          <c:min val="0"/>
        </c:scaling>
        <c:delete val="0"/>
        <c:axPos val="l"/>
        <c:majorGridlines>
          <c:spPr>
            <a:ln>
              <a:solidFill>
                <a:schemeClr val="bg1">
                  <a:lumMod val="75000"/>
                </a:schemeClr>
              </a:solidFill>
            </a:ln>
          </c:spPr>
        </c:majorGridlines>
        <c:numFmt formatCode="_(* #,##0_);_(* \(#,##0\);_(* &quot;-&quot;??_);_(@_)" sourceLinked="1"/>
        <c:majorTickMark val="out"/>
        <c:minorTickMark val="none"/>
        <c:tickLblPos val="nextTo"/>
        <c:crossAx val="244564624"/>
        <c:crosses val="autoZero"/>
        <c:crossBetween val="between"/>
      </c:valAx>
    </c:plotArea>
    <c:legend>
      <c:legendPos val="r"/>
      <c:layout>
        <c:manualLayout>
          <c:xMode val="edge"/>
          <c:yMode val="edge"/>
          <c:x val="8.5055332742960107E-2"/>
          <c:y val="0.84415080227800676"/>
          <c:w val="0.88541995492429304"/>
          <c:h val="0.13739875789257958"/>
        </c:manualLayout>
      </c:layout>
      <c:overlay val="1"/>
      <c:spPr>
        <a:solidFill>
          <a:srgbClr val="FFFFFF"/>
        </a:solidFill>
      </c:sp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Freeway Capacity</a:t>
            </a:r>
          </a:p>
        </c:rich>
      </c:tx>
      <c:overlay val="0"/>
    </c:title>
    <c:autoTitleDeleted val="0"/>
    <c:plotArea>
      <c:layout>
        <c:manualLayout>
          <c:layoutTarget val="inner"/>
          <c:xMode val="edge"/>
          <c:yMode val="edge"/>
          <c:x val="8.4893306030901158E-2"/>
          <c:y val="0.12754183890708087"/>
          <c:w val="0.89342553336120689"/>
          <c:h val="0.60859475689041209"/>
        </c:manualLayout>
      </c:layout>
      <c:lineChart>
        <c:grouping val="standard"/>
        <c:varyColors val="0"/>
        <c:ser>
          <c:idx val="1"/>
          <c:order val="0"/>
          <c:tx>
            <c:strRef>
              <c:f>'WFRC Cap1hr1ln V8.3'!$B$38</c:f>
              <c:strCache>
                <c:ptCount val="1"/>
                <c:pt idx="0">
                  <c:v>Fwy: posted 65 mph, no aux lane</c:v>
                </c:pt>
              </c:strCache>
            </c:strRef>
          </c:tx>
          <c:spPr>
            <a:ln w="38100">
              <a:solidFill>
                <a:srgbClr val="008000"/>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V8.3'!$D$38:$I$38</c:f>
              <c:numCache>
                <c:formatCode>_(* #,##0_);_(* \(#,##0\);_(* "-"??_);_(@_)</c:formatCode>
                <c:ptCount val="6"/>
                <c:pt idx="0">
                  <c:v>1473.4499999999998</c:v>
                </c:pt>
                <c:pt idx="1">
                  <c:v>1473.4499999999998</c:v>
                </c:pt>
                <c:pt idx="2">
                  <c:v>1443.9809999999998</c:v>
                </c:pt>
                <c:pt idx="3">
                  <c:v>1399.7774999999999</c:v>
                </c:pt>
                <c:pt idx="4">
                  <c:v>1340.8394999999998</c:v>
                </c:pt>
                <c:pt idx="5">
                  <c:v>1296.636</c:v>
                </c:pt>
              </c:numCache>
            </c:numRef>
          </c:val>
          <c:smooth val="0"/>
          <c:extLst>
            <c:ext xmlns:c16="http://schemas.microsoft.com/office/drawing/2014/chart" uri="{C3380CC4-5D6E-409C-BE32-E72D297353CC}">
              <c16:uniqueId val="{00000000-96E1-4427-A8CC-B924F4DF18C6}"/>
            </c:ext>
          </c:extLst>
        </c:ser>
        <c:ser>
          <c:idx val="2"/>
          <c:order val="1"/>
          <c:tx>
            <c:strRef>
              <c:f>'WFRC Cap1hr1ln V8.3'!$B$39</c:f>
              <c:strCache>
                <c:ptCount val="1"/>
                <c:pt idx="0">
                  <c:v>Fwy: posted 65 mph, aux lane</c:v>
                </c:pt>
              </c:strCache>
            </c:strRef>
          </c:tx>
          <c:spPr>
            <a:ln w="38100">
              <a:solidFill>
                <a:srgbClr val="0000FF"/>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V8.3'!$D$39:$I$39</c:f>
              <c:numCache>
                <c:formatCode>_(* #,##0_);_(* \(#,##0\);_(* "-"??_);_(@_)</c:formatCode>
                <c:ptCount val="6"/>
                <c:pt idx="0">
                  <c:v>1823.4499999999998</c:v>
                </c:pt>
                <c:pt idx="1">
                  <c:v>1706.7833333333331</c:v>
                </c:pt>
                <c:pt idx="2">
                  <c:v>1618.9809999999998</c:v>
                </c:pt>
                <c:pt idx="3">
                  <c:v>1539.7774999999999</c:v>
                </c:pt>
                <c:pt idx="4">
                  <c:v>1457.5061666666668</c:v>
                </c:pt>
                <c:pt idx="5">
                  <c:v>1396.636</c:v>
                </c:pt>
              </c:numCache>
            </c:numRef>
          </c:val>
          <c:smooth val="0"/>
          <c:extLst>
            <c:ext xmlns:c16="http://schemas.microsoft.com/office/drawing/2014/chart" uri="{C3380CC4-5D6E-409C-BE32-E72D297353CC}">
              <c16:uniqueId val="{00000001-96E1-4427-A8CC-B924F4DF18C6}"/>
            </c:ext>
          </c:extLst>
        </c:ser>
        <c:ser>
          <c:idx val="3"/>
          <c:order val="2"/>
          <c:tx>
            <c:strRef>
              <c:f>'WFRC Cap1hr1ln V8.3'!$B$27</c:f>
              <c:strCache>
                <c:ptCount val="1"/>
                <c:pt idx="0">
                  <c:v>MM: posted 65 mph, no aux lane</c:v>
                </c:pt>
              </c:strCache>
            </c:strRef>
          </c:tx>
          <c:spPr>
            <a:ln w="38100">
              <a:solidFill>
                <a:srgbClr val="FF00FF"/>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V8.3'!$D$27:$I$27</c:f>
              <c:numCache>
                <c:formatCode>_(* #,##0_);_(* \(#,##0\);_(* "-"??_);_(@_)</c:formatCode>
                <c:ptCount val="6"/>
                <c:pt idx="0">
                  <c:v>2100</c:v>
                </c:pt>
                <c:pt idx="1">
                  <c:v>2100</c:v>
                </c:pt>
                <c:pt idx="2">
                  <c:v>2058</c:v>
                </c:pt>
                <c:pt idx="3">
                  <c:v>1995</c:v>
                </c:pt>
                <c:pt idx="4">
                  <c:v>1911</c:v>
                </c:pt>
                <c:pt idx="5">
                  <c:v>1848</c:v>
                </c:pt>
              </c:numCache>
            </c:numRef>
          </c:val>
          <c:smooth val="0"/>
          <c:extLst>
            <c:ext xmlns:c16="http://schemas.microsoft.com/office/drawing/2014/chart" uri="{C3380CC4-5D6E-409C-BE32-E72D297353CC}">
              <c16:uniqueId val="{00000002-96E1-4427-A8CC-B924F4DF18C6}"/>
            </c:ext>
          </c:extLst>
        </c:ser>
        <c:ser>
          <c:idx val="4"/>
          <c:order val="3"/>
          <c:tx>
            <c:strRef>
              <c:f>'WFRC Cap1hr1ln V8.3'!$B$28</c:f>
              <c:strCache>
                <c:ptCount val="1"/>
                <c:pt idx="0">
                  <c:v>MM: posted 65 mph, aux lane</c:v>
                </c:pt>
              </c:strCache>
            </c:strRef>
          </c:tx>
          <c:spPr>
            <a:ln w="38100">
              <a:solidFill>
                <a:schemeClr val="bg1">
                  <a:lumMod val="50000"/>
                </a:schemeClr>
              </a:solidFill>
              <a:prstDash val="solid"/>
            </a:ln>
          </c:spPr>
          <c:marker>
            <c:symbol val="none"/>
          </c:marker>
          <c:cat>
            <c:strRef>
              <c:f>'WFRC Cap1hr1ln V8.3'!$D$8:$I$8</c:f>
              <c:strCache>
                <c:ptCount val="6"/>
                <c:pt idx="0">
                  <c:v> 2 lanes </c:v>
                </c:pt>
                <c:pt idx="1">
                  <c:v>3 lanes</c:v>
                </c:pt>
                <c:pt idx="2">
                  <c:v> 4 lanes </c:v>
                </c:pt>
                <c:pt idx="3">
                  <c:v>5 lanes</c:v>
                </c:pt>
                <c:pt idx="4">
                  <c:v> 6 lanes </c:v>
                </c:pt>
                <c:pt idx="5">
                  <c:v>7 lanes</c:v>
                </c:pt>
              </c:strCache>
            </c:strRef>
          </c:cat>
          <c:val>
            <c:numRef>
              <c:f>'WFRC Cap1hr1ln V8.3'!$D$28:$I$28</c:f>
              <c:numCache>
                <c:formatCode>_(* #,##0_);_(* \(#,##0\);_(* "-"??_);_(@_)</c:formatCode>
                <c:ptCount val="6"/>
                <c:pt idx="0">
                  <c:v>2450</c:v>
                </c:pt>
                <c:pt idx="1">
                  <c:v>2333.3333333333335</c:v>
                </c:pt>
                <c:pt idx="2">
                  <c:v>2233</c:v>
                </c:pt>
                <c:pt idx="3">
                  <c:v>2135</c:v>
                </c:pt>
                <c:pt idx="4">
                  <c:v>2027.6666666666667</c:v>
                </c:pt>
                <c:pt idx="5">
                  <c:v>1948</c:v>
                </c:pt>
              </c:numCache>
            </c:numRef>
          </c:val>
          <c:smooth val="0"/>
          <c:extLst>
            <c:ext xmlns:c16="http://schemas.microsoft.com/office/drawing/2014/chart" uri="{C3380CC4-5D6E-409C-BE32-E72D297353CC}">
              <c16:uniqueId val="{00000003-96E1-4427-A8CC-B924F4DF18C6}"/>
            </c:ext>
          </c:extLst>
        </c:ser>
        <c:dLbls>
          <c:showLegendKey val="0"/>
          <c:showVal val="0"/>
          <c:showCatName val="0"/>
          <c:showSerName val="0"/>
          <c:showPercent val="0"/>
          <c:showBubbleSize val="0"/>
        </c:dLbls>
        <c:smooth val="0"/>
        <c:axId val="244565800"/>
        <c:axId val="244566192"/>
      </c:lineChart>
      <c:catAx>
        <c:axId val="244565800"/>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crossAx val="244566192"/>
        <c:crosses val="autoZero"/>
        <c:auto val="1"/>
        <c:lblAlgn val="ctr"/>
        <c:lblOffset val="100"/>
        <c:noMultiLvlLbl val="0"/>
      </c:catAx>
      <c:valAx>
        <c:axId val="244566192"/>
        <c:scaling>
          <c:orientation val="minMax"/>
          <c:max val="2400"/>
          <c:min val="1000"/>
        </c:scaling>
        <c:delete val="0"/>
        <c:axPos val="l"/>
        <c:majorGridlines>
          <c:spPr>
            <a:ln>
              <a:solidFill>
                <a:schemeClr val="bg1">
                  <a:lumMod val="75000"/>
                </a:schemeClr>
              </a:solidFill>
            </a:ln>
          </c:spPr>
        </c:majorGridlines>
        <c:numFmt formatCode="_(* #,##0_);_(* \(#,##0\);_(* &quot;-&quot;??_);_(@_)" sourceLinked="1"/>
        <c:majorTickMark val="out"/>
        <c:minorTickMark val="none"/>
        <c:tickLblPos val="nextTo"/>
        <c:crossAx val="244565800"/>
        <c:crosses val="autoZero"/>
        <c:crossBetween val="between"/>
      </c:valAx>
    </c:plotArea>
    <c:legend>
      <c:legendPos val="r"/>
      <c:layout>
        <c:manualLayout>
          <c:xMode val="edge"/>
          <c:yMode val="edge"/>
          <c:x val="8.5055332742960107E-2"/>
          <c:y val="0.84415080227800676"/>
          <c:w val="0.88541995492429304"/>
          <c:h val="0.13739875789257958"/>
        </c:manualLayout>
      </c:layout>
      <c:overlay val="1"/>
      <c:spPr>
        <a:solidFill>
          <a:srgbClr val="FFFFFF"/>
        </a:solidFill>
      </c:sp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Freeway Capacity v8.1</a:t>
            </a:r>
            <a:r>
              <a:rPr lang="en-US" sz="1800" baseline="0"/>
              <a:t> vs. v8.0</a:t>
            </a:r>
          </a:p>
          <a:p>
            <a:pPr>
              <a:defRPr sz="1800"/>
            </a:pPr>
            <a:r>
              <a:rPr lang="en-US" sz="1400" b="0" i="0" baseline="0"/>
              <a:t>(v8.0 = dashed lines)</a:t>
            </a:r>
          </a:p>
        </c:rich>
      </c:tx>
      <c:overlay val="0"/>
    </c:title>
    <c:autoTitleDeleted val="0"/>
    <c:plotArea>
      <c:layout>
        <c:manualLayout>
          <c:layoutTarget val="inner"/>
          <c:xMode val="edge"/>
          <c:yMode val="edge"/>
          <c:x val="8.4893306030901158E-2"/>
          <c:y val="0.12754183890708087"/>
          <c:w val="0.89342553336120689"/>
          <c:h val="0.67196111003190606"/>
        </c:manualLayout>
      </c:layout>
      <c:lineChart>
        <c:grouping val="standard"/>
        <c:varyColors val="0"/>
        <c:ser>
          <c:idx val="0"/>
          <c:order val="0"/>
          <c:tx>
            <c:strRef>
              <c:f>'WFRC Cap1hr1ln V8.3'!$B$37</c:f>
              <c:strCache>
                <c:ptCount val="1"/>
                <c:pt idx="0">
                  <c:v>Fwy: posted 55-60 mph</c:v>
                </c:pt>
              </c:strCache>
            </c:strRef>
          </c:tx>
          <c:spPr>
            <a:ln w="38100">
              <a:solidFill>
                <a:srgbClr val="FF0000"/>
              </a:solidFill>
              <a:prstDash val="solid"/>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'WFRC Cap1hr1ln V8.3'!$D$37:$I$37</c:f>
              <c:numCache>
                <c:formatCode>_(* #,##0_);_(* \(#,##0\);_(* "-"??_);_(@_)</c:formatCode>
                <c:ptCount val="6"/>
                <c:pt idx="0">
                  <c:v>1442.1</c:v>
                </c:pt>
                <c:pt idx="1">
                  <c:v>1442.1000000000001</c:v>
                </c:pt>
                <c:pt idx="2">
                  <c:v>1413.2579999999998</c:v>
                </c:pt>
                <c:pt idx="3">
                  <c:v>1369.9949999999999</c:v>
                </c:pt>
                <c:pt idx="4">
                  <c:v>1312.3110000000001</c:v>
                </c:pt>
                <c:pt idx="5">
                  <c:v>1269.048</c:v>
                </c:pt>
              </c:numCache>
            </c:numRef>
          </c:val>
          <c:smooth val="0"/>
          <c:extLst>
            <c:ext xmlns:c16="http://schemas.microsoft.com/office/drawing/2014/chart" uri="{C3380CC4-5D6E-409C-BE32-E72D297353CC}">
              <c16:uniqueId val="{00000000-3B13-4EC4-BF65-EA8149A1D4A5}"/>
            </c:ext>
          </c:extLst>
        </c:ser>
        <c:ser>
          <c:idx val="1"/>
          <c:order val="1"/>
          <c:tx>
            <c:strRef>
              <c:f>'WFRC Cap1hr1ln V8.3'!$B$38</c:f>
              <c:strCache>
                <c:ptCount val="1"/>
                <c:pt idx="0">
                  <c:v>Fwy: posted 65 mph, no aux lane</c:v>
                </c:pt>
              </c:strCache>
            </c:strRef>
          </c:tx>
          <c:spPr>
            <a:ln w="38100">
              <a:solidFill>
                <a:srgbClr val="008000"/>
              </a:solidFill>
              <a:prstDash val="solid"/>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'WFRC Cap1hr1ln V8.3'!$D$38:$I$38</c:f>
              <c:numCache>
                <c:formatCode>_(* #,##0_);_(* \(#,##0\);_(* "-"??_);_(@_)</c:formatCode>
                <c:ptCount val="6"/>
                <c:pt idx="0">
                  <c:v>1473.4499999999998</c:v>
                </c:pt>
                <c:pt idx="1">
                  <c:v>1473.4499999999998</c:v>
                </c:pt>
                <c:pt idx="2">
                  <c:v>1443.9809999999998</c:v>
                </c:pt>
                <c:pt idx="3">
                  <c:v>1399.7774999999999</c:v>
                </c:pt>
                <c:pt idx="4">
                  <c:v>1340.8394999999998</c:v>
                </c:pt>
                <c:pt idx="5">
                  <c:v>1296.636</c:v>
                </c:pt>
              </c:numCache>
            </c:numRef>
          </c:val>
          <c:smooth val="0"/>
          <c:extLst>
            <c:ext xmlns:c16="http://schemas.microsoft.com/office/drawing/2014/chart" uri="{C3380CC4-5D6E-409C-BE32-E72D297353CC}">
              <c16:uniqueId val="{00000001-3B13-4EC4-BF65-EA8149A1D4A5}"/>
            </c:ext>
          </c:extLst>
        </c:ser>
        <c:ser>
          <c:idx val="2"/>
          <c:order val="2"/>
          <c:tx>
            <c:strRef>
              <c:f>'WFRC Cap1hr1ln V8.3'!$B$39</c:f>
              <c:strCache>
                <c:ptCount val="1"/>
                <c:pt idx="0">
                  <c:v>Fwy: posted 65 mph, aux lane</c:v>
                </c:pt>
              </c:strCache>
            </c:strRef>
          </c:tx>
          <c:spPr>
            <a:ln w="38100">
              <a:solidFill>
                <a:srgbClr val="0000FF"/>
              </a:solidFill>
              <a:prstDash val="solid"/>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'WFRC Cap1hr1ln V8.3'!$D$39:$I$39</c:f>
              <c:numCache>
                <c:formatCode>_(* #,##0_);_(* \(#,##0\);_(* "-"??_);_(@_)</c:formatCode>
                <c:ptCount val="6"/>
                <c:pt idx="0">
                  <c:v>1823.4499999999998</c:v>
                </c:pt>
                <c:pt idx="1">
                  <c:v>1706.7833333333331</c:v>
                </c:pt>
                <c:pt idx="2">
                  <c:v>1618.9809999999998</c:v>
                </c:pt>
                <c:pt idx="3">
                  <c:v>1539.7774999999999</c:v>
                </c:pt>
                <c:pt idx="4">
                  <c:v>1457.5061666666668</c:v>
                </c:pt>
                <c:pt idx="5">
                  <c:v>1396.636</c:v>
                </c:pt>
              </c:numCache>
            </c:numRef>
          </c:val>
          <c:smooth val="0"/>
          <c:extLst>
            <c:ext xmlns:c16="http://schemas.microsoft.com/office/drawing/2014/chart" uri="{C3380CC4-5D6E-409C-BE32-E72D297353CC}">
              <c16:uniqueId val="{00000002-3B13-4EC4-BF65-EA8149A1D4A5}"/>
            </c:ext>
          </c:extLst>
        </c:ser>
        <c:ser>
          <c:idx val="3"/>
          <c:order val="3"/>
          <c:tx>
            <c:strRef>
              <c:f>'WFRC Cap1hr1ln V8.3'!$B$40</c:f>
              <c:strCache>
                <c:ptCount val="1"/>
                <c:pt idx="0">
                  <c:v>Fwy: posted 75 mph, no aux lane</c:v>
                </c:pt>
              </c:strCache>
            </c:strRef>
          </c:tx>
          <c:spPr>
            <a:ln w="38100">
              <a:solidFill>
                <a:srgbClr val="FF00FF"/>
              </a:solidFill>
              <a:prstDash val="solid"/>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'WFRC Cap1hr1ln V8.3'!$D$40:$I$40</c:f>
              <c:numCache>
                <c:formatCode>_(* #,##0_);_(* \(#,##0\);_(* "-"??_);_(@_)</c:formatCode>
                <c:ptCount val="6"/>
                <c:pt idx="0">
                  <c:v>1504.8</c:v>
                </c:pt>
                <c:pt idx="1">
                  <c:v>1504.8</c:v>
                </c:pt>
                <c:pt idx="2">
                  <c:v>1474.704</c:v>
                </c:pt>
                <c:pt idx="3">
                  <c:v>1429.56</c:v>
                </c:pt>
                <c:pt idx="4">
                  <c:v>1369.3679999999997</c:v>
                </c:pt>
                <c:pt idx="5">
                  <c:v>1324.2240000000002</c:v>
                </c:pt>
              </c:numCache>
            </c:numRef>
          </c:val>
          <c:smooth val="0"/>
          <c:extLst>
            <c:ext xmlns:c16="http://schemas.microsoft.com/office/drawing/2014/chart" uri="{C3380CC4-5D6E-409C-BE32-E72D297353CC}">
              <c16:uniqueId val="{00000003-3B13-4EC4-BF65-EA8149A1D4A5}"/>
            </c:ext>
          </c:extLst>
        </c:ser>
        <c:ser>
          <c:idx val="4"/>
          <c:order val="4"/>
          <c:tx>
            <c:strRef>
              <c:f>'WFRC Cap1hr1ln V8.3'!$B$41</c:f>
              <c:strCache>
                <c:ptCount val="1"/>
                <c:pt idx="0">
                  <c:v>Fwy: posted 75 mph, aux lane</c:v>
                </c:pt>
              </c:strCache>
            </c:strRef>
          </c:tx>
          <c:spPr>
            <a:ln w="38100">
              <a:solidFill>
                <a:schemeClr val="bg1">
                  <a:lumMod val="50000"/>
                </a:schemeClr>
              </a:solidFill>
              <a:prstDash val="solid"/>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'WFRC Cap1hr1ln V8.3'!$D$41:$I$41</c:f>
              <c:numCache>
                <c:formatCode>_(* #,##0_);_(* \(#,##0\);_(* "-"??_);_(@_)</c:formatCode>
                <c:ptCount val="6"/>
                <c:pt idx="0">
                  <c:v>1854.8</c:v>
                </c:pt>
                <c:pt idx="1">
                  <c:v>1738.1333333333332</c:v>
                </c:pt>
                <c:pt idx="2">
                  <c:v>1649.704</c:v>
                </c:pt>
                <c:pt idx="3">
                  <c:v>1569.56</c:v>
                </c:pt>
                <c:pt idx="4">
                  <c:v>1486.0346666666665</c:v>
                </c:pt>
                <c:pt idx="5">
                  <c:v>1424.2240000000002</c:v>
                </c:pt>
              </c:numCache>
            </c:numRef>
          </c:val>
          <c:smooth val="0"/>
          <c:extLst>
            <c:ext xmlns:c16="http://schemas.microsoft.com/office/drawing/2014/chart" uri="{C3380CC4-5D6E-409C-BE32-E72D297353CC}">
              <c16:uniqueId val="{00000004-3B13-4EC4-BF65-EA8149A1D4A5}"/>
            </c:ext>
          </c:extLst>
        </c:ser>
        <c:ser>
          <c:idx val="5"/>
          <c:order val="5"/>
          <c:tx>
            <c:strRef>
              <c:f>#REF!</c:f>
              <c:strCache>
                <c:ptCount val="1"/>
                <c:pt idx="0">
                  <c:v>#REF!</c:v>
                </c:pt>
              </c:strCache>
            </c:strRef>
          </c:tx>
          <c:spPr>
            <a:ln w="38100">
              <a:solidFill>
                <a:srgbClr val="FF0000"/>
              </a:solidFill>
              <a:prstDash val="dash"/>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5-3B13-4EC4-BF65-EA8149A1D4A5}"/>
            </c:ext>
          </c:extLst>
        </c:ser>
        <c:ser>
          <c:idx val="6"/>
          <c:order val="6"/>
          <c:tx>
            <c:strRef>
              <c:f>#REF!</c:f>
              <c:strCache>
                <c:ptCount val="1"/>
                <c:pt idx="0">
                  <c:v>#REF!</c:v>
                </c:pt>
              </c:strCache>
            </c:strRef>
          </c:tx>
          <c:spPr>
            <a:ln w="38100">
              <a:solidFill>
                <a:srgbClr val="008000"/>
              </a:solidFill>
              <a:prstDash val="dash"/>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6-3B13-4EC4-BF65-EA8149A1D4A5}"/>
            </c:ext>
          </c:extLst>
        </c:ser>
        <c:ser>
          <c:idx val="7"/>
          <c:order val="7"/>
          <c:tx>
            <c:strRef>
              <c:f>#REF!</c:f>
              <c:strCache>
                <c:ptCount val="1"/>
                <c:pt idx="0">
                  <c:v>#REF!</c:v>
                </c:pt>
              </c:strCache>
            </c:strRef>
          </c:tx>
          <c:spPr>
            <a:ln w="38100">
              <a:solidFill>
                <a:srgbClr val="0000FF"/>
              </a:solidFill>
              <a:prstDash val="dash"/>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7-3B13-4EC4-BF65-EA8149A1D4A5}"/>
            </c:ext>
          </c:extLst>
        </c:ser>
        <c:ser>
          <c:idx val="8"/>
          <c:order val="8"/>
          <c:tx>
            <c:strRef>
              <c:f>#REF!</c:f>
              <c:strCache>
                <c:ptCount val="1"/>
                <c:pt idx="0">
                  <c:v>#REF!</c:v>
                </c:pt>
              </c:strCache>
            </c:strRef>
          </c:tx>
          <c:spPr>
            <a:ln w="38100">
              <a:solidFill>
                <a:srgbClr val="FF00FF"/>
              </a:solidFill>
              <a:prstDash val="dash"/>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8-3B13-4EC4-BF65-EA8149A1D4A5}"/>
            </c:ext>
          </c:extLst>
        </c:ser>
        <c:ser>
          <c:idx val="9"/>
          <c:order val="9"/>
          <c:tx>
            <c:strRef>
              <c:f>#REF!</c:f>
              <c:strCache>
                <c:ptCount val="1"/>
                <c:pt idx="0">
                  <c:v>#REF!</c:v>
                </c:pt>
              </c:strCache>
            </c:strRef>
          </c:tx>
          <c:spPr>
            <a:ln w="38100">
              <a:solidFill>
                <a:schemeClr val="bg1">
                  <a:lumMod val="50000"/>
                </a:schemeClr>
              </a:solidFill>
              <a:prstDash val="dash"/>
            </a:ln>
          </c:spPr>
          <c:marker>
            <c:symbol val="none"/>
          </c:marker>
          <c:cat>
            <c:strRef>
              <c:f>'WFRC Cap1hr1ln V8.3'!$D$23:$I$23</c:f>
              <c:strCache>
                <c:ptCount val="6"/>
                <c:pt idx="0">
                  <c:v> 2 lanes </c:v>
                </c:pt>
                <c:pt idx="1">
                  <c:v>3 lanes</c:v>
                </c:pt>
                <c:pt idx="2">
                  <c:v> 4 lanes </c:v>
                </c:pt>
                <c:pt idx="3">
                  <c:v>5 lanes</c:v>
                </c:pt>
                <c:pt idx="4">
                  <c:v> 6 lanes </c:v>
                </c:pt>
                <c:pt idx="5">
                  <c:v>7 lanes</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9-3B13-4EC4-BF65-EA8149A1D4A5}"/>
            </c:ext>
          </c:extLst>
        </c:ser>
        <c:dLbls>
          <c:showLegendKey val="0"/>
          <c:showVal val="0"/>
          <c:showCatName val="0"/>
          <c:showSerName val="0"/>
          <c:showPercent val="0"/>
          <c:showBubbleSize val="0"/>
        </c:dLbls>
        <c:smooth val="0"/>
        <c:axId val="245009968"/>
        <c:axId val="245010360"/>
      </c:lineChart>
      <c:catAx>
        <c:axId val="2450099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crossAx val="245010360"/>
        <c:crosses val="autoZero"/>
        <c:auto val="1"/>
        <c:lblAlgn val="ctr"/>
        <c:lblOffset val="100"/>
        <c:noMultiLvlLbl val="0"/>
      </c:catAx>
      <c:valAx>
        <c:axId val="245010360"/>
        <c:scaling>
          <c:orientation val="minMax"/>
          <c:max val="2200"/>
          <c:min val="1200"/>
        </c:scaling>
        <c:delete val="0"/>
        <c:axPos val="l"/>
        <c:majorGridlines>
          <c:spPr>
            <a:ln>
              <a:solidFill>
                <a:schemeClr val="bg1">
                  <a:lumMod val="75000"/>
                </a:schemeClr>
              </a:solidFill>
            </a:ln>
          </c:spPr>
        </c:majorGridlines>
        <c:numFmt formatCode="_(* #,##0_);_(* \(#,##0\);_(* &quot;-&quot;??_);_(@_)" sourceLinked="1"/>
        <c:majorTickMark val="out"/>
        <c:minorTickMark val="none"/>
        <c:tickLblPos val="nextTo"/>
        <c:crossAx val="245009968"/>
        <c:crosses val="autoZero"/>
        <c:crossBetween val="between"/>
      </c:valAx>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5055332742960107E-2"/>
          <c:y val="0.87372169636846009"/>
          <c:w val="0.8984621283888149"/>
          <c:h val="0.12627830363153988"/>
        </c:manualLayout>
      </c:layout>
      <c:overlay val="1"/>
      <c:spPr>
        <a:solidFill>
          <a:srgbClr val="FFFFFF"/>
        </a:solidFill>
      </c:sp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Functional Sustainability</a:t>
            </a:r>
            <a:r>
              <a:rPr lang="en-US" sz="1600" b="1" baseline="0"/>
              <a:t> </a:t>
            </a:r>
            <a:r>
              <a:rPr lang="en-US" sz="1600" b="1"/>
              <a:t>(Score 1-100)</a:t>
            </a:r>
          </a:p>
        </c:rich>
      </c:tx>
      <c:layout>
        <c:manualLayout>
          <c:xMode val="edge"/>
          <c:yMode val="edge"/>
          <c:x val="0.19086236379543467"/>
          <c:y val="3.1511661042369701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866141732283469E-2"/>
          <c:y val="0.21422533030623975"/>
          <c:w val="0.87657830271216097"/>
          <c:h val="0.64449519286760482"/>
        </c:manualLayout>
      </c:layout>
      <c:barChart>
        <c:barDir val="col"/>
        <c:grouping val="clustered"/>
        <c:varyColors val="0"/>
        <c:ser>
          <c:idx val="0"/>
          <c:order val="0"/>
          <c:tx>
            <c:strRef>
              <c:f>'Throughput Calculations'!$H$65</c:f>
              <c:strCache>
                <c:ptCount val="1"/>
                <c:pt idx="0">
                  <c:v>0-20</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Calculations'!$F$66:$F$68</c:f>
              <c:strCache>
                <c:ptCount val="3"/>
                <c:pt idx="0">
                  <c:v>Poor (Red), Great (Green)</c:v>
                </c:pt>
                <c:pt idx="1">
                  <c:v>Baseline</c:v>
                </c:pt>
                <c:pt idx="2">
                  <c:v>Build</c:v>
                </c:pt>
              </c:strCache>
            </c:strRef>
          </c:cat>
          <c:val>
            <c:numRef>
              <c:f>'Throughput Calculations'!$H$66:$H$68</c:f>
              <c:numCache>
                <c:formatCode>0</c:formatCode>
                <c:ptCount val="3"/>
                <c:pt idx="0">
                  <c:v>20</c:v>
                </c:pt>
                <c:pt idx="1">
                  <c:v>0</c:v>
                </c:pt>
                <c:pt idx="2">
                  <c:v>0</c:v>
                </c:pt>
              </c:numCache>
            </c:numRef>
          </c:val>
          <c:extLst>
            <c:ext xmlns:c16="http://schemas.microsoft.com/office/drawing/2014/chart" uri="{C3380CC4-5D6E-409C-BE32-E72D297353CC}">
              <c16:uniqueId val="{00000000-CA7B-47CB-82ED-4165EBA5C41C}"/>
            </c:ext>
          </c:extLst>
        </c:ser>
        <c:ser>
          <c:idx val="1"/>
          <c:order val="1"/>
          <c:tx>
            <c:strRef>
              <c:f>'Throughput Calculations'!$I$65</c:f>
              <c:strCache>
                <c:ptCount val="1"/>
                <c:pt idx="0">
                  <c:v>21-40</c:v>
                </c:pt>
              </c:strCache>
            </c:strRef>
          </c:tx>
          <c:spPr>
            <a:solidFill>
              <a:srgbClr val="F9B4A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Calculations'!$F$66:$F$68</c:f>
              <c:strCache>
                <c:ptCount val="3"/>
                <c:pt idx="0">
                  <c:v>Poor (Red), Great (Green)</c:v>
                </c:pt>
                <c:pt idx="1">
                  <c:v>Baseline</c:v>
                </c:pt>
                <c:pt idx="2">
                  <c:v>Build</c:v>
                </c:pt>
              </c:strCache>
            </c:strRef>
          </c:cat>
          <c:val>
            <c:numRef>
              <c:f>'Throughput Calculations'!$I$66:$I$68</c:f>
              <c:numCache>
                <c:formatCode>0</c:formatCode>
                <c:ptCount val="3"/>
                <c:pt idx="0">
                  <c:v>40</c:v>
                </c:pt>
                <c:pt idx="1">
                  <c:v>21.428571428571431</c:v>
                </c:pt>
                <c:pt idx="2">
                  <c:v>0</c:v>
                </c:pt>
              </c:numCache>
            </c:numRef>
          </c:val>
          <c:extLst>
            <c:ext xmlns:c16="http://schemas.microsoft.com/office/drawing/2014/chart" uri="{C3380CC4-5D6E-409C-BE32-E72D297353CC}">
              <c16:uniqueId val="{00000001-CA7B-47CB-82ED-4165EBA5C41C}"/>
            </c:ext>
          </c:extLst>
        </c:ser>
        <c:ser>
          <c:idx val="2"/>
          <c:order val="2"/>
          <c:tx>
            <c:strRef>
              <c:f>'Throughput Calculations'!$J$65</c:f>
              <c:strCache>
                <c:ptCount val="1"/>
                <c:pt idx="0">
                  <c:v>41-60</c:v>
                </c:pt>
              </c:strCache>
            </c:strRef>
          </c:tx>
          <c:spPr>
            <a:solidFill>
              <a:srgbClr val="FFE18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Calculations'!$F$66:$F$68</c:f>
              <c:strCache>
                <c:ptCount val="3"/>
                <c:pt idx="0">
                  <c:v>Poor (Red), Great (Green)</c:v>
                </c:pt>
                <c:pt idx="1">
                  <c:v>Baseline</c:v>
                </c:pt>
                <c:pt idx="2">
                  <c:v>Build</c:v>
                </c:pt>
              </c:strCache>
            </c:strRef>
          </c:cat>
          <c:val>
            <c:numRef>
              <c:f>'Throughput Calculations'!$J$66:$J$68</c:f>
              <c:numCache>
                <c:formatCode>0</c:formatCode>
                <c:ptCount val="3"/>
                <c:pt idx="0">
                  <c:v>60</c:v>
                </c:pt>
                <c:pt idx="1">
                  <c:v>0</c:v>
                </c:pt>
                <c:pt idx="2">
                  <c:v>57.142857142857146</c:v>
                </c:pt>
              </c:numCache>
            </c:numRef>
          </c:val>
          <c:extLst>
            <c:ext xmlns:c16="http://schemas.microsoft.com/office/drawing/2014/chart" uri="{C3380CC4-5D6E-409C-BE32-E72D297353CC}">
              <c16:uniqueId val="{00000002-CA7B-47CB-82ED-4165EBA5C41C}"/>
            </c:ext>
          </c:extLst>
        </c:ser>
        <c:ser>
          <c:idx val="3"/>
          <c:order val="3"/>
          <c:tx>
            <c:strRef>
              <c:f>'Throughput Calculations'!$K$65</c:f>
              <c:strCache>
                <c:ptCount val="1"/>
                <c:pt idx="0">
                  <c:v>61-80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Calculations'!$F$66:$F$68</c:f>
              <c:strCache>
                <c:ptCount val="3"/>
                <c:pt idx="0">
                  <c:v>Poor (Red), Great (Green)</c:v>
                </c:pt>
                <c:pt idx="1">
                  <c:v>Baseline</c:v>
                </c:pt>
                <c:pt idx="2">
                  <c:v>Build</c:v>
                </c:pt>
              </c:strCache>
            </c:strRef>
          </c:cat>
          <c:val>
            <c:numRef>
              <c:f>'Throughput Calculations'!$K$66:$K$68</c:f>
              <c:numCache>
                <c:formatCode>0</c:formatCode>
                <c:ptCount val="3"/>
                <c:pt idx="0">
                  <c:v>80</c:v>
                </c:pt>
                <c:pt idx="1">
                  <c:v>0</c:v>
                </c:pt>
                <c:pt idx="2">
                  <c:v>0</c:v>
                </c:pt>
              </c:numCache>
            </c:numRef>
          </c:val>
          <c:extLst>
            <c:ext xmlns:c16="http://schemas.microsoft.com/office/drawing/2014/chart" uri="{C3380CC4-5D6E-409C-BE32-E72D297353CC}">
              <c16:uniqueId val="{00000003-CA7B-47CB-82ED-4165EBA5C41C}"/>
            </c:ext>
          </c:extLst>
        </c:ser>
        <c:ser>
          <c:idx val="4"/>
          <c:order val="4"/>
          <c:tx>
            <c:strRef>
              <c:f>'Throughput Calculations'!$L$65</c:f>
              <c:strCache>
                <c:ptCount val="1"/>
                <c:pt idx="0">
                  <c:v>81-100</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Calculations'!$F$66:$F$68</c:f>
              <c:strCache>
                <c:ptCount val="3"/>
                <c:pt idx="0">
                  <c:v>Poor (Red), Great (Green)</c:v>
                </c:pt>
                <c:pt idx="1">
                  <c:v>Baseline</c:v>
                </c:pt>
                <c:pt idx="2">
                  <c:v>Build</c:v>
                </c:pt>
              </c:strCache>
            </c:strRef>
          </c:cat>
          <c:val>
            <c:numRef>
              <c:f>'Throughput Calculations'!$L$66:$L$68</c:f>
              <c:numCache>
                <c:formatCode>0</c:formatCode>
                <c:ptCount val="3"/>
                <c:pt idx="0">
                  <c:v>100</c:v>
                </c:pt>
                <c:pt idx="1">
                  <c:v>0</c:v>
                </c:pt>
                <c:pt idx="2">
                  <c:v>0</c:v>
                </c:pt>
              </c:numCache>
            </c:numRef>
          </c:val>
          <c:extLst>
            <c:ext xmlns:c16="http://schemas.microsoft.com/office/drawing/2014/chart" uri="{C3380CC4-5D6E-409C-BE32-E72D297353CC}">
              <c16:uniqueId val="{00000004-CA7B-47CB-82ED-4165EBA5C41C}"/>
            </c:ext>
          </c:extLst>
        </c:ser>
        <c:dLbls>
          <c:showLegendKey val="0"/>
          <c:showVal val="0"/>
          <c:showCatName val="0"/>
          <c:showSerName val="0"/>
          <c:showPercent val="0"/>
          <c:showBubbleSize val="0"/>
        </c:dLbls>
        <c:gapWidth val="219"/>
        <c:overlap val="-27"/>
        <c:axId val="952334304"/>
        <c:axId val="950989792"/>
      </c:barChart>
      <c:catAx>
        <c:axId val="95233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1" i="0" u="none" strike="noStrike" kern="1200" baseline="0">
                <a:solidFill>
                  <a:schemeClr val="tx1">
                    <a:lumMod val="75000"/>
                    <a:lumOff val="25000"/>
                  </a:schemeClr>
                </a:solidFill>
                <a:latin typeface="+mn-lt"/>
                <a:ea typeface="+mn-ea"/>
                <a:cs typeface="+mn-cs"/>
              </a:defRPr>
            </a:pPr>
            <a:endParaRPr lang="en-US"/>
          </a:p>
        </c:txPr>
        <c:crossAx val="950989792"/>
        <c:crosses val="autoZero"/>
        <c:auto val="1"/>
        <c:lblAlgn val="ctr"/>
        <c:lblOffset val="100"/>
        <c:noMultiLvlLbl val="0"/>
      </c:catAx>
      <c:valAx>
        <c:axId val="95098979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a:solidFill>
              <a:schemeClr val="accent1"/>
            </a:solidFill>
          </a:ln>
          <a:effectLst/>
        </c:spPr>
        <c:txPr>
          <a:bodyPr rot="-60000000" spcFirstLastPara="1" vertOverflow="ellipsis" vert="horz" wrap="square" anchor="ctr" anchorCtr="1"/>
          <a:lstStyle/>
          <a:p>
            <a:pPr algn="ctr">
              <a:defRPr lang="en-US" sz="1100" b="1" i="0" u="none" strike="noStrike" kern="1200" baseline="0">
                <a:solidFill>
                  <a:schemeClr val="tx1">
                    <a:lumMod val="75000"/>
                    <a:lumOff val="25000"/>
                  </a:schemeClr>
                </a:solidFill>
                <a:latin typeface="+mn-lt"/>
                <a:ea typeface="+mn-ea"/>
                <a:cs typeface="+mn-cs"/>
              </a:defRPr>
            </a:pPr>
            <a:endParaRPr lang="en-US"/>
          </a:p>
        </c:txPr>
        <c:crossAx val="952334304"/>
        <c:crosses val="autoZero"/>
        <c:crossBetween val="between"/>
        <c:majorUnit val="20"/>
        <c:min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Environmental Sustainability</a:t>
            </a:r>
            <a:r>
              <a:rPr lang="en-US" sz="1600" b="1" baseline="0"/>
              <a:t> </a:t>
            </a:r>
            <a:r>
              <a:rPr lang="en-US" sz="1600" b="1"/>
              <a:t>(Score 1-100)</a:t>
            </a:r>
          </a:p>
        </c:rich>
      </c:tx>
      <c:layout>
        <c:manualLayout>
          <c:xMode val="edge"/>
          <c:yMode val="edge"/>
          <c:x val="0.17268044619422573"/>
          <c:y val="3.15115755415586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866141732283469E-2"/>
          <c:y val="0.21422533030623975"/>
          <c:w val="0.87657830271216097"/>
          <c:h val="0.64449519286760482"/>
        </c:manualLayout>
      </c:layout>
      <c:barChart>
        <c:barDir val="col"/>
        <c:grouping val="clustered"/>
        <c:varyColors val="0"/>
        <c:ser>
          <c:idx val="0"/>
          <c:order val="0"/>
          <c:tx>
            <c:strRef>
              <c:f>'Throughput Calculations'!$H$73</c:f>
              <c:strCache>
                <c:ptCount val="1"/>
                <c:pt idx="0">
                  <c:v>0-20</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Calculations'!$F$74:$F$76</c:f>
              <c:strCache>
                <c:ptCount val="3"/>
                <c:pt idx="0">
                  <c:v>Poor (Red), Great (Green)</c:v>
                </c:pt>
                <c:pt idx="1">
                  <c:v>Baseline</c:v>
                </c:pt>
                <c:pt idx="2">
                  <c:v>Build</c:v>
                </c:pt>
              </c:strCache>
            </c:strRef>
          </c:cat>
          <c:val>
            <c:numRef>
              <c:f>'Throughput Calculations'!$H$74:$H$76</c:f>
              <c:numCache>
                <c:formatCode>0</c:formatCode>
                <c:ptCount val="3"/>
                <c:pt idx="0">
                  <c:v>20</c:v>
                </c:pt>
                <c:pt idx="1">
                  <c:v>6.25</c:v>
                </c:pt>
                <c:pt idx="2">
                  <c:v>0</c:v>
                </c:pt>
              </c:numCache>
            </c:numRef>
          </c:val>
          <c:extLst>
            <c:ext xmlns:c16="http://schemas.microsoft.com/office/drawing/2014/chart" uri="{C3380CC4-5D6E-409C-BE32-E72D297353CC}">
              <c16:uniqueId val="{00000000-666C-4C8E-ACA7-70ECE170BDED}"/>
            </c:ext>
          </c:extLst>
        </c:ser>
        <c:ser>
          <c:idx val="1"/>
          <c:order val="1"/>
          <c:tx>
            <c:strRef>
              <c:f>'Throughput Calculations'!$I$73</c:f>
              <c:strCache>
                <c:ptCount val="1"/>
                <c:pt idx="0">
                  <c:v>21-40</c:v>
                </c:pt>
              </c:strCache>
            </c:strRef>
          </c:tx>
          <c:spPr>
            <a:solidFill>
              <a:srgbClr val="F9B4A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Calculations'!$F$74:$F$76</c:f>
              <c:strCache>
                <c:ptCount val="3"/>
                <c:pt idx="0">
                  <c:v>Poor (Red), Great (Green)</c:v>
                </c:pt>
                <c:pt idx="1">
                  <c:v>Baseline</c:v>
                </c:pt>
                <c:pt idx="2">
                  <c:v>Build</c:v>
                </c:pt>
              </c:strCache>
            </c:strRef>
          </c:cat>
          <c:val>
            <c:numRef>
              <c:f>'Throughput Calculations'!$I$74:$I$76</c:f>
              <c:numCache>
                <c:formatCode>0</c:formatCode>
                <c:ptCount val="3"/>
                <c:pt idx="0">
                  <c:v>40</c:v>
                </c:pt>
                <c:pt idx="1">
                  <c:v>0</c:v>
                </c:pt>
                <c:pt idx="2">
                  <c:v>0</c:v>
                </c:pt>
              </c:numCache>
            </c:numRef>
          </c:val>
          <c:extLst>
            <c:ext xmlns:c16="http://schemas.microsoft.com/office/drawing/2014/chart" uri="{C3380CC4-5D6E-409C-BE32-E72D297353CC}">
              <c16:uniqueId val="{00000001-666C-4C8E-ACA7-70ECE170BDED}"/>
            </c:ext>
          </c:extLst>
        </c:ser>
        <c:ser>
          <c:idx val="2"/>
          <c:order val="2"/>
          <c:tx>
            <c:strRef>
              <c:f>'Throughput Calculations'!$J$73</c:f>
              <c:strCache>
                <c:ptCount val="1"/>
                <c:pt idx="0">
                  <c:v>41-60</c:v>
                </c:pt>
              </c:strCache>
            </c:strRef>
          </c:tx>
          <c:spPr>
            <a:solidFill>
              <a:srgbClr val="FFE18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Calculations'!$F$74:$F$76</c:f>
              <c:strCache>
                <c:ptCount val="3"/>
                <c:pt idx="0">
                  <c:v>Poor (Red), Great (Green)</c:v>
                </c:pt>
                <c:pt idx="1">
                  <c:v>Baseline</c:v>
                </c:pt>
                <c:pt idx="2">
                  <c:v>Build</c:v>
                </c:pt>
              </c:strCache>
            </c:strRef>
          </c:cat>
          <c:val>
            <c:numRef>
              <c:f>'Throughput Calculations'!$J$74:$J$76</c:f>
              <c:numCache>
                <c:formatCode>0</c:formatCode>
                <c:ptCount val="3"/>
                <c:pt idx="0">
                  <c:v>60</c:v>
                </c:pt>
                <c:pt idx="1">
                  <c:v>0</c:v>
                </c:pt>
                <c:pt idx="2">
                  <c:v>0</c:v>
                </c:pt>
              </c:numCache>
            </c:numRef>
          </c:val>
          <c:extLst>
            <c:ext xmlns:c16="http://schemas.microsoft.com/office/drawing/2014/chart" uri="{C3380CC4-5D6E-409C-BE32-E72D297353CC}">
              <c16:uniqueId val="{00000002-666C-4C8E-ACA7-70ECE170BDED}"/>
            </c:ext>
          </c:extLst>
        </c:ser>
        <c:ser>
          <c:idx val="3"/>
          <c:order val="3"/>
          <c:tx>
            <c:strRef>
              <c:f>'Throughput Calculations'!$K$73</c:f>
              <c:strCache>
                <c:ptCount val="1"/>
                <c:pt idx="0">
                  <c:v>61-80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Calculations'!$F$74:$F$76</c:f>
              <c:strCache>
                <c:ptCount val="3"/>
                <c:pt idx="0">
                  <c:v>Poor (Red), Great (Green)</c:v>
                </c:pt>
                <c:pt idx="1">
                  <c:v>Baseline</c:v>
                </c:pt>
                <c:pt idx="2">
                  <c:v>Build</c:v>
                </c:pt>
              </c:strCache>
            </c:strRef>
          </c:cat>
          <c:val>
            <c:numRef>
              <c:f>'Throughput Calculations'!$K$74:$K$76</c:f>
              <c:numCache>
                <c:formatCode>0</c:formatCode>
                <c:ptCount val="3"/>
                <c:pt idx="0">
                  <c:v>80</c:v>
                </c:pt>
                <c:pt idx="1">
                  <c:v>0</c:v>
                </c:pt>
                <c:pt idx="2">
                  <c:v>62.5</c:v>
                </c:pt>
              </c:numCache>
            </c:numRef>
          </c:val>
          <c:extLst>
            <c:ext xmlns:c16="http://schemas.microsoft.com/office/drawing/2014/chart" uri="{C3380CC4-5D6E-409C-BE32-E72D297353CC}">
              <c16:uniqueId val="{00000003-666C-4C8E-ACA7-70ECE170BDED}"/>
            </c:ext>
          </c:extLst>
        </c:ser>
        <c:ser>
          <c:idx val="4"/>
          <c:order val="4"/>
          <c:tx>
            <c:strRef>
              <c:f>'Throughput Calculations'!$L$73</c:f>
              <c:strCache>
                <c:ptCount val="1"/>
                <c:pt idx="0">
                  <c:v>81-100</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'Throughput Calculations'!$F$74:$F$76</c:f>
              <c:strCache>
                <c:ptCount val="3"/>
                <c:pt idx="0">
                  <c:v>Poor (Red), Great (Green)</c:v>
                </c:pt>
                <c:pt idx="1">
                  <c:v>Baseline</c:v>
                </c:pt>
                <c:pt idx="2">
                  <c:v>Build</c:v>
                </c:pt>
              </c:strCache>
            </c:strRef>
          </c:cat>
          <c:val>
            <c:numRef>
              <c:f>'Throughput Calculations'!$L$74:$L$76</c:f>
              <c:numCache>
                <c:formatCode>0</c:formatCode>
                <c:ptCount val="3"/>
                <c:pt idx="0">
                  <c:v>100</c:v>
                </c:pt>
                <c:pt idx="1">
                  <c:v>0</c:v>
                </c:pt>
                <c:pt idx="2">
                  <c:v>0</c:v>
                </c:pt>
              </c:numCache>
            </c:numRef>
          </c:val>
          <c:extLst>
            <c:ext xmlns:c16="http://schemas.microsoft.com/office/drawing/2014/chart" uri="{C3380CC4-5D6E-409C-BE32-E72D297353CC}">
              <c16:uniqueId val="{00000004-666C-4C8E-ACA7-70ECE170BDED}"/>
            </c:ext>
          </c:extLst>
        </c:ser>
        <c:dLbls>
          <c:showLegendKey val="0"/>
          <c:showVal val="0"/>
          <c:showCatName val="0"/>
          <c:showSerName val="0"/>
          <c:showPercent val="0"/>
          <c:showBubbleSize val="0"/>
        </c:dLbls>
        <c:gapWidth val="219"/>
        <c:overlap val="-27"/>
        <c:axId val="952334304"/>
        <c:axId val="950989792"/>
      </c:barChart>
      <c:catAx>
        <c:axId val="95233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1" i="0" u="none" strike="noStrike" kern="1200" baseline="0">
                <a:solidFill>
                  <a:schemeClr val="tx1">
                    <a:lumMod val="75000"/>
                    <a:lumOff val="25000"/>
                  </a:schemeClr>
                </a:solidFill>
                <a:latin typeface="+mn-lt"/>
                <a:ea typeface="+mn-ea"/>
                <a:cs typeface="+mn-cs"/>
              </a:defRPr>
            </a:pPr>
            <a:endParaRPr lang="en-US"/>
          </a:p>
        </c:txPr>
        <c:crossAx val="950989792"/>
        <c:crosses val="autoZero"/>
        <c:auto val="1"/>
        <c:lblAlgn val="ctr"/>
        <c:lblOffset val="100"/>
        <c:noMultiLvlLbl val="0"/>
      </c:catAx>
      <c:valAx>
        <c:axId val="95098979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in"/>
        <c:tickLblPos val="nextTo"/>
        <c:spPr>
          <a:noFill/>
          <a:ln>
            <a:solidFill>
              <a:schemeClr val="accent1"/>
            </a:solidFill>
          </a:ln>
          <a:effectLst/>
        </c:spPr>
        <c:txPr>
          <a:bodyPr rot="-60000000" spcFirstLastPara="1" vertOverflow="ellipsis" vert="horz" wrap="square" anchor="ctr" anchorCtr="1"/>
          <a:lstStyle/>
          <a:p>
            <a:pPr algn="ctr">
              <a:defRPr lang="en-US" sz="1100" b="1" i="0" u="none" strike="noStrike" kern="1200" baseline="0">
                <a:solidFill>
                  <a:schemeClr val="tx1">
                    <a:lumMod val="75000"/>
                    <a:lumOff val="25000"/>
                  </a:schemeClr>
                </a:solidFill>
                <a:latin typeface="+mn-lt"/>
                <a:ea typeface="+mn-ea"/>
                <a:cs typeface="+mn-cs"/>
              </a:defRPr>
            </a:pPr>
            <a:endParaRPr lang="en-US"/>
          </a:p>
        </c:txPr>
        <c:crossAx val="952334304"/>
        <c:crosses val="autoZero"/>
        <c:crossBetween val="between"/>
        <c:majorUnit val="20"/>
        <c:min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Free Flow Speed By Area Type</a:t>
            </a:r>
          </a:p>
        </c:rich>
      </c:tx>
      <c:layout>
        <c:manualLayout>
          <c:xMode val="edge"/>
          <c:yMode val="edge"/>
          <c:x val="0.2803712360162473"/>
          <c:y val="3.0935361536721821E-2"/>
        </c:manualLayout>
      </c:layout>
      <c:overlay val="0"/>
      <c:spPr>
        <a:noFill/>
        <a:ln w="25400">
          <a:noFill/>
        </a:ln>
      </c:spPr>
    </c:title>
    <c:autoTitleDeleted val="0"/>
    <c:plotArea>
      <c:layout>
        <c:manualLayout>
          <c:layoutTarget val="inner"/>
          <c:xMode val="edge"/>
          <c:yMode val="edge"/>
          <c:x val="8.5267525992475279E-2"/>
          <c:y val="0.147341205753245"/>
          <c:w val="0.88736035524372259"/>
          <c:h val="0.6693527820714692"/>
        </c:manualLayout>
      </c:layout>
      <c:lineChart>
        <c:grouping val="standard"/>
        <c:varyColors val="0"/>
        <c:ser>
          <c:idx val="1"/>
          <c:order val="0"/>
          <c:tx>
            <c:strRef>
              <c:f>'WFRC Speed V8.3'!$B$6</c:f>
              <c:strCache>
                <c:ptCount val="1"/>
                <c:pt idx="0">
                  <c:v>Principal Arterial</c:v>
                </c:pt>
              </c:strCache>
            </c:strRef>
          </c:tx>
          <c:spPr>
            <a:ln w="31750">
              <a:solidFill>
                <a:srgbClr val="FF0000"/>
              </a:solidFill>
              <a:prstDash val="solid"/>
            </a:ln>
          </c:spPr>
          <c:marker>
            <c:symbol val="square"/>
            <c:size val="7"/>
            <c:spPr>
              <a:noFill/>
              <a:ln w="19050">
                <a:solidFill>
                  <a:srgbClr val="FF0000"/>
                </a:solidFill>
                <a:prstDash val="solid"/>
              </a:ln>
            </c:spPr>
          </c:marker>
          <c:cat>
            <c:strRef>
              <c:f>'WFRC Speed V8.3'!$C$4:$G$4</c:f>
              <c:strCache>
                <c:ptCount val="5"/>
                <c:pt idx="0">
                  <c:v>Rural</c:v>
                </c:pt>
                <c:pt idx="1">
                  <c:v>Transition</c:v>
                </c:pt>
                <c:pt idx="2">
                  <c:v>Suburban</c:v>
                </c:pt>
                <c:pt idx="3">
                  <c:v>Urban</c:v>
                </c:pt>
                <c:pt idx="4">
                  <c:v>CBD-Like</c:v>
                </c:pt>
              </c:strCache>
            </c:strRef>
          </c:cat>
          <c:val>
            <c:numRef>
              <c:f>'WFRC Speed V8.3'!$C$6:$G$6</c:f>
              <c:numCache>
                <c:formatCode>0</c:formatCode>
                <c:ptCount val="5"/>
                <c:pt idx="0">
                  <c:v>58</c:v>
                </c:pt>
                <c:pt idx="1">
                  <c:v>47.710843373493979</c:v>
                </c:pt>
                <c:pt idx="2">
                  <c:v>38.297872340425535</c:v>
                </c:pt>
                <c:pt idx="3">
                  <c:v>32.223940109040605</c:v>
                </c:pt>
                <c:pt idx="4">
                  <c:v>24.347826086956523</c:v>
                </c:pt>
              </c:numCache>
            </c:numRef>
          </c:val>
          <c:smooth val="0"/>
          <c:extLst>
            <c:ext xmlns:c16="http://schemas.microsoft.com/office/drawing/2014/chart" uri="{C3380CC4-5D6E-409C-BE32-E72D297353CC}">
              <c16:uniqueId val="{00000000-A6CD-4665-923A-C75CC54998C9}"/>
            </c:ext>
          </c:extLst>
        </c:ser>
        <c:ser>
          <c:idx val="2"/>
          <c:order val="1"/>
          <c:tx>
            <c:strRef>
              <c:f>'WFRC Speed V8.3'!$B$7</c:f>
              <c:strCache>
                <c:ptCount val="1"/>
                <c:pt idx="0">
                  <c:v>Minor Arterial</c:v>
                </c:pt>
              </c:strCache>
            </c:strRef>
          </c:tx>
          <c:spPr>
            <a:ln w="31750">
              <a:solidFill>
                <a:srgbClr val="008000"/>
              </a:solidFill>
              <a:prstDash val="solid"/>
            </a:ln>
          </c:spPr>
          <c:marker>
            <c:symbol val="triangle"/>
            <c:size val="7"/>
            <c:spPr>
              <a:noFill/>
              <a:ln w="22225">
                <a:solidFill>
                  <a:srgbClr val="008000"/>
                </a:solidFill>
                <a:prstDash val="solid"/>
              </a:ln>
            </c:spPr>
          </c:marker>
          <c:cat>
            <c:strRef>
              <c:f>'WFRC Speed V8.3'!$C$4:$G$4</c:f>
              <c:strCache>
                <c:ptCount val="5"/>
                <c:pt idx="0">
                  <c:v>Rural</c:v>
                </c:pt>
                <c:pt idx="1">
                  <c:v>Transition</c:v>
                </c:pt>
                <c:pt idx="2">
                  <c:v>Suburban</c:v>
                </c:pt>
                <c:pt idx="3">
                  <c:v>Urban</c:v>
                </c:pt>
                <c:pt idx="4">
                  <c:v>CBD-Like</c:v>
                </c:pt>
              </c:strCache>
            </c:strRef>
          </c:cat>
          <c:val>
            <c:numRef>
              <c:f>'WFRC Speed V8.3'!$C$7:$G$7</c:f>
              <c:numCache>
                <c:formatCode>0</c:formatCode>
                <c:ptCount val="5"/>
                <c:pt idx="0">
                  <c:v>55</c:v>
                </c:pt>
                <c:pt idx="1">
                  <c:v>42.739726027397261</c:v>
                </c:pt>
                <c:pt idx="2">
                  <c:v>34.750462107208875</c:v>
                </c:pt>
                <c:pt idx="3">
                  <c:v>30.120940138434623</c:v>
                </c:pt>
                <c:pt idx="4">
                  <c:v>21.290322580645164</c:v>
                </c:pt>
              </c:numCache>
            </c:numRef>
          </c:val>
          <c:smooth val="0"/>
          <c:extLst>
            <c:ext xmlns:c16="http://schemas.microsoft.com/office/drawing/2014/chart" uri="{C3380CC4-5D6E-409C-BE32-E72D297353CC}">
              <c16:uniqueId val="{00000001-A6CD-4665-923A-C75CC54998C9}"/>
            </c:ext>
          </c:extLst>
        </c:ser>
        <c:ser>
          <c:idx val="3"/>
          <c:order val="2"/>
          <c:tx>
            <c:strRef>
              <c:f>'WFRC Speed V8.3'!$B$8</c:f>
              <c:strCache>
                <c:ptCount val="1"/>
                <c:pt idx="0">
                  <c:v>Major Collector</c:v>
                </c:pt>
              </c:strCache>
            </c:strRef>
          </c:tx>
          <c:spPr>
            <a:ln w="31750">
              <a:solidFill>
                <a:srgbClr val="0000FF"/>
              </a:solidFill>
              <a:prstDash val="solid"/>
            </a:ln>
          </c:spPr>
          <c:marker>
            <c:symbol val="x"/>
            <c:size val="7"/>
            <c:spPr>
              <a:noFill/>
              <a:ln w="19050">
                <a:solidFill>
                  <a:srgbClr val="0000FF"/>
                </a:solidFill>
                <a:prstDash val="solid"/>
              </a:ln>
            </c:spPr>
          </c:marker>
          <c:cat>
            <c:strRef>
              <c:f>'WFRC Speed V8.3'!$C$4:$G$4</c:f>
              <c:strCache>
                <c:ptCount val="5"/>
                <c:pt idx="0">
                  <c:v>Rural</c:v>
                </c:pt>
                <c:pt idx="1">
                  <c:v>Transition</c:v>
                </c:pt>
                <c:pt idx="2">
                  <c:v>Suburban</c:v>
                </c:pt>
                <c:pt idx="3">
                  <c:v>Urban</c:v>
                </c:pt>
                <c:pt idx="4">
                  <c:v>CBD-Like</c:v>
                </c:pt>
              </c:strCache>
            </c:strRef>
          </c:cat>
          <c:val>
            <c:numRef>
              <c:f>'WFRC Speed V8.3'!$C$8:$G$8</c:f>
              <c:numCache>
                <c:formatCode>0</c:formatCode>
                <c:ptCount val="5"/>
                <c:pt idx="0">
                  <c:v>48</c:v>
                </c:pt>
                <c:pt idx="1">
                  <c:v>38.463287110706979</c:v>
                </c:pt>
                <c:pt idx="2">
                  <c:v>33.563032022699637</c:v>
                </c:pt>
                <c:pt idx="3">
                  <c:v>27.906976744186046</c:v>
                </c:pt>
                <c:pt idx="4">
                  <c:v>18.666666666666664</c:v>
                </c:pt>
              </c:numCache>
            </c:numRef>
          </c:val>
          <c:smooth val="0"/>
          <c:extLst>
            <c:ext xmlns:c16="http://schemas.microsoft.com/office/drawing/2014/chart" uri="{C3380CC4-5D6E-409C-BE32-E72D297353CC}">
              <c16:uniqueId val="{00000002-A6CD-4665-923A-C75CC54998C9}"/>
            </c:ext>
          </c:extLst>
        </c:ser>
        <c:ser>
          <c:idx val="4"/>
          <c:order val="3"/>
          <c:tx>
            <c:strRef>
              <c:f>'WFRC Speed V8.3'!$B$9</c:f>
              <c:strCache>
                <c:ptCount val="1"/>
                <c:pt idx="0">
                  <c:v>Minor Collector</c:v>
                </c:pt>
              </c:strCache>
            </c:strRef>
          </c:tx>
          <c:spPr>
            <a:ln w="31750">
              <a:solidFill>
                <a:srgbClr val="9933FF"/>
              </a:solidFill>
              <a:prstDash val="solid"/>
            </a:ln>
          </c:spPr>
          <c:marker>
            <c:spPr>
              <a:ln w="19050">
                <a:solidFill>
                  <a:srgbClr val="9933FF"/>
                </a:solidFill>
              </a:ln>
            </c:spPr>
          </c:marker>
          <c:cat>
            <c:strRef>
              <c:f>'WFRC Speed V8.3'!$C$4:$G$4</c:f>
              <c:strCache>
                <c:ptCount val="5"/>
                <c:pt idx="0">
                  <c:v>Rural</c:v>
                </c:pt>
                <c:pt idx="1">
                  <c:v>Transition</c:v>
                </c:pt>
                <c:pt idx="2">
                  <c:v>Suburban</c:v>
                </c:pt>
                <c:pt idx="3">
                  <c:v>Urban</c:v>
                </c:pt>
                <c:pt idx="4">
                  <c:v>CBD-Like</c:v>
                </c:pt>
              </c:strCache>
            </c:strRef>
          </c:cat>
          <c:val>
            <c:numRef>
              <c:f>'WFRC Speed V8.3'!$C$9:$G$9</c:f>
              <c:numCache>
                <c:formatCode>0</c:formatCode>
                <c:ptCount val="5"/>
                <c:pt idx="0">
                  <c:v>42</c:v>
                </c:pt>
                <c:pt idx="1">
                  <c:v>32.463287110706979</c:v>
                </c:pt>
                <c:pt idx="2">
                  <c:v>25.563032022699637</c:v>
                </c:pt>
                <c:pt idx="3">
                  <c:v>22.906976744186046</c:v>
                </c:pt>
                <c:pt idx="4">
                  <c:v>14.666666666666664</c:v>
                </c:pt>
              </c:numCache>
            </c:numRef>
          </c:val>
          <c:smooth val="0"/>
          <c:extLst>
            <c:ext xmlns:c16="http://schemas.microsoft.com/office/drawing/2014/chart" uri="{C3380CC4-5D6E-409C-BE32-E72D297353CC}">
              <c16:uniqueId val="{00000003-A6CD-4665-923A-C75CC54998C9}"/>
            </c:ext>
          </c:extLst>
        </c:ser>
        <c:ser>
          <c:idx val="0"/>
          <c:order val="4"/>
          <c:tx>
            <c:strRef>
              <c:f>'WFRC Speed V8.3'!$B$5</c:f>
              <c:strCache>
                <c:ptCount val="1"/>
                <c:pt idx="0">
                  <c:v>Centroid Connector / Local</c:v>
                </c:pt>
              </c:strCache>
            </c:strRef>
          </c:tx>
          <c:spPr>
            <a:ln w="31750">
              <a:solidFill>
                <a:srgbClr val="969696"/>
              </a:solidFill>
              <a:prstDash val="solid"/>
            </a:ln>
          </c:spPr>
          <c:marker>
            <c:symbol val="diamond"/>
            <c:size val="7"/>
            <c:spPr>
              <a:noFill/>
              <a:ln w="19050">
                <a:solidFill>
                  <a:srgbClr val="969696"/>
                </a:solidFill>
                <a:prstDash val="solid"/>
              </a:ln>
            </c:spPr>
          </c:marker>
          <c:cat>
            <c:strRef>
              <c:f>'WFRC Speed V8.3'!$C$4:$G$4</c:f>
              <c:strCache>
                <c:ptCount val="5"/>
                <c:pt idx="0">
                  <c:v>Rural</c:v>
                </c:pt>
                <c:pt idx="1">
                  <c:v>Transition</c:v>
                </c:pt>
                <c:pt idx="2">
                  <c:v>Suburban</c:v>
                </c:pt>
                <c:pt idx="3">
                  <c:v>Urban</c:v>
                </c:pt>
                <c:pt idx="4">
                  <c:v>CBD-Like</c:v>
                </c:pt>
              </c:strCache>
            </c:strRef>
          </c:cat>
          <c:val>
            <c:numRef>
              <c:f>'WFRC Speed V8.3'!$C$5:$G$5</c:f>
              <c:numCache>
                <c:formatCode>0</c:formatCode>
                <c:ptCount val="5"/>
                <c:pt idx="0">
                  <c:v>30</c:v>
                </c:pt>
                <c:pt idx="1">
                  <c:v>24</c:v>
                </c:pt>
                <c:pt idx="2">
                  <c:v>20.16</c:v>
                </c:pt>
                <c:pt idx="3">
                  <c:v>17.034700315457414</c:v>
                </c:pt>
                <c:pt idx="4">
                  <c:v>13.535791757049891</c:v>
                </c:pt>
              </c:numCache>
            </c:numRef>
          </c:val>
          <c:smooth val="0"/>
          <c:extLst>
            <c:ext xmlns:c16="http://schemas.microsoft.com/office/drawing/2014/chart" uri="{C3380CC4-5D6E-409C-BE32-E72D297353CC}">
              <c16:uniqueId val="{00000004-A6CD-4665-923A-C75CC54998C9}"/>
            </c:ext>
          </c:extLst>
        </c:ser>
        <c:ser>
          <c:idx val="5"/>
          <c:order val="5"/>
          <c:tx>
            <c:v>Old Centroid Conector</c:v>
          </c:tx>
          <c:spPr>
            <a:ln w="31750">
              <a:solidFill>
                <a:schemeClr val="bg1">
                  <a:lumMod val="65000"/>
                </a:schemeClr>
              </a:solidFill>
              <a:prstDash val="dash"/>
            </a:ln>
          </c:spPr>
          <c:marker>
            <c:symbol val="none"/>
          </c:marker>
          <c:val>
            <c:numRef>
              <c:f>#REF!</c:f>
              <c:numCache>
                <c:formatCode>General</c:formatCode>
                <c:ptCount val="1"/>
                <c:pt idx="0">
                  <c:v>1</c:v>
                </c:pt>
              </c:numCache>
            </c:numRef>
          </c:val>
          <c:smooth val="0"/>
          <c:extLst>
            <c:ext xmlns:c16="http://schemas.microsoft.com/office/drawing/2014/chart" uri="{C3380CC4-5D6E-409C-BE32-E72D297353CC}">
              <c16:uniqueId val="{00000005-A6CD-4665-923A-C75CC54998C9}"/>
            </c:ext>
          </c:extLst>
        </c:ser>
        <c:ser>
          <c:idx val="9"/>
          <c:order val="6"/>
          <c:tx>
            <c:v>Old Principal Arterial</c:v>
          </c:tx>
          <c:spPr>
            <a:ln>
              <a:solidFill>
                <a:srgbClr val="FF0000"/>
              </a:solidFill>
              <a:prstDash val="dash"/>
            </a:ln>
          </c:spPr>
          <c:marker>
            <c:symbol val="none"/>
          </c:marker>
          <c:val>
            <c:numRef>
              <c:f>#REF!</c:f>
              <c:numCache>
                <c:formatCode>General</c:formatCode>
                <c:ptCount val="1"/>
                <c:pt idx="0">
                  <c:v>1</c:v>
                </c:pt>
              </c:numCache>
            </c:numRef>
          </c:val>
          <c:smooth val="0"/>
          <c:extLst>
            <c:ext xmlns:c16="http://schemas.microsoft.com/office/drawing/2014/chart" uri="{C3380CC4-5D6E-409C-BE32-E72D297353CC}">
              <c16:uniqueId val="{00000006-A6CD-4665-923A-C75CC54998C9}"/>
            </c:ext>
          </c:extLst>
        </c:ser>
        <c:ser>
          <c:idx val="6"/>
          <c:order val="7"/>
          <c:tx>
            <c:v>Old Minor Arterial</c:v>
          </c:tx>
          <c:spPr>
            <a:ln>
              <a:solidFill>
                <a:srgbClr val="008000"/>
              </a:solidFill>
              <a:prstDash val="dash"/>
            </a:ln>
          </c:spPr>
          <c:marker>
            <c:symbol val="none"/>
          </c:marker>
          <c:val>
            <c:numRef>
              <c:f>#REF!</c:f>
              <c:numCache>
                <c:formatCode>General</c:formatCode>
                <c:ptCount val="1"/>
                <c:pt idx="0">
                  <c:v>1</c:v>
                </c:pt>
              </c:numCache>
            </c:numRef>
          </c:val>
          <c:smooth val="0"/>
          <c:extLst>
            <c:ext xmlns:c16="http://schemas.microsoft.com/office/drawing/2014/chart" uri="{C3380CC4-5D6E-409C-BE32-E72D297353CC}">
              <c16:uniqueId val="{00000007-A6CD-4665-923A-C75CC54998C9}"/>
            </c:ext>
          </c:extLst>
        </c:ser>
        <c:ser>
          <c:idx val="7"/>
          <c:order val="8"/>
          <c:tx>
            <c:v>Old Major Collector</c:v>
          </c:tx>
          <c:spPr>
            <a:ln>
              <a:solidFill>
                <a:srgbClr val="0000FF"/>
              </a:solidFill>
              <a:prstDash val="dash"/>
            </a:ln>
          </c:spPr>
          <c:marker>
            <c:symbol val="none"/>
          </c:marker>
          <c:val>
            <c:numRef>
              <c:f>#REF!</c:f>
              <c:numCache>
                <c:formatCode>General</c:formatCode>
                <c:ptCount val="1"/>
                <c:pt idx="0">
                  <c:v>1</c:v>
                </c:pt>
              </c:numCache>
            </c:numRef>
          </c:val>
          <c:smooth val="0"/>
          <c:extLst>
            <c:ext xmlns:c16="http://schemas.microsoft.com/office/drawing/2014/chart" uri="{C3380CC4-5D6E-409C-BE32-E72D297353CC}">
              <c16:uniqueId val="{00000008-A6CD-4665-923A-C75CC54998C9}"/>
            </c:ext>
          </c:extLst>
        </c:ser>
        <c:ser>
          <c:idx val="8"/>
          <c:order val="9"/>
          <c:tx>
            <c:v>Old Minor Collector</c:v>
          </c:tx>
          <c:spPr>
            <a:ln>
              <a:solidFill>
                <a:srgbClr val="9933FF"/>
              </a:solidFill>
              <a:prstDash val="dash"/>
            </a:ln>
          </c:spPr>
          <c:marker>
            <c:symbol val="none"/>
          </c:marker>
          <c:val>
            <c:numRef>
              <c:f>#REF!</c:f>
              <c:numCache>
                <c:formatCode>General</c:formatCode>
                <c:ptCount val="1"/>
                <c:pt idx="0">
                  <c:v>1</c:v>
                </c:pt>
              </c:numCache>
            </c:numRef>
          </c:val>
          <c:smooth val="0"/>
          <c:extLst>
            <c:ext xmlns:c16="http://schemas.microsoft.com/office/drawing/2014/chart" uri="{C3380CC4-5D6E-409C-BE32-E72D297353CC}">
              <c16:uniqueId val="{00000009-A6CD-4665-923A-C75CC54998C9}"/>
            </c:ext>
          </c:extLst>
        </c:ser>
        <c:dLbls>
          <c:showLegendKey val="0"/>
          <c:showVal val="0"/>
          <c:showCatName val="0"/>
          <c:showSerName val="0"/>
          <c:showPercent val="0"/>
          <c:showBubbleSize val="0"/>
        </c:dLbls>
        <c:marker val="1"/>
        <c:smooth val="0"/>
        <c:axId val="241102864"/>
        <c:axId val="241103256"/>
      </c:lineChart>
      <c:catAx>
        <c:axId val="241102864"/>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241103256"/>
        <c:crosses val="autoZero"/>
        <c:auto val="1"/>
        <c:lblAlgn val="ctr"/>
        <c:lblOffset val="100"/>
        <c:tickLblSkip val="1"/>
        <c:tickMarkSkip val="1"/>
        <c:noMultiLvlLbl val="0"/>
      </c:catAx>
      <c:valAx>
        <c:axId val="241103256"/>
        <c:scaling>
          <c:orientation val="minMax"/>
          <c:max val="60"/>
          <c:min val="0"/>
        </c:scaling>
        <c:delete val="0"/>
        <c:axPos val="l"/>
        <c:majorGridlines>
          <c:spPr>
            <a:ln w="3175">
              <a:solidFill>
                <a:srgbClr val="C0C0C0"/>
              </a:solidFill>
              <a:prstDash val="solid"/>
            </a:ln>
          </c:spPr>
        </c:majorGridlines>
        <c:title>
          <c:tx>
            <c:rich>
              <a:bodyPr rot="0" vert="horz"/>
              <a:lstStyle/>
              <a:p>
                <a:pPr algn="ctr">
                  <a:defRPr sz="1200" b="1" i="0" u="none" strike="noStrike" baseline="0">
                    <a:solidFill>
                      <a:srgbClr val="000000"/>
                    </a:solidFill>
                    <a:latin typeface="Calibri"/>
                    <a:ea typeface="Calibri"/>
                    <a:cs typeface="Calibri"/>
                  </a:defRPr>
                </a:pPr>
                <a:r>
                  <a:rPr lang="en-US"/>
                  <a:t>MPH</a:t>
                </a:r>
              </a:p>
            </c:rich>
          </c:tx>
          <c:layout>
            <c:manualLayout>
              <c:xMode val="edge"/>
              <c:yMode val="edge"/>
              <c:x val="2.450548128998719E-2"/>
              <c:y val="8.157545403260869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241102864"/>
        <c:crosses val="autoZero"/>
        <c:crossBetween val="between"/>
      </c:valAx>
      <c:spPr>
        <a:solidFill>
          <a:srgbClr val="FFFFFF"/>
        </a:solidFill>
        <a:ln w="12700">
          <a:solidFill>
            <a:srgbClr val="C0C0C0"/>
          </a:solidFill>
          <a:prstDash val="solid"/>
        </a:ln>
      </c:spPr>
    </c:plotArea>
    <c:legend>
      <c:legendPos val="b"/>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7.2260924156814944E-3"/>
          <c:y val="0.9214881227584244"/>
          <c:w val="0.89999994119260807"/>
          <c:h val="4.1249078307885878E-2"/>
        </c:manualLayout>
      </c:layout>
      <c:overlay val="0"/>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44" r="0.75000000000000144"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Free Flow Speed</a:t>
            </a:r>
          </a:p>
        </c:rich>
      </c:tx>
      <c:layout>
        <c:manualLayout>
          <c:xMode val="edge"/>
          <c:yMode val="edge"/>
          <c:x val="0.37864560878017045"/>
          <c:y val="2.8136482939632456E-2"/>
        </c:manualLayout>
      </c:layout>
      <c:overlay val="0"/>
      <c:spPr>
        <a:noFill/>
        <a:ln w="25400">
          <a:noFill/>
        </a:ln>
      </c:spPr>
    </c:title>
    <c:autoTitleDeleted val="0"/>
    <c:plotArea>
      <c:layout>
        <c:manualLayout>
          <c:layoutTarget val="inner"/>
          <c:xMode val="edge"/>
          <c:yMode val="edge"/>
          <c:x val="0.24849260450336544"/>
          <c:y val="0.20913366596418331"/>
          <c:w val="0.71401872876933148"/>
          <c:h val="0.76063606903976544"/>
        </c:manualLayout>
      </c:layout>
      <c:barChart>
        <c:barDir val="bar"/>
        <c:grouping val="clustered"/>
        <c:varyColors val="0"/>
        <c:ser>
          <c:idx val="0"/>
          <c:order val="0"/>
          <c:tx>
            <c:strRef>
              <c:f>'WFRC Speed V8.3'!$C$14</c:f>
              <c:strCache>
                <c:ptCount val="1"/>
                <c:pt idx="0">
                  <c:v>Speed</c:v>
                </c:pt>
              </c:strCache>
            </c:strRef>
          </c:tx>
          <c:spPr>
            <a:solidFill>
              <a:srgbClr val="339966"/>
            </a:solidFill>
            <a:ln w="12700">
              <a:solidFill>
                <a:srgbClr val="C0C0C0"/>
              </a:solidFill>
              <a:prstDash val="solid"/>
            </a:ln>
          </c:spPr>
          <c:invertIfNegative val="0"/>
          <c:cat>
            <c:strRef>
              <c:f>('WFRC Speed V8.3'!$B$15:$B$18,'WFRC Speed V8.3'!$B$31:$B$40,'WFRC Speed V8.3'!$B$42:$B$43)</c:f>
              <c:strCache>
                <c:ptCount val="16"/>
                <c:pt idx="0">
                  <c:v>Expressway, posted 60-70 mph</c:v>
                </c:pt>
                <c:pt idx="1">
                  <c:v>Expressway, posted 55-65 mph</c:v>
                </c:pt>
                <c:pt idx="2">
                  <c:v>Expressway, posted 50-60 mph</c:v>
                </c:pt>
                <c:pt idx="3">
                  <c:v>Expressway, posted 45-55 mph</c:v>
                </c:pt>
                <c:pt idx="4">
                  <c:v>Fwy: fwy-to-fwy loop ramp</c:v>
                </c:pt>
                <c:pt idx="5">
                  <c:v>Fwy: C-D road, flyover ramp</c:v>
                </c:pt>
                <c:pt idx="6">
                  <c:v>Fwy: posted 55-60 mph</c:v>
                </c:pt>
                <c:pt idx="7">
                  <c:v>Fwy: posted 65 mph, no aux lane</c:v>
                </c:pt>
                <c:pt idx="8">
                  <c:v>Fwy: posted 65 mph, aux lane</c:v>
                </c:pt>
                <c:pt idx="9">
                  <c:v>Fwy: posted 75 mph, no aux lane</c:v>
                </c:pt>
                <c:pt idx="10">
                  <c:v>Fwy: posted 75 mph, aux lane</c:v>
                </c:pt>
                <c:pt idx="11">
                  <c:v>Fwy: HOV lane</c:v>
                </c:pt>
                <c:pt idx="12">
                  <c:v>Fwy: Managed lane</c:v>
                </c:pt>
                <c:pt idx="13">
                  <c:v>Fwy: Managed lane access</c:v>
                </c:pt>
                <c:pt idx="14">
                  <c:v>Fwy: On-ramp</c:v>
                </c:pt>
                <c:pt idx="15">
                  <c:v>Fwy: Off-ramp</c:v>
                </c:pt>
              </c:strCache>
            </c:strRef>
          </c:cat>
          <c:val>
            <c:numRef>
              <c:f>('WFRC Speed V8.3'!$C$15:$C$18,'WFRC Speed V8.3'!$C$31:$C$40,'WFRC Speed V8.3'!$C$42:$C$43)</c:f>
              <c:numCache>
                <c:formatCode>0</c:formatCode>
                <c:ptCount val="16"/>
                <c:pt idx="0">
                  <c:v>56.124721603563479</c:v>
                </c:pt>
                <c:pt idx="1">
                  <c:v>53.333333333333336</c:v>
                </c:pt>
                <c:pt idx="2">
                  <c:v>47.710843373493979</c:v>
                </c:pt>
                <c:pt idx="3">
                  <c:v>42.603550295857993</c:v>
                </c:pt>
                <c:pt idx="4">
                  <c:v>35</c:v>
                </c:pt>
                <c:pt idx="5">
                  <c:v>55</c:v>
                </c:pt>
                <c:pt idx="6">
                  <c:v>65</c:v>
                </c:pt>
                <c:pt idx="7">
                  <c:v>75</c:v>
                </c:pt>
                <c:pt idx="8">
                  <c:v>73</c:v>
                </c:pt>
                <c:pt idx="9">
                  <c:v>80</c:v>
                </c:pt>
                <c:pt idx="10">
                  <c:v>77</c:v>
                </c:pt>
                <c:pt idx="11">
                  <c:v>77</c:v>
                </c:pt>
                <c:pt idx="12">
                  <c:v>77</c:v>
                </c:pt>
                <c:pt idx="13">
                  <c:v>77</c:v>
                </c:pt>
                <c:pt idx="14">
                  <c:v>23</c:v>
                </c:pt>
                <c:pt idx="15">
                  <c:v>26</c:v>
                </c:pt>
              </c:numCache>
            </c:numRef>
          </c:val>
          <c:extLst>
            <c:ext xmlns:c16="http://schemas.microsoft.com/office/drawing/2014/chart" uri="{C3380CC4-5D6E-409C-BE32-E72D297353CC}">
              <c16:uniqueId val="{00000000-71DB-4771-85C3-1FDC121B353B}"/>
            </c:ext>
          </c:extLst>
        </c:ser>
        <c:dLbls>
          <c:showLegendKey val="0"/>
          <c:showVal val="0"/>
          <c:showCatName val="0"/>
          <c:showSerName val="0"/>
          <c:showPercent val="0"/>
          <c:showBubbleSize val="0"/>
        </c:dLbls>
        <c:gapWidth val="100"/>
        <c:axId val="241104040"/>
        <c:axId val="241104432"/>
      </c:barChart>
      <c:catAx>
        <c:axId val="241104040"/>
        <c:scaling>
          <c:orientation val="maxMin"/>
        </c:scaling>
        <c:delete val="0"/>
        <c:axPos val="l"/>
        <c:title>
          <c:tx>
            <c:rich>
              <a:bodyPr rot="0" vert="horz"/>
              <a:lstStyle/>
              <a:p>
                <a:pPr algn="ctr">
                  <a:defRPr sz="1200" b="1" i="0" u="none" strike="noStrike" baseline="0">
                    <a:solidFill>
                      <a:srgbClr val="000000"/>
                    </a:solidFill>
                    <a:latin typeface="Calibri"/>
                    <a:ea typeface="Calibri"/>
                    <a:cs typeface="Calibri"/>
                  </a:defRPr>
                </a:pPr>
                <a:r>
                  <a:rPr lang="en-US"/>
                  <a:t>Functional Type</a:t>
                </a:r>
              </a:p>
            </c:rich>
          </c:tx>
          <c:layout>
            <c:manualLayout>
              <c:xMode val="edge"/>
              <c:yMode val="edge"/>
              <c:x val="4.9316860157255712E-2"/>
              <c:y val="0.1576082302152897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41104432"/>
        <c:crosses val="autoZero"/>
        <c:auto val="1"/>
        <c:lblAlgn val="ctr"/>
        <c:lblOffset val="100"/>
        <c:tickLblSkip val="1"/>
        <c:tickMarkSkip val="1"/>
        <c:noMultiLvlLbl val="0"/>
      </c:catAx>
      <c:valAx>
        <c:axId val="241104432"/>
        <c:scaling>
          <c:orientation val="minMax"/>
          <c:max val="80"/>
        </c:scaling>
        <c:delete val="0"/>
        <c:axPos val="t"/>
        <c:majorGridlines>
          <c:spPr>
            <a:ln w="3175">
              <a:solidFill>
                <a:srgbClr val="C0C0C0"/>
              </a:solidFill>
              <a:prstDash val="solid"/>
            </a:ln>
          </c:spPr>
        </c:majorGridlines>
        <c:title>
          <c:tx>
            <c:rich>
              <a:bodyPr/>
              <a:lstStyle/>
              <a:p>
                <a:pPr>
                  <a:defRPr sz="1200" b="1" i="0" u="none" strike="noStrike" baseline="0">
                    <a:solidFill>
                      <a:srgbClr val="000000"/>
                    </a:solidFill>
                    <a:latin typeface="Calibri"/>
                    <a:ea typeface="Calibri"/>
                    <a:cs typeface="Calibri"/>
                  </a:defRPr>
                </a:pPr>
                <a:r>
                  <a:rPr lang="en-US"/>
                  <a:t>MPH</a:t>
                </a:r>
              </a:p>
            </c:rich>
          </c:tx>
          <c:layout>
            <c:manualLayout>
              <c:xMode val="edge"/>
              <c:yMode val="edge"/>
              <c:x val="0.57653934452464384"/>
              <c:y val="0.1217899695636282"/>
            </c:manualLayout>
          </c:layout>
          <c:overlay val="0"/>
          <c:spPr>
            <a:noFill/>
            <a:ln w="25400">
              <a:noFill/>
            </a:ln>
          </c:spPr>
        </c:title>
        <c:numFmt formatCode="0" sourceLinked="0"/>
        <c:majorTickMark val="out"/>
        <c:minorTickMark val="none"/>
        <c:tickLblPos val="nextTo"/>
        <c:spPr>
          <a:ln w="3175">
            <a:solidFill>
              <a:srgbClr val="C0C0C0"/>
            </a:solidFill>
            <a:prstDash val="solid"/>
          </a:ln>
        </c:spPr>
        <c:txPr>
          <a:bodyPr rot="0" vert="horz"/>
          <a:lstStyle/>
          <a:p>
            <a:pPr>
              <a:defRPr sz="1100" b="0" i="0" u="none" strike="noStrike" baseline="0">
                <a:solidFill>
                  <a:srgbClr val="000000"/>
                </a:solidFill>
                <a:latin typeface="Calibri"/>
                <a:ea typeface="Calibri"/>
                <a:cs typeface="Calibri"/>
              </a:defRPr>
            </a:pPr>
            <a:endParaRPr lang="en-US"/>
          </a:p>
        </c:txPr>
        <c:crossAx val="241104040"/>
        <c:crosses val="autoZero"/>
        <c:crossBetween val="between"/>
      </c:valAx>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44" r="0.750000000000001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Capacity by Area Type</a:t>
            </a:r>
          </a:p>
        </c:rich>
      </c:tx>
      <c:overlay val="0"/>
    </c:title>
    <c:autoTitleDeleted val="0"/>
    <c:plotArea>
      <c:layout>
        <c:manualLayout>
          <c:layoutTarget val="inner"/>
          <c:xMode val="edge"/>
          <c:yMode val="edge"/>
          <c:x val="8.4893306030901158E-2"/>
          <c:y val="0.13250319799394841"/>
          <c:w val="0.89342553336120689"/>
          <c:h val="0.61226328707906308"/>
        </c:manualLayout>
      </c:layout>
      <c:lineChart>
        <c:grouping val="standard"/>
        <c:varyColors val="0"/>
        <c:ser>
          <c:idx val="0"/>
          <c:order val="0"/>
          <c:tx>
            <c:strRef>
              <c:f>'WFRC Cap1hr1ln V8.3'!$W$10:$Y$10</c:f>
              <c:strCache>
                <c:ptCount val="3"/>
                <c:pt idx="0">
                  <c:v>Principal Arterial, 2 lanes</c:v>
                </c:pt>
              </c:strCache>
            </c:strRef>
          </c:tx>
          <c:spPr>
            <a:ln w="25400">
              <a:solidFill>
                <a:srgbClr val="FF0000"/>
              </a:solidFill>
            </a:ln>
          </c:spPr>
          <c:marker>
            <c:spPr>
              <a:noFill/>
              <a:ln>
                <a:solidFill>
                  <a:srgbClr val="FF0000"/>
                </a:solidFill>
              </a:ln>
            </c:spPr>
          </c:marker>
          <c:cat>
            <c:strRef>
              <c:f>'WFRC Cap1hr1ln V8.3'!$Z$7:$AD$7</c:f>
              <c:strCache>
                <c:ptCount val="5"/>
                <c:pt idx="0">
                  <c:v>Rural</c:v>
                </c:pt>
                <c:pt idx="1">
                  <c:v>Transition</c:v>
                </c:pt>
                <c:pt idx="2">
                  <c:v>Suburban</c:v>
                </c:pt>
                <c:pt idx="3">
                  <c:v>Urban</c:v>
                </c:pt>
                <c:pt idx="4">
                  <c:v>CBD</c:v>
                </c:pt>
              </c:strCache>
            </c:strRef>
          </c:cat>
          <c:val>
            <c:numRef>
              <c:f>'WFRC Cap1hr1ln V8.3'!$Z$10:$AD$10</c:f>
              <c:numCache>
                <c:formatCode>_(* #,##0_);_(* \(#,##0\);_(* "-"??_);_(@_)</c:formatCode>
                <c:ptCount val="5"/>
                <c:pt idx="0">
                  <c:v>1022.1354</c:v>
                </c:pt>
                <c:pt idx="1">
                  <c:v>975.67470000000003</c:v>
                </c:pt>
                <c:pt idx="2">
                  <c:v>929.21399999999994</c:v>
                </c:pt>
                <c:pt idx="3">
                  <c:v>882.75329999999985</c:v>
                </c:pt>
                <c:pt idx="4">
                  <c:v>836.29259999999999</c:v>
                </c:pt>
              </c:numCache>
            </c:numRef>
          </c:val>
          <c:smooth val="0"/>
          <c:extLst>
            <c:ext xmlns:c16="http://schemas.microsoft.com/office/drawing/2014/chart" uri="{C3380CC4-5D6E-409C-BE32-E72D297353CC}">
              <c16:uniqueId val="{00000000-1898-4984-A3F4-984B5B00400A}"/>
            </c:ext>
          </c:extLst>
        </c:ser>
        <c:ser>
          <c:idx val="1"/>
          <c:order val="1"/>
          <c:tx>
            <c:strRef>
              <c:f>'WFRC Cap1hr1ln V8.3'!$W$11:$Y$11</c:f>
              <c:strCache>
                <c:ptCount val="3"/>
                <c:pt idx="0">
                  <c:v>Principal Arterial, 3 lanes</c:v>
                </c:pt>
              </c:strCache>
            </c:strRef>
          </c:tx>
          <c:spPr>
            <a:ln w="25400">
              <a:solidFill>
                <a:srgbClr val="FF0000"/>
              </a:solidFill>
              <a:prstDash val="dash"/>
            </a:ln>
          </c:spPr>
          <c:marker>
            <c:symbol val="none"/>
          </c:marker>
          <c:cat>
            <c:strRef>
              <c:f>'WFRC Cap1hr1ln V8.3'!$Z$7:$AD$7</c:f>
              <c:strCache>
                <c:ptCount val="5"/>
                <c:pt idx="0">
                  <c:v>Rural</c:v>
                </c:pt>
                <c:pt idx="1">
                  <c:v>Transition</c:v>
                </c:pt>
                <c:pt idx="2">
                  <c:v>Suburban</c:v>
                </c:pt>
                <c:pt idx="3">
                  <c:v>Urban</c:v>
                </c:pt>
                <c:pt idx="4">
                  <c:v>CBD</c:v>
                </c:pt>
              </c:strCache>
            </c:strRef>
          </c:cat>
          <c:val>
            <c:numRef>
              <c:f>'WFRC Cap1hr1ln V8.3'!$Z$11:$AD$11</c:f>
              <c:numCache>
                <c:formatCode>_(* #,##0_);_(* \(#,##0\);_(* "-"??_);_(@_)</c:formatCode>
                <c:ptCount val="5"/>
                <c:pt idx="0">
                  <c:v>979.09812000000011</c:v>
                </c:pt>
                <c:pt idx="1">
                  <c:v>934.59366</c:v>
                </c:pt>
                <c:pt idx="2">
                  <c:v>890.08920000000001</c:v>
                </c:pt>
                <c:pt idx="3">
                  <c:v>845.58474000000001</c:v>
                </c:pt>
                <c:pt idx="4">
                  <c:v>801.08028000000002</c:v>
                </c:pt>
              </c:numCache>
            </c:numRef>
          </c:val>
          <c:smooth val="0"/>
          <c:extLst>
            <c:ext xmlns:c16="http://schemas.microsoft.com/office/drawing/2014/chart" uri="{C3380CC4-5D6E-409C-BE32-E72D297353CC}">
              <c16:uniqueId val="{00000001-1898-4984-A3F4-984B5B00400A}"/>
            </c:ext>
          </c:extLst>
        </c:ser>
        <c:ser>
          <c:idx val="2"/>
          <c:order val="2"/>
          <c:tx>
            <c:strRef>
              <c:f>'WFRC Cap1hr1ln V8.3'!$W$12:$Y$12</c:f>
              <c:strCache>
                <c:ptCount val="3"/>
                <c:pt idx="0">
                  <c:v>Minor Arterial, 2 lanes</c:v>
                </c:pt>
              </c:strCache>
            </c:strRef>
          </c:tx>
          <c:spPr>
            <a:ln w="25400">
              <a:solidFill>
                <a:srgbClr val="008000"/>
              </a:solidFill>
            </a:ln>
          </c:spPr>
          <c:marker>
            <c:spPr>
              <a:noFill/>
              <a:ln>
                <a:solidFill>
                  <a:srgbClr val="008000"/>
                </a:solidFill>
              </a:ln>
            </c:spPr>
          </c:marker>
          <c:cat>
            <c:strRef>
              <c:f>'WFRC Cap1hr1ln V8.3'!$Z$7:$AD$7</c:f>
              <c:strCache>
                <c:ptCount val="5"/>
                <c:pt idx="0">
                  <c:v>Rural</c:v>
                </c:pt>
                <c:pt idx="1">
                  <c:v>Transition</c:v>
                </c:pt>
                <c:pt idx="2">
                  <c:v>Suburban</c:v>
                </c:pt>
                <c:pt idx="3">
                  <c:v>Urban</c:v>
                </c:pt>
                <c:pt idx="4">
                  <c:v>CBD</c:v>
                </c:pt>
              </c:strCache>
            </c:strRef>
          </c:cat>
          <c:val>
            <c:numRef>
              <c:f>'WFRC Cap1hr1ln V8.3'!$Z$12:$AD$12</c:f>
              <c:numCache>
                <c:formatCode>_(* #,##0_);_(* \(#,##0\);_(* "-"??_);_(@_)</c:formatCode>
                <c:ptCount val="5"/>
                <c:pt idx="0">
                  <c:v>943.50959999999998</c:v>
                </c:pt>
                <c:pt idx="1">
                  <c:v>900.62279999999987</c:v>
                </c:pt>
                <c:pt idx="2">
                  <c:v>857.73599999999988</c:v>
                </c:pt>
                <c:pt idx="3">
                  <c:v>814.84919999999988</c:v>
                </c:pt>
                <c:pt idx="4">
                  <c:v>771.96239999999989</c:v>
                </c:pt>
              </c:numCache>
            </c:numRef>
          </c:val>
          <c:smooth val="0"/>
          <c:extLst>
            <c:ext xmlns:c16="http://schemas.microsoft.com/office/drawing/2014/chart" uri="{C3380CC4-5D6E-409C-BE32-E72D297353CC}">
              <c16:uniqueId val="{00000002-1898-4984-A3F4-984B5B00400A}"/>
            </c:ext>
          </c:extLst>
        </c:ser>
        <c:ser>
          <c:idx val="3"/>
          <c:order val="3"/>
          <c:tx>
            <c:strRef>
              <c:f>'WFRC Cap1hr1ln V8.3'!$W$13:$Y$13</c:f>
              <c:strCache>
                <c:ptCount val="3"/>
                <c:pt idx="0">
                  <c:v>Minor Arterial, 3 lanes</c:v>
                </c:pt>
              </c:strCache>
            </c:strRef>
          </c:tx>
          <c:spPr>
            <a:ln w="25400">
              <a:solidFill>
                <a:srgbClr val="008000"/>
              </a:solidFill>
              <a:prstDash val="dash"/>
            </a:ln>
          </c:spPr>
          <c:marker>
            <c:symbol val="none"/>
          </c:marker>
          <c:cat>
            <c:strRef>
              <c:f>'WFRC Cap1hr1ln V8.3'!$Z$7:$AD$7</c:f>
              <c:strCache>
                <c:ptCount val="5"/>
                <c:pt idx="0">
                  <c:v>Rural</c:v>
                </c:pt>
                <c:pt idx="1">
                  <c:v>Transition</c:v>
                </c:pt>
                <c:pt idx="2">
                  <c:v>Suburban</c:v>
                </c:pt>
                <c:pt idx="3">
                  <c:v>Urban</c:v>
                </c:pt>
                <c:pt idx="4">
                  <c:v>CBD</c:v>
                </c:pt>
              </c:strCache>
            </c:strRef>
          </c:cat>
          <c:val>
            <c:numRef>
              <c:f>'WFRC Cap1hr1ln V8.3'!$Z$13:$AD$13</c:f>
              <c:numCache>
                <c:formatCode>_(* #,##0_);_(* \(#,##0\);_(* "-"??_);_(@_)</c:formatCode>
                <c:ptCount val="5"/>
                <c:pt idx="0">
                  <c:v>903.78288000000009</c:v>
                </c:pt>
                <c:pt idx="1">
                  <c:v>862.70184000000006</c:v>
                </c:pt>
                <c:pt idx="2">
                  <c:v>821.62080000000003</c:v>
                </c:pt>
                <c:pt idx="3">
                  <c:v>780.53976</c:v>
                </c:pt>
                <c:pt idx="4">
                  <c:v>739.45872000000008</c:v>
                </c:pt>
              </c:numCache>
            </c:numRef>
          </c:val>
          <c:smooth val="0"/>
          <c:extLst>
            <c:ext xmlns:c16="http://schemas.microsoft.com/office/drawing/2014/chart" uri="{C3380CC4-5D6E-409C-BE32-E72D297353CC}">
              <c16:uniqueId val="{00000003-1898-4984-A3F4-984B5B00400A}"/>
            </c:ext>
          </c:extLst>
        </c:ser>
        <c:ser>
          <c:idx val="4"/>
          <c:order val="4"/>
          <c:tx>
            <c:strRef>
              <c:f>'WFRC Cap1hr1ln V8.3'!$W$14:$Y$14</c:f>
              <c:strCache>
                <c:ptCount val="3"/>
                <c:pt idx="0">
                  <c:v>Major Collector, 1 lane</c:v>
                </c:pt>
              </c:strCache>
            </c:strRef>
          </c:tx>
          <c:spPr>
            <a:ln w="25400">
              <a:solidFill>
                <a:srgbClr val="0000FF"/>
              </a:solidFill>
            </a:ln>
          </c:spPr>
          <c:marker>
            <c:spPr>
              <a:ln>
                <a:solidFill>
                  <a:srgbClr val="0000FF"/>
                </a:solidFill>
              </a:ln>
            </c:spPr>
          </c:marker>
          <c:cat>
            <c:strRef>
              <c:f>'WFRC Cap1hr1ln V8.3'!$Z$7:$AD$7</c:f>
              <c:strCache>
                <c:ptCount val="5"/>
                <c:pt idx="0">
                  <c:v>Rural</c:v>
                </c:pt>
                <c:pt idx="1">
                  <c:v>Transition</c:v>
                </c:pt>
                <c:pt idx="2">
                  <c:v>Suburban</c:v>
                </c:pt>
                <c:pt idx="3">
                  <c:v>Urban</c:v>
                </c:pt>
                <c:pt idx="4">
                  <c:v>CBD</c:v>
                </c:pt>
              </c:strCache>
            </c:strRef>
          </c:cat>
          <c:val>
            <c:numRef>
              <c:f>'WFRC Cap1hr1ln V8.3'!$Z$14:$AD$14</c:f>
              <c:numCache>
                <c:formatCode>_(* #,##0_);_(* \(#,##0\);_(* "-"??_);_(@_)</c:formatCode>
                <c:ptCount val="5"/>
                <c:pt idx="0">
                  <c:v>822.80000000000007</c:v>
                </c:pt>
                <c:pt idx="1">
                  <c:v>785.4</c:v>
                </c:pt>
                <c:pt idx="2">
                  <c:v>748</c:v>
                </c:pt>
                <c:pt idx="3">
                  <c:v>710.6</c:v>
                </c:pt>
                <c:pt idx="4">
                  <c:v>673.2</c:v>
                </c:pt>
              </c:numCache>
            </c:numRef>
          </c:val>
          <c:smooth val="0"/>
          <c:extLst>
            <c:ext xmlns:c16="http://schemas.microsoft.com/office/drawing/2014/chart" uri="{C3380CC4-5D6E-409C-BE32-E72D297353CC}">
              <c16:uniqueId val="{00000004-1898-4984-A3F4-984B5B00400A}"/>
            </c:ext>
          </c:extLst>
        </c:ser>
        <c:ser>
          <c:idx val="5"/>
          <c:order val="5"/>
          <c:tx>
            <c:strRef>
              <c:f>'WFRC Cap1hr1ln V8.3'!$W$15:$Y$15</c:f>
              <c:strCache>
                <c:ptCount val="3"/>
                <c:pt idx="0">
                  <c:v>Major Collector, 2 lanes</c:v>
                </c:pt>
              </c:strCache>
            </c:strRef>
          </c:tx>
          <c:spPr>
            <a:ln w="25400">
              <a:solidFill>
                <a:srgbClr val="0000FF"/>
              </a:solidFill>
              <a:prstDash val="dash"/>
            </a:ln>
          </c:spPr>
          <c:marker>
            <c:symbol val="none"/>
          </c:marker>
          <c:cat>
            <c:strRef>
              <c:f>'WFRC Cap1hr1ln V8.3'!$Z$7:$AD$7</c:f>
              <c:strCache>
                <c:ptCount val="5"/>
                <c:pt idx="0">
                  <c:v>Rural</c:v>
                </c:pt>
                <c:pt idx="1">
                  <c:v>Transition</c:v>
                </c:pt>
                <c:pt idx="2">
                  <c:v>Suburban</c:v>
                </c:pt>
                <c:pt idx="3">
                  <c:v>Urban</c:v>
                </c:pt>
                <c:pt idx="4">
                  <c:v>CBD</c:v>
                </c:pt>
              </c:strCache>
            </c:strRef>
          </c:cat>
          <c:val>
            <c:numRef>
              <c:f>'WFRC Cap1hr1ln V8.3'!$Z$15:$AD$15</c:f>
              <c:numCache>
                <c:formatCode>_(* #,##0_);_(* \(#,##0\);_(* "-"??_);_(@_)</c:formatCode>
                <c:ptCount val="5"/>
                <c:pt idx="0">
                  <c:v>781.66000000000008</c:v>
                </c:pt>
                <c:pt idx="1">
                  <c:v>746.13000000000011</c:v>
                </c:pt>
                <c:pt idx="2">
                  <c:v>710.6</c:v>
                </c:pt>
                <c:pt idx="3">
                  <c:v>675.06999999999994</c:v>
                </c:pt>
                <c:pt idx="4">
                  <c:v>639.54000000000008</c:v>
                </c:pt>
              </c:numCache>
            </c:numRef>
          </c:val>
          <c:smooth val="0"/>
          <c:extLst>
            <c:ext xmlns:c16="http://schemas.microsoft.com/office/drawing/2014/chart" uri="{C3380CC4-5D6E-409C-BE32-E72D297353CC}">
              <c16:uniqueId val="{00000005-1898-4984-A3F4-984B5B00400A}"/>
            </c:ext>
          </c:extLst>
        </c:ser>
        <c:ser>
          <c:idx val="6"/>
          <c:order val="6"/>
          <c:tx>
            <c:strRef>
              <c:f>'WFRC Cap1hr1ln V8.3'!$W$16:$Y$16</c:f>
              <c:strCache>
                <c:ptCount val="3"/>
                <c:pt idx="0">
                  <c:v>Minor Collector, 1 lane</c:v>
                </c:pt>
              </c:strCache>
            </c:strRef>
          </c:tx>
          <c:spPr>
            <a:ln w="25400">
              <a:solidFill>
                <a:srgbClr val="FF80FF"/>
              </a:solidFill>
            </a:ln>
          </c:spPr>
          <c:marker>
            <c:spPr>
              <a:ln>
                <a:solidFill>
                  <a:srgbClr val="FF80FF"/>
                </a:solidFill>
              </a:ln>
            </c:spPr>
          </c:marker>
          <c:cat>
            <c:strRef>
              <c:f>'WFRC Cap1hr1ln V8.3'!$Z$7:$AD$7</c:f>
              <c:strCache>
                <c:ptCount val="5"/>
                <c:pt idx="0">
                  <c:v>Rural</c:v>
                </c:pt>
                <c:pt idx="1">
                  <c:v>Transition</c:v>
                </c:pt>
                <c:pt idx="2">
                  <c:v>Suburban</c:v>
                </c:pt>
                <c:pt idx="3">
                  <c:v>Urban</c:v>
                </c:pt>
                <c:pt idx="4">
                  <c:v>CBD</c:v>
                </c:pt>
              </c:strCache>
            </c:strRef>
          </c:cat>
          <c:val>
            <c:numRef>
              <c:f>'WFRC Cap1hr1ln V8.3'!$Z$16:$AD$16</c:f>
              <c:numCache>
                <c:formatCode>_(* #,##0_);_(* \(#,##0\);_(* "-"??_);_(@_)</c:formatCode>
                <c:ptCount val="5"/>
                <c:pt idx="0">
                  <c:v>577.5</c:v>
                </c:pt>
                <c:pt idx="1">
                  <c:v>551.25</c:v>
                </c:pt>
                <c:pt idx="2">
                  <c:v>525</c:v>
                </c:pt>
                <c:pt idx="3">
                  <c:v>498.75</c:v>
                </c:pt>
                <c:pt idx="4">
                  <c:v>472.5</c:v>
                </c:pt>
              </c:numCache>
            </c:numRef>
          </c:val>
          <c:smooth val="0"/>
          <c:extLst>
            <c:ext xmlns:c16="http://schemas.microsoft.com/office/drawing/2014/chart" uri="{C3380CC4-5D6E-409C-BE32-E72D297353CC}">
              <c16:uniqueId val="{00000006-1898-4984-A3F4-984B5B00400A}"/>
            </c:ext>
          </c:extLst>
        </c:ser>
        <c:dLbls>
          <c:showLegendKey val="0"/>
          <c:showVal val="0"/>
          <c:showCatName val="0"/>
          <c:showSerName val="0"/>
          <c:showPercent val="0"/>
          <c:showBubbleSize val="0"/>
        </c:dLbls>
        <c:marker val="1"/>
        <c:smooth val="0"/>
        <c:axId val="244168432"/>
        <c:axId val="244168824"/>
      </c:lineChart>
      <c:catAx>
        <c:axId val="244168432"/>
        <c:scaling>
          <c:orientation val="minMax"/>
        </c:scaling>
        <c:delete val="0"/>
        <c:axPos val="b"/>
        <c:numFmt formatCode="General" sourceLinked="0"/>
        <c:majorTickMark val="out"/>
        <c:minorTickMark val="none"/>
        <c:tickLblPos val="nextTo"/>
        <c:txPr>
          <a:bodyPr/>
          <a:lstStyle/>
          <a:p>
            <a:pPr>
              <a:defRPr sz="1100" b="1" i="0" baseline="0"/>
            </a:pPr>
            <a:endParaRPr lang="en-US"/>
          </a:p>
        </c:txPr>
        <c:crossAx val="244168824"/>
        <c:crosses val="autoZero"/>
        <c:auto val="1"/>
        <c:lblAlgn val="ctr"/>
        <c:lblOffset val="100"/>
        <c:noMultiLvlLbl val="0"/>
      </c:catAx>
      <c:valAx>
        <c:axId val="244168824"/>
        <c:scaling>
          <c:orientation val="minMax"/>
          <c:max val="1100"/>
          <c:min val="400"/>
        </c:scaling>
        <c:delete val="0"/>
        <c:axPos val="l"/>
        <c:majorGridlines/>
        <c:numFmt formatCode="_(* #,##0_);_(* \(#,##0\);_(* &quot;-&quot;??_);_(@_)" sourceLinked="1"/>
        <c:majorTickMark val="out"/>
        <c:minorTickMark val="none"/>
        <c:tickLblPos val="nextTo"/>
        <c:crossAx val="244168432"/>
        <c:crosses val="autoZero"/>
        <c:crossBetween val="between"/>
      </c:valAx>
    </c:plotArea>
    <c:legend>
      <c:legendPos val="r"/>
      <c:layout>
        <c:manualLayout>
          <c:xMode val="edge"/>
          <c:yMode val="edge"/>
          <c:x val="0.11186935680672044"/>
          <c:y val="0.820286501576867"/>
          <c:w val="0.83294223437319093"/>
          <c:h val="0.15927881920070855"/>
        </c:manualLayout>
      </c:layout>
      <c:overlay val="1"/>
      <c:spPr>
        <a:solidFill>
          <a:srgbClr val="FFFFFF"/>
        </a:solidFill>
      </c:spPr>
      <c:txPr>
        <a:bodyPr/>
        <a:lstStyle/>
        <a:p>
          <a:pPr>
            <a:defRPr sz="900" baseline="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a:t>
            </a:r>
            <a:r>
              <a:rPr lang="en-US" baseline="0"/>
              <a:t> Hourly Capacity per Direction, FT 32 Freeway</a:t>
            </a:r>
            <a:endParaRPr lang="en-US"/>
          </a:p>
        </c:rich>
      </c:tx>
      <c:overlay val="0"/>
      <c:spPr>
        <a:noFill/>
        <a:ln w="25400">
          <a:noFill/>
        </a:ln>
      </c:spPr>
    </c:title>
    <c:autoTitleDeleted val="0"/>
    <c:plotArea>
      <c:layout>
        <c:manualLayout>
          <c:layoutTarget val="inner"/>
          <c:xMode val="edge"/>
          <c:yMode val="edge"/>
          <c:x val="0.14476717555093577"/>
          <c:y val="0.15596363721797704"/>
          <c:w val="0.65724297700124601"/>
          <c:h val="0.64059371780667496"/>
        </c:manualLayout>
      </c:layout>
      <c:scatterChart>
        <c:scatterStyle val="smoothMarker"/>
        <c:varyColors val="0"/>
        <c:ser>
          <c:idx val="0"/>
          <c:order val="0"/>
          <c:tx>
            <c:strRef>
              <c:f>'WFRC Cap1hr1ln V8.3'!$AL$44</c:f>
              <c:strCache>
                <c:ptCount val="1"/>
                <c:pt idx="0">
                  <c:v>Sat Flow, 100% efficient, PCE</c:v>
                </c:pt>
              </c:strCache>
            </c:strRef>
          </c:tx>
          <c:dLbls>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'WFRC Cap1hr1ln V8.3'!$AK$45:$AK$50</c:f>
              <c:numCache>
                <c:formatCode>General</c:formatCode>
                <c:ptCount val="6"/>
                <c:pt idx="0">
                  <c:v>2</c:v>
                </c:pt>
                <c:pt idx="1">
                  <c:v>3</c:v>
                </c:pt>
                <c:pt idx="2">
                  <c:v>4</c:v>
                </c:pt>
                <c:pt idx="3">
                  <c:v>5</c:v>
                </c:pt>
                <c:pt idx="4">
                  <c:v>6</c:v>
                </c:pt>
                <c:pt idx="5">
                  <c:v>7</c:v>
                </c:pt>
              </c:numCache>
            </c:numRef>
          </c:xVal>
          <c:yVal>
            <c:numRef>
              <c:f>'WFRC Cap1hr1ln V8.3'!$AL$45:$AL$50</c:f>
              <c:numCache>
                <c:formatCode>_(* #,##0_);_(* \(#,##0\);_(* "-"??_);_(@_)</c:formatCode>
                <c:ptCount val="6"/>
                <c:pt idx="0">
                  <c:v>3102</c:v>
                </c:pt>
                <c:pt idx="1">
                  <c:v>4653</c:v>
                </c:pt>
                <c:pt idx="2">
                  <c:v>6204</c:v>
                </c:pt>
                <c:pt idx="3">
                  <c:v>7755</c:v>
                </c:pt>
                <c:pt idx="4">
                  <c:v>9306</c:v>
                </c:pt>
                <c:pt idx="5">
                  <c:v>10857</c:v>
                </c:pt>
              </c:numCache>
            </c:numRef>
          </c:yVal>
          <c:smooth val="1"/>
          <c:extLst>
            <c:ext xmlns:c16="http://schemas.microsoft.com/office/drawing/2014/chart" uri="{C3380CC4-5D6E-409C-BE32-E72D297353CC}">
              <c16:uniqueId val="{00000000-C786-4FC3-9C5D-1078E46F053C}"/>
            </c:ext>
          </c:extLst>
        </c:ser>
        <c:ser>
          <c:idx val="1"/>
          <c:order val="1"/>
          <c:tx>
            <c:strRef>
              <c:f>'WFRC Cap1hr1ln V8.3'!$AM$44</c:f>
              <c:strCache>
                <c:ptCount val="1"/>
                <c:pt idx="0">
                  <c:v>Actual Vehicles (not PCE)</c:v>
                </c:pt>
              </c:strCache>
            </c:strRef>
          </c:tx>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'WFRC Cap1hr1ln V8.3'!$AK$45:$AK$50</c:f>
              <c:numCache>
                <c:formatCode>General</c:formatCode>
                <c:ptCount val="6"/>
                <c:pt idx="0">
                  <c:v>2</c:v>
                </c:pt>
                <c:pt idx="1">
                  <c:v>3</c:v>
                </c:pt>
                <c:pt idx="2">
                  <c:v>4</c:v>
                </c:pt>
                <c:pt idx="3">
                  <c:v>5</c:v>
                </c:pt>
                <c:pt idx="4">
                  <c:v>6</c:v>
                </c:pt>
                <c:pt idx="5">
                  <c:v>7</c:v>
                </c:pt>
              </c:numCache>
            </c:numRef>
          </c:xVal>
          <c:yVal>
            <c:numRef>
              <c:f>'WFRC Cap1hr1ln V8.3'!$AM$45:$AM$50</c:f>
              <c:numCache>
                <c:formatCode>_(* #,##0_);_(* \(#,##0\);_(* "-"??_);_(@_)</c:formatCode>
                <c:ptCount val="6"/>
                <c:pt idx="0">
                  <c:v>3646.8999999999996</c:v>
                </c:pt>
                <c:pt idx="1">
                  <c:v>5120.3499999999995</c:v>
                </c:pt>
                <c:pt idx="2">
                  <c:v>6475.9239999999991</c:v>
                </c:pt>
                <c:pt idx="3">
                  <c:v>7698.8874999999998</c:v>
                </c:pt>
                <c:pt idx="4">
                  <c:v>8745.0370000000003</c:v>
                </c:pt>
                <c:pt idx="5">
                  <c:v>9776.4519999999993</c:v>
                </c:pt>
              </c:numCache>
            </c:numRef>
          </c:yVal>
          <c:smooth val="1"/>
          <c:extLst>
            <c:ext xmlns:c16="http://schemas.microsoft.com/office/drawing/2014/chart" uri="{C3380CC4-5D6E-409C-BE32-E72D297353CC}">
              <c16:uniqueId val="{00000001-C786-4FC3-9C5D-1078E46F053C}"/>
            </c:ext>
          </c:extLst>
        </c:ser>
        <c:dLbls>
          <c:showLegendKey val="0"/>
          <c:showVal val="0"/>
          <c:showCatName val="0"/>
          <c:showSerName val="0"/>
          <c:showPercent val="0"/>
          <c:showBubbleSize val="0"/>
        </c:dLbls>
        <c:axId val="244169608"/>
        <c:axId val="244170000"/>
      </c:scatterChart>
      <c:valAx>
        <c:axId val="244169608"/>
        <c:scaling>
          <c:orientation val="minMax"/>
        </c:scaling>
        <c:delete val="0"/>
        <c:axPos val="b"/>
        <c:title>
          <c:tx>
            <c:rich>
              <a:bodyPr/>
              <a:lstStyle/>
              <a:p>
                <a:pPr>
                  <a:defRPr/>
                </a:pPr>
                <a:r>
                  <a:rPr lang="en-US"/>
                  <a:t>Total Lanes</a:t>
                </a:r>
              </a:p>
            </c:rich>
          </c:tx>
          <c:layout>
            <c:manualLayout>
              <c:xMode val="edge"/>
              <c:yMode val="edge"/>
              <c:x val="0.43107474253907063"/>
              <c:y val="0.8893830405215909"/>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4170000"/>
        <c:crosses val="autoZero"/>
        <c:crossBetween val="midCat"/>
      </c:valAx>
      <c:valAx>
        <c:axId val="244170000"/>
        <c:scaling>
          <c:orientation val="minMax"/>
          <c:min val="4000"/>
        </c:scaling>
        <c:delete val="0"/>
        <c:axPos val="l"/>
        <c:majorGridlines/>
        <c:title>
          <c:tx>
            <c:rich>
              <a:bodyPr rot="-5400000" vert="horz"/>
              <a:lstStyle/>
              <a:p>
                <a:pPr>
                  <a:defRPr sz="1400"/>
                </a:pPr>
                <a:r>
                  <a:rPr lang="en-US" sz="1400"/>
                  <a:t>Total Capacity</a:t>
                </a:r>
              </a:p>
            </c:rich>
          </c:tx>
          <c:overlay val="0"/>
          <c:spPr>
            <a:noFill/>
            <a:ln w="25400">
              <a:noFill/>
            </a:ln>
          </c:spPr>
        </c:title>
        <c:numFmt formatCode="_(* #,##0_);_(* \(#,##0\);_(* &quot;-&quot;??_);_(@_)" sourceLinked="1"/>
        <c:majorTickMark val="out"/>
        <c:minorTickMark val="none"/>
        <c:tickLblPos val="nextTo"/>
        <c:crossAx val="244169608"/>
        <c:crosses val="autoZero"/>
        <c:crossBetween val="midCat"/>
      </c:valAx>
    </c:plotArea>
    <c:legend>
      <c:legendPos val="r"/>
      <c:layout>
        <c:manualLayout>
          <c:xMode val="edge"/>
          <c:yMode val="edge"/>
          <c:x val="0.14950605136033324"/>
          <c:y val="0.17844612624920517"/>
          <c:w val="0.28808672828939952"/>
          <c:h val="0.15928197078259154"/>
        </c:manualLayout>
      </c:layout>
      <c:overlay val="0"/>
      <c:spPr>
        <a:solidFill>
          <a:sysClr val="window" lastClr="FFFFFF"/>
        </a:solidFill>
      </c:spPr>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a:t>
            </a:r>
            <a:r>
              <a:rPr lang="en-US" baseline="0"/>
              <a:t> Daily Capacity, Both Directions, FT 32 Freeway</a:t>
            </a:r>
            <a:endParaRPr lang="en-US"/>
          </a:p>
        </c:rich>
      </c:tx>
      <c:overlay val="0"/>
      <c:spPr>
        <a:noFill/>
        <a:ln w="25400">
          <a:noFill/>
        </a:ln>
      </c:spPr>
    </c:title>
    <c:autoTitleDeleted val="0"/>
    <c:plotArea>
      <c:layout>
        <c:manualLayout>
          <c:layoutTarget val="inner"/>
          <c:xMode val="edge"/>
          <c:yMode val="edge"/>
          <c:x val="0.16213923661704746"/>
          <c:y val="0.31192727443595414"/>
          <c:w val="0.62394652662453343"/>
          <c:h val="0.45793578587405992"/>
        </c:manualLayout>
      </c:layout>
      <c:scatterChart>
        <c:scatterStyle val="smoothMarker"/>
        <c:varyColors val="0"/>
        <c:ser>
          <c:idx val="0"/>
          <c:order val="0"/>
          <c:tx>
            <c:strRef>
              <c:f>'WFRC Cap1hr1ln V8.3'!$AL$53</c:f>
              <c:strCache>
                <c:ptCount val="1"/>
                <c:pt idx="0">
                  <c:v>Sat Flow, 100% efficient, PCE</c:v>
                </c:pt>
              </c:strCache>
            </c:strRef>
          </c:tx>
          <c:dLbls>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'WFRC Cap1hr1ln V8.3'!$AK$54:$AK$59</c:f>
              <c:numCache>
                <c:formatCode>General</c:formatCode>
                <c:ptCount val="6"/>
                <c:pt idx="0">
                  <c:v>2</c:v>
                </c:pt>
                <c:pt idx="1">
                  <c:v>3</c:v>
                </c:pt>
                <c:pt idx="2">
                  <c:v>4</c:v>
                </c:pt>
                <c:pt idx="3">
                  <c:v>5</c:v>
                </c:pt>
                <c:pt idx="4">
                  <c:v>6</c:v>
                </c:pt>
                <c:pt idx="5">
                  <c:v>7</c:v>
                </c:pt>
              </c:numCache>
            </c:numRef>
          </c:xVal>
          <c:yVal>
            <c:numRef>
              <c:f>'WFRC Cap1hr1ln V8.3'!$AL$54:$AL$59</c:f>
              <c:numCache>
                <c:formatCode>_(* #,##0_);_(* \(#,##0\);_(* "-"??_);_(@_)</c:formatCode>
                <c:ptCount val="6"/>
                <c:pt idx="0">
                  <c:v>69000</c:v>
                </c:pt>
                <c:pt idx="1">
                  <c:v>103000</c:v>
                </c:pt>
                <c:pt idx="2">
                  <c:v>138000</c:v>
                </c:pt>
                <c:pt idx="3">
                  <c:v>172000</c:v>
                </c:pt>
                <c:pt idx="4">
                  <c:v>207000</c:v>
                </c:pt>
                <c:pt idx="5">
                  <c:v>241000</c:v>
                </c:pt>
              </c:numCache>
            </c:numRef>
          </c:yVal>
          <c:smooth val="1"/>
          <c:extLst>
            <c:ext xmlns:c16="http://schemas.microsoft.com/office/drawing/2014/chart" uri="{C3380CC4-5D6E-409C-BE32-E72D297353CC}">
              <c16:uniqueId val="{00000000-9827-4A14-92F8-39DDB8102B3E}"/>
            </c:ext>
          </c:extLst>
        </c:ser>
        <c:ser>
          <c:idx val="1"/>
          <c:order val="1"/>
          <c:tx>
            <c:strRef>
              <c:f>'WFRC Cap1hr1ln V8.3'!$AM$53</c:f>
              <c:strCache>
                <c:ptCount val="1"/>
                <c:pt idx="0">
                  <c:v>Actual Vehicles (not PCE)</c:v>
                </c:pt>
              </c:strCache>
            </c:strRef>
          </c:tx>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'WFRC Cap1hr1ln V8.3'!$AK$54:$AK$59</c:f>
              <c:numCache>
                <c:formatCode>General</c:formatCode>
                <c:ptCount val="6"/>
                <c:pt idx="0">
                  <c:v>2</c:v>
                </c:pt>
                <c:pt idx="1">
                  <c:v>3</c:v>
                </c:pt>
                <c:pt idx="2">
                  <c:v>4</c:v>
                </c:pt>
                <c:pt idx="3">
                  <c:v>5</c:v>
                </c:pt>
                <c:pt idx="4">
                  <c:v>6</c:v>
                </c:pt>
                <c:pt idx="5">
                  <c:v>7</c:v>
                </c:pt>
              </c:numCache>
            </c:numRef>
          </c:xVal>
          <c:yVal>
            <c:numRef>
              <c:f>'WFRC Cap1hr1ln V8.3'!$AM$54:$AM$59</c:f>
              <c:numCache>
                <c:formatCode>_(* #,##0_);_(* \(#,##0\);_(* "-"??_);_(@_)</c:formatCode>
                <c:ptCount val="6"/>
                <c:pt idx="0">
                  <c:v>81000</c:v>
                </c:pt>
                <c:pt idx="1">
                  <c:v>114000</c:v>
                </c:pt>
                <c:pt idx="2">
                  <c:v>144000</c:v>
                </c:pt>
                <c:pt idx="3">
                  <c:v>171000</c:v>
                </c:pt>
                <c:pt idx="4">
                  <c:v>194000</c:v>
                </c:pt>
                <c:pt idx="5">
                  <c:v>217000</c:v>
                </c:pt>
              </c:numCache>
            </c:numRef>
          </c:yVal>
          <c:smooth val="1"/>
          <c:extLst>
            <c:ext xmlns:c16="http://schemas.microsoft.com/office/drawing/2014/chart" uri="{C3380CC4-5D6E-409C-BE32-E72D297353CC}">
              <c16:uniqueId val="{00000001-9827-4A14-92F8-39DDB8102B3E}"/>
            </c:ext>
          </c:extLst>
        </c:ser>
        <c:dLbls>
          <c:showLegendKey val="0"/>
          <c:showVal val="0"/>
          <c:showCatName val="0"/>
          <c:showSerName val="0"/>
          <c:showPercent val="0"/>
          <c:showBubbleSize val="0"/>
        </c:dLbls>
        <c:axId val="244170784"/>
        <c:axId val="244171176"/>
      </c:scatterChart>
      <c:valAx>
        <c:axId val="244170784"/>
        <c:scaling>
          <c:orientation val="minMax"/>
        </c:scaling>
        <c:delete val="0"/>
        <c:axPos val="b"/>
        <c:title>
          <c:tx>
            <c:rich>
              <a:bodyPr/>
              <a:lstStyle/>
              <a:p>
                <a:pPr>
                  <a:defRPr/>
                </a:pPr>
                <a:r>
                  <a:rPr lang="en-US"/>
                  <a:t>Total Lanes </a:t>
                </a:r>
                <a:r>
                  <a:rPr lang="en-US" baseline="0"/>
                  <a:t> Both Di</a:t>
                </a:r>
                <a:r>
                  <a:rPr lang="en-US"/>
                  <a:t>rections</a:t>
                </a:r>
              </a:p>
            </c:rich>
          </c:tx>
          <c:layout>
            <c:manualLayout>
              <c:xMode val="edge"/>
              <c:yMode val="edge"/>
              <c:x val="0.41993297663216744"/>
              <c:y val="0.88880511563958731"/>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4171176"/>
        <c:crosses val="autoZero"/>
        <c:crossBetween val="midCat"/>
      </c:valAx>
      <c:valAx>
        <c:axId val="244171176"/>
        <c:scaling>
          <c:orientation val="minMax"/>
          <c:min val="100000"/>
        </c:scaling>
        <c:delete val="0"/>
        <c:axPos val="l"/>
        <c:majorGridlines/>
        <c:title>
          <c:tx>
            <c:rich>
              <a:bodyPr rot="-5400000" vert="horz"/>
              <a:lstStyle/>
              <a:p>
                <a:pPr>
                  <a:defRPr sz="1400"/>
                </a:pPr>
                <a:r>
                  <a:rPr lang="en-US" sz="1400"/>
                  <a:t>Total Capacity</a:t>
                </a:r>
              </a:p>
            </c:rich>
          </c:tx>
          <c:overlay val="0"/>
          <c:spPr>
            <a:noFill/>
            <a:ln w="25400">
              <a:noFill/>
            </a:ln>
          </c:spPr>
        </c:title>
        <c:numFmt formatCode="_(* #,##0_);_(* \(#,##0\);_(* &quot;-&quot;??_);_(@_)" sourceLinked="1"/>
        <c:majorTickMark val="out"/>
        <c:minorTickMark val="none"/>
        <c:tickLblPos val="nextTo"/>
        <c:crossAx val="244170784"/>
        <c:crosses val="autoZero"/>
        <c:crossBetween val="midCat"/>
      </c:valAx>
    </c:plotArea>
    <c:legend>
      <c:legendPos val="r"/>
      <c:layout>
        <c:manualLayout>
          <c:xMode val="edge"/>
          <c:yMode val="edge"/>
          <c:x val="0.16359653452023176"/>
          <c:y val="0.31628746985904277"/>
          <c:w val="0.29190746146464347"/>
          <c:h val="0.15928197078259154"/>
        </c:manualLayout>
      </c:layout>
      <c:overlay val="0"/>
      <c:spPr>
        <a:solidFill>
          <a:sysClr val="window" lastClr="FFFFFF"/>
        </a:solidFill>
      </c:spPr>
    </c:legend>
    <c:plotVisOnly val="1"/>
    <c:dispBlanksAs val="gap"/>
    <c:showDLblsOverMax val="0"/>
  </c:chart>
  <c:printSettings>
    <c:headerFooter/>
    <c:pageMargins b="0.75000000000000167" l="0.70000000000000062" r="0.70000000000000062" t="0.75000000000000167"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a:t>
            </a:r>
            <a:r>
              <a:rPr lang="en-US" baseline="0"/>
              <a:t> Capacity per Hour per Lane, FT 32 Freeway</a:t>
            </a:r>
            <a:endParaRPr lang="en-US"/>
          </a:p>
        </c:rich>
      </c:tx>
      <c:overlay val="0"/>
      <c:spPr>
        <a:noFill/>
        <a:ln w="25400">
          <a:noFill/>
        </a:ln>
      </c:spPr>
    </c:title>
    <c:autoTitleDeleted val="0"/>
    <c:plotArea>
      <c:layout>
        <c:manualLayout>
          <c:layoutTarget val="inner"/>
          <c:xMode val="edge"/>
          <c:yMode val="edge"/>
          <c:x val="0.1881973282162159"/>
          <c:y val="0.30648774912214993"/>
          <c:w val="0.60657446555841865"/>
          <c:h val="0.46306301226063784"/>
        </c:manualLayout>
      </c:layout>
      <c:scatterChart>
        <c:scatterStyle val="smoothMarker"/>
        <c:varyColors val="0"/>
        <c:ser>
          <c:idx val="0"/>
          <c:order val="0"/>
          <c:tx>
            <c:strRef>
              <c:f>'WFRC Cap1hr1ln V8.3'!$AL$35</c:f>
              <c:strCache>
                <c:ptCount val="1"/>
                <c:pt idx="0">
                  <c:v>Sat Flow</c:v>
                </c:pt>
              </c:strCache>
            </c:strRef>
          </c:tx>
          <c:dLbls>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'WFRC Cap1hr1ln V8.3'!$AK$36:$AK$41</c:f>
              <c:numCache>
                <c:formatCode>General</c:formatCode>
                <c:ptCount val="6"/>
                <c:pt idx="0">
                  <c:v>2</c:v>
                </c:pt>
                <c:pt idx="1">
                  <c:v>3</c:v>
                </c:pt>
                <c:pt idx="2">
                  <c:v>4</c:v>
                </c:pt>
                <c:pt idx="3">
                  <c:v>5</c:v>
                </c:pt>
                <c:pt idx="4">
                  <c:v>6</c:v>
                </c:pt>
                <c:pt idx="5">
                  <c:v>7</c:v>
                </c:pt>
              </c:numCache>
            </c:numRef>
          </c:xVal>
          <c:yVal>
            <c:numRef>
              <c:f>'WFRC Cap1hr1ln V8.3'!$AL$36:$AL$41</c:f>
              <c:numCache>
                <c:formatCode>_(* #,##0_);_(* \(#,##0\);_(* "-"??_);_(@_)</c:formatCode>
                <c:ptCount val="6"/>
                <c:pt idx="0">
                  <c:v>1551</c:v>
                </c:pt>
                <c:pt idx="1">
                  <c:v>1551</c:v>
                </c:pt>
                <c:pt idx="2">
                  <c:v>1551</c:v>
                </c:pt>
                <c:pt idx="3">
                  <c:v>1551</c:v>
                </c:pt>
                <c:pt idx="4">
                  <c:v>1551</c:v>
                </c:pt>
                <c:pt idx="5">
                  <c:v>1551</c:v>
                </c:pt>
              </c:numCache>
            </c:numRef>
          </c:yVal>
          <c:smooth val="1"/>
          <c:extLst>
            <c:ext xmlns:c16="http://schemas.microsoft.com/office/drawing/2014/chart" uri="{C3380CC4-5D6E-409C-BE32-E72D297353CC}">
              <c16:uniqueId val="{00000000-F35F-4B68-BC12-A9FED3606D09}"/>
            </c:ext>
          </c:extLst>
        </c:ser>
        <c:ser>
          <c:idx val="1"/>
          <c:order val="1"/>
          <c:tx>
            <c:strRef>
              <c:f>'WFRC Cap1hr1ln V8.3'!$AM$35</c:f>
              <c:strCache>
                <c:ptCount val="1"/>
                <c:pt idx="0">
                  <c:v>Cap1hr1ln</c:v>
                </c:pt>
              </c:strCache>
            </c:strRef>
          </c:tx>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'WFRC Cap1hr1ln V8.3'!$AK$36:$AK$41</c:f>
              <c:numCache>
                <c:formatCode>General</c:formatCode>
                <c:ptCount val="6"/>
                <c:pt idx="0">
                  <c:v>2</c:v>
                </c:pt>
                <c:pt idx="1">
                  <c:v>3</c:v>
                </c:pt>
                <c:pt idx="2">
                  <c:v>4</c:v>
                </c:pt>
                <c:pt idx="3">
                  <c:v>5</c:v>
                </c:pt>
                <c:pt idx="4">
                  <c:v>6</c:v>
                </c:pt>
                <c:pt idx="5">
                  <c:v>7</c:v>
                </c:pt>
              </c:numCache>
            </c:numRef>
          </c:xVal>
          <c:yVal>
            <c:numRef>
              <c:f>'WFRC Cap1hr1ln V8.3'!$AM$36:$AM$41</c:f>
              <c:numCache>
                <c:formatCode>_(* #,##0_);_(* \(#,##0\);_(* "-"??_);_(@_)</c:formatCode>
                <c:ptCount val="6"/>
                <c:pt idx="0">
                  <c:v>1823.4499999999998</c:v>
                </c:pt>
                <c:pt idx="1">
                  <c:v>1706.7833333333331</c:v>
                </c:pt>
                <c:pt idx="2">
                  <c:v>1618.9809999999998</c:v>
                </c:pt>
                <c:pt idx="3">
                  <c:v>1539.7774999999999</c:v>
                </c:pt>
                <c:pt idx="4">
                  <c:v>1457.5061666666668</c:v>
                </c:pt>
                <c:pt idx="5">
                  <c:v>1396.636</c:v>
                </c:pt>
              </c:numCache>
            </c:numRef>
          </c:yVal>
          <c:smooth val="1"/>
          <c:extLst>
            <c:ext xmlns:c16="http://schemas.microsoft.com/office/drawing/2014/chart" uri="{C3380CC4-5D6E-409C-BE32-E72D297353CC}">
              <c16:uniqueId val="{00000001-F35F-4B68-BC12-A9FED3606D09}"/>
            </c:ext>
          </c:extLst>
        </c:ser>
        <c:dLbls>
          <c:showLegendKey val="0"/>
          <c:showVal val="0"/>
          <c:showCatName val="0"/>
          <c:showSerName val="0"/>
          <c:showPercent val="0"/>
          <c:showBubbleSize val="0"/>
        </c:dLbls>
        <c:axId val="244171960"/>
        <c:axId val="244338520"/>
      </c:scatterChart>
      <c:valAx>
        <c:axId val="244171960"/>
        <c:scaling>
          <c:orientation val="minMax"/>
        </c:scaling>
        <c:delete val="0"/>
        <c:axPos val="b"/>
        <c:title>
          <c:tx>
            <c:rich>
              <a:bodyPr/>
              <a:lstStyle/>
              <a:p>
                <a:pPr>
                  <a:defRPr/>
                </a:pPr>
                <a:r>
                  <a:rPr lang="en-US"/>
                  <a:t>Total Lanes</a:t>
                </a:r>
              </a:p>
            </c:rich>
          </c:tx>
          <c:layout>
            <c:manualLayout>
              <c:xMode val="edge"/>
              <c:yMode val="edge"/>
              <c:x val="0.4571519336647884"/>
              <c:y val="0.87343705395874116"/>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4338520"/>
        <c:crosses val="autoZero"/>
        <c:crossBetween val="midCat"/>
      </c:valAx>
      <c:valAx>
        <c:axId val="244338520"/>
        <c:scaling>
          <c:orientation val="minMax"/>
          <c:min val="1500"/>
        </c:scaling>
        <c:delete val="0"/>
        <c:axPos val="l"/>
        <c:majorGridlines/>
        <c:title>
          <c:tx>
            <c:rich>
              <a:bodyPr rot="-5400000" vert="horz"/>
              <a:lstStyle/>
              <a:p>
                <a:pPr>
                  <a:defRPr sz="1400"/>
                </a:pPr>
                <a:r>
                  <a:rPr lang="en-US" sz="1400"/>
                  <a:t>Cap1hr1ln</a:t>
                </a:r>
              </a:p>
            </c:rich>
          </c:tx>
          <c:overlay val="0"/>
          <c:spPr>
            <a:noFill/>
            <a:ln w="25400">
              <a:noFill/>
            </a:ln>
          </c:spPr>
        </c:title>
        <c:numFmt formatCode="_(* #,##0_);_(* \(#,##0\);_(* &quot;-&quot;??_);_(@_)" sourceLinked="1"/>
        <c:majorTickMark val="out"/>
        <c:minorTickMark val="none"/>
        <c:tickLblPos val="nextTo"/>
        <c:crossAx val="244171960"/>
        <c:crosses val="autoZero"/>
        <c:crossBetween val="midCat"/>
      </c:valAx>
    </c:plotArea>
    <c:legend>
      <c:legendPos val="r"/>
      <c:layout>
        <c:manualLayout>
          <c:xMode val="edge"/>
          <c:yMode val="edge"/>
          <c:x val="0.19399758206651913"/>
          <c:y val="0.60300742527121931"/>
          <c:w val="0.14042420784358475"/>
          <c:h val="0.15990652781305559"/>
        </c:manualLayout>
      </c:layout>
      <c:overlay val="0"/>
      <c:spPr>
        <a:solidFill>
          <a:sysClr val="window" lastClr="FFFFFF"/>
        </a:solidFill>
      </c:spPr>
    </c:legend>
    <c:plotVisOnly val="1"/>
    <c:dispBlanksAs val="gap"/>
    <c:showDLblsOverMax val="0"/>
  </c:chart>
  <c:printSettings>
    <c:headerFooter/>
    <c:pageMargins b="0.75000000000000167" l="0.70000000000000062" r="0.70000000000000062" t="0.75000000000000167"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5.jpeg"/><Relationship Id="rId6" Type="http://schemas.openxmlformats.org/officeDocument/2006/relationships/image" Target="../media/image9.png"/><Relationship Id="rId5" Type="http://schemas.openxmlformats.org/officeDocument/2006/relationships/image" Target="../media/image8.jp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581026</xdr:colOff>
      <xdr:row>3</xdr:row>
      <xdr:rowOff>57150</xdr:rowOff>
    </xdr:from>
    <xdr:to>
      <xdr:col>5</xdr:col>
      <xdr:colOff>180976</xdr:colOff>
      <xdr:row>31</xdr:row>
      <xdr:rowOff>19050</xdr:rowOff>
    </xdr:to>
    <xdr:sp macro="" textlink="">
      <xdr:nvSpPr>
        <xdr:cNvPr id="2" name="TextBox 1">
          <a:extLst>
            <a:ext uri="{FF2B5EF4-FFF2-40B4-BE49-F238E27FC236}">
              <a16:creationId xmlns:a16="http://schemas.microsoft.com/office/drawing/2014/main" id="{A0A88F8B-AAFE-4D78-BC7A-B43ACB97F031}"/>
            </a:ext>
          </a:extLst>
        </xdr:cNvPr>
        <xdr:cNvSpPr txBox="1"/>
      </xdr:nvSpPr>
      <xdr:spPr>
        <a:xfrm>
          <a:off x="581026" y="542925"/>
          <a:ext cx="6038850" cy="4495800"/>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spreadsheet contains two different but related topics.  The blue tabs offer a calculator the</a:t>
          </a:r>
          <a:r>
            <a:rPr lang="en-US" sz="1100" baseline="0"/>
            <a:t> user</a:t>
          </a:r>
          <a:r>
            <a:rPr lang="en-US" sz="1100"/>
            <a:t> can use to determine the person-trip throughput of freeway corridors</a:t>
          </a:r>
          <a:r>
            <a:rPr lang="en-US" sz="1100" baseline="0"/>
            <a:t> by summing the contributions of general purpose freeway lanes, HOV/HOT lanes, freeway auxiliary lanes, frontage road lanes, and transit.  It also allows the user to speculate on how connected and autonomous vehicles (CAV) might increase the person-trip capability.  In addition to these, it also allows the user to explore how corridor management strategies such as algorithmic ramp metering, congestion pricing, and free or reduced fare transit can enhance the person-trip throughput capability of the corridor.  </a:t>
          </a:r>
        </a:p>
        <a:p>
          <a:endParaRPr lang="en-US" sz="1100" baseline="0"/>
        </a:p>
        <a:p>
          <a:r>
            <a:rPr lang="en-US" sz="1100" baseline="0"/>
            <a:t>Components that affect throughput include combinations of:</a:t>
          </a:r>
        </a:p>
        <a:p>
          <a:r>
            <a:rPr lang="en-US" sz="1100" baseline="0"/>
            <a:t>* General purpose lanes</a:t>
          </a:r>
        </a:p>
        <a:p>
          <a:r>
            <a:rPr lang="en-US" sz="1100" baseline="0"/>
            <a:t>* HOV/HOT lanes</a:t>
          </a:r>
        </a:p>
        <a:p>
          <a:r>
            <a:rPr lang="en-US" sz="1100" baseline="0"/>
            <a:t>* Auxiliary lanes (for managing on-ramp/off-ramp merging)</a:t>
          </a:r>
        </a:p>
        <a:p>
          <a:r>
            <a:rPr lang="en-US" sz="1100" baseline="0"/>
            <a:t>* Ramp Metering methods and policies</a:t>
          </a:r>
        </a:p>
        <a:p>
          <a:r>
            <a:rPr lang="en-US" sz="1100" baseline="0"/>
            <a:t>* Congestion Pricing options (which increase corridor throughput by preventing stop-n-go).</a:t>
          </a:r>
        </a:p>
        <a:p>
          <a:r>
            <a:rPr lang="en-US" sz="1100" baseline="0"/>
            <a:t>* Transit mode options  (The better the options, the more throughput you will get)</a:t>
          </a:r>
        </a:p>
        <a:p>
          <a:r>
            <a:rPr lang="en-US" sz="1100" baseline="0"/>
            <a:t>* Transit fares (free or nearly free will increase person throughput, even if modes stay the same)</a:t>
          </a:r>
        </a:p>
        <a:p>
          <a:r>
            <a:rPr lang="en-US" sz="1100" baseline="0"/>
            <a:t>* Frontage roads and configuration (one-way or two-way)</a:t>
          </a:r>
        </a:p>
        <a:p>
          <a:r>
            <a:rPr lang="en-US" sz="1100" baseline="0"/>
            <a:t>* Incident Management Policy</a:t>
          </a:r>
        </a:p>
        <a:p>
          <a:r>
            <a:rPr lang="en-US" sz="1100" baseline="0"/>
            <a:t>* Connected and Autonomous Vehicle (CAV) throughput gains</a:t>
          </a:r>
        </a:p>
        <a:p>
          <a:endParaRPr lang="en-US" sz="1100" baseline="0"/>
        </a:p>
        <a:p>
          <a:r>
            <a:rPr lang="en-US" sz="1100" b="1" baseline="0"/>
            <a:t>Shown at right </a:t>
          </a:r>
          <a:r>
            <a:rPr lang="en-US" sz="1100" baseline="0"/>
            <a:t>is the type of result the user can copy and paste into a report.  Blue bars show the components of your present person-trip throughput capability.  Red show how that could change given a Build scenario a user is contemplating.  Green is the maximum throughput a user could achieve, without changing the overall number of freeway lanes, if corridor management strategies that maximize efficiency were employed.  </a:t>
          </a:r>
        </a:p>
      </xdr:txBody>
    </xdr:sp>
    <xdr:clientData/>
  </xdr:twoCellAnchor>
  <xdr:twoCellAnchor editAs="oneCell">
    <xdr:from>
      <xdr:col>5</xdr:col>
      <xdr:colOff>387713</xdr:colOff>
      <xdr:row>2</xdr:row>
      <xdr:rowOff>142874</xdr:rowOff>
    </xdr:from>
    <xdr:to>
      <xdr:col>16</xdr:col>
      <xdr:colOff>182972</xdr:colOff>
      <xdr:row>31</xdr:row>
      <xdr:rowOff>85144</xdr:rowOff>
    </xdr:to>
    <xdr:pic>
      <xdr:nvPicPr>
        <xdr:cNvPr id="3" name="Picture 2">
          <a:extLst>
            <a:ext uri="{FF2B5EF4-FFF2-40B4-BE49-F238E27FC236}">
              <a16:creationId xmlns:a16="http://schemas.microsoft.com/office/drawing/2014/main" id="{2A48FF7C-294A-41D2-9D8B-D18967CFF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xdr:blipFill>
      <xdr:spPr>
        <a:xfrm>
          <a:off x="6426563" y="466724"/>
          <a:ext cx="6500859" cy="4638095"/>
        </a:xfrm>
        <a:prstGeom prst="rect">
          <a:avLst/>
        </a:prstGeom>
      </xdr:spPr>
    </xdr:pic>
    <xdr:clientData/>
  </xdr:twoCellAnchor>
  <xdr:twoCellAnchor editAs="oneCell">
    <xdr:from>
      <xdr:col>0</xdr:col>
      <xdr:colOff>171450</xdr:colOff>
      <xdr:row>42</xdr:row>
      <xdr:rowOff>160328</xdr:rowOff>
    </xdr:from>
    <xdr:to>
      <xdr:col>12</xdr:col>
      <xdr:colOff>246352</xdr:colOff>
      <xdr:row>64</xdr:row>
      <xdr:rowOff>48789</xdr:rowOff>
    </xdr:to>
    <xdr:pic>
      <xdr:nvPicPr>
        <xdr:cNvPr id="4" name="Picture 3">
          <a:extLst>
            <a:ext uri="{FF2B5EF4-FFF2-40B4-BE49-F238E27FC236}">
              <a16:creationId xmlns:a16="http://schemas.microsoft.com/office/drawing/2014/main" id="{0DB1048B-A08E-46C6-B6C7-4B6CA5A419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xdr:blipFill>
      <xdr:spPr>
        <a:xfrm>
          <a:off x="171450" y="7065953"/>
          <a:ext cx="10380952" cy="3450811"/>
        </a:xfrm>
        <a:prstGeom prst="rect">
          <a:avLst/>
        </a:prstGeom>
      </xdr:spPr>
    </xdr:pic>
    <xdr:clientData/>
  </xdr:twoCellAnchor>
  <xdr:twoCellAnchor>
    <xdr:from>
      <xdr:col>0</xdr:col>
      <xdr:colOff>200026</xdr:colOff>
      <xdr:row>34</xdr:row>
      <xdr:rowOff>95250</xdr:rowOff>
    </xdr:from>
    <xdr:to>
      <xdr:col>14</xdr:col>
      <xdr:colOff>352425</xdr:colOff>
      <xdr:row>41</xdr:row>
      <xdr:rowOff>104775</xdr:rowOff>
    </xdr:to>
    <xdr:sp macro="" textlink="">
      <xdr:nvSpPr>
        <xdr:cNvPr id="5" name="TextBox 4">
          <a:extLst>
            <a:ext uri="{FF2B5EF4-FFF2-40B4-BE49-F238E27FC236}">
              <a16:creationId xmlns:a16="http://schemas.microsoft.com/office/drawing/2014/main" id="{70DC9DD1-99F0-4187-B88F-1AB56C2B4380}"/>
            </a:ext>
          </a:extLst>
        </xdr:cNvPr>
        <xdr:cNvSpPr txBox="1"/>
      </xdr:nvSpPr>
      <xdr:spPr>
        <a:xfrm>
          <a:off x="200026" y="5705475"/>
          <a:ext cx="11677649" cy="1143000"/>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calculator also evaluates both</a:t>
          </a:r>
          <a:r>
            <a:rPr lang="en-US" sz="1100" baseline="0"/>
            <a:t> the functional and environmental sustainability of a freeway corridor by comparing its baseline (present) conditions, and candidate build results, to the best that a corridor could possibly achieve (the Max scenario for both functional and environmental sustainability).  In this hypothtical case, the baseline scores a pathetic 11 on a scale of 1-100 in terms of the maximum that it could achieve toward functional sustainability.  It scores even worse (6) on environmental sustainability.  The Build case is far better, at 54 and 63!  "Build" often means a change of policy more than actually building very much, such as introducing algorithmic ramp metering and gaining decision-maker consensus to allow significant delays at on-ramps in trade for far less delay on the mainline.  Congestion Pricing is also a policy that offers a lot of points toward both functional and environmental sustainability, but doesn't actually cost very much to implement in terms if required operational infrastructure.  </a:t>
          </a:r>
        </a:p>
      </xdr:txBody>
    </xdr:sp>
    <xdr:clientData/>
  </xdr:twoCellAnchor>
  <xdr:twoCellAnchor editAs="oneCell">
    <xdr:from>
      <xdr:col>1</xdr:col>
      <xdr:colOff>0</xdr:colOff>
      <xdr:row>74</xdr:row>
      <xdr:rowOff>142875</xdr:rowOff>
    </xdr:from>
    <xdr:to>
      <xdr:col>9</xdr:col>
      <xdr:colOff>222704</xdr:colOff>
      <xdr:row>103</xdr:row>
      <xdr:rowOff>148933</xdr:rowOff>
    </xdr:to>
    <xdr:pic>
      <xdr:nvPicPr>
        <xdr:cNvPr id="6" name="Picture 5">
          <a:extLst>
            <a:ext uri="{FF2B5EF4-FFF2-40B4-BE49-F238E27FC236}">
              <a16:creationId xmlns:a16="http://schemas.microsoft.com/office/drawing/2014/main" id="{C07383EB-8AC3-4D87-82A7-0FA737E6F185}"/>
            </a:ext>
          </a:extLst>
        </xdr:cNvPr>
        <xdr:cNvPicPr>
          <a:picLocks noChangeAspect="1"/>
        </xdr:cNvPicPr>
      </xdr:nvPicPr>
      <xdr:blipFill>
        <a:blip xmlns:r="http://schemas.openxmlformats.org/officeDocument/2006/relationships" r:embed="rId3"/>
        <a:stretch>
          <a:fillRect/>
        </a:stretch>
      </xdr:blipFill>
      <xdr:spPr>
        <a:xfrm>
          <a:off x="209550" y="12230100"/>
          <a:ext cx="8490404" cy="4701883"/>
        </a:xfrm>
        <a:prstGeom prst="rect">
          <a:avLst/>
        </a:prstGeom>
      </xdr:spPr>
    </xdr:pic>
    <xdr:clientData/>
  </xdr:twoCellAnchor>
  <xdr:twoCellAnchor>
    <xdr:from>
      <xdr:col>0</xdr:col>
      <xdr:colOff>190501</xdr:colOff>
      <xdr:row>66</xdr:row>
      <xdr:rowOff>104775</xdr:rowOff>
    </xdr:from>
    <xdr:to>
      <xdr:col>12</xdr:col>
      <xdr:colOff>171451</xdr:colOff>
      <xdr:row>70</xdr:row>
      <xdr:rowOff>142875</xdr:rowOff>
    </xdr:to>
    <xdr:sp macro="" textlink="">
      <xdr:nvSpPr>
        <xdr:cNvPr id="7" name="TextBox 6">
          <a:extLst>
            <a:ext uri="{FF2B5EF4-FFF2-40B4-BE49-F238E27FC236}">
              <a16:creationId xmlns:a16="http://schemas.microsoft.com/office/drawing/2014/main" id="{58D48B64-B43E-4C28-BE4F-B72D410AA926}"/>
            </a:ext>
          </a:extLst>
        </xdr:cNvPr>
        <xdr:cNvSpPr txBox="1"/>
      </xdr:nvSpPr>
      <xdr:spPr>
        <a:xfrm>
          <a:off x="190501" y="10896600"/>
          <a:ext cx="10287000" cy="685800"/>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addition to corridor-level capacity</a:t>
          </a:r>
          <a:r>
            <a:rPr lang="en-US" sz="1100" baseline="0"/>
            <a:t>, this spreadsheet offers guidance for evaluationing regional and subregional network capacity.  The red tabs offer guidance for how to create a Master Architecture of a region or subregion by first creating a "Fishnet Grid" overlay by which you can then evaluate both visually and analytically how well the area can support buildout development and sustainable development.  Below is how this fishnet pattern is applied to Atlanta using both 5-mile by 5-mile tiles, and 7x7 tiles.  </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0.8239</cdr:x>
      <cdr:y>0.20731</cdr:y>
    </cdr:from>
    <cdr:to>
      <cdr:x>0.98651</cdr:x>
      <cdr:y>0.76837</cdr:y>
    </cdr:to>
    <cdr:sp macro="" textlink="">
      <cdr:nvSpPr>
        <cdr:cNvPr id="2" name="TextBox 1"/>
        <cdr:cNvSpPr txBox="1"/>
      </cdr:nvSpPr>
      <cdr:spPr>
        <a:xfrm xmlns:a="http://schemas.openxmlformats.org/drawingml/2006/main">
          <a:off x="5522259" y="367553"/>
          <a:ext cx="1066347" cy="2196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t>Note:</a:t>
          </a:r>
          <a:r>
            <a:rPr lang="en-US" sz="1100" baseline="0"/>
            <a:t> Aux lane capacity is fixed, and divided across total lanes.  Thus cap1hr1ln goes down each time partly from increasing inefficiency, and partly from aux.</a:t>
          </a:r>
          <a:endParaRPr lang="en-US" sz="1100"/>
        </a:p>
      </cdr:txBody>
    </cdr:sp>
  </cdr:relSizeAnchor>
</c:userShapes>
</file>

<file path=xl/drawings/drawing2.xml><?xml version="1.0" encoding="utf-8"?>
<xdr:wsDr xmlns:xdr="http://schemas.openxmlformats.org/drawingml/2006/spreadsheetDrawing" xmlns:a="http://schemas.openxmlformats.org/drawingml/2006/main">
  <xdr:twoCellAnchor>
    <xdr:from>
      <xdr:col>12</xdr:col>
      <xdr:colOff>266700</xdr:colOff>
      <xdr:row>2</xdr:row>
      <xdr:rowOff>47625</xdr:rowOff>
    </xdr:from>
    <xdr:to>
      <xdr:col>23</xdr:col>
      <xdr:colOff>0</xdr:colOff>
      <xdr:row>19</xdr:row>
      <xdr:rowOff>152400</xdr:rowOff>
    </xdr:to>
    <xdr:graphicFrame macro="">
      <xdr:nvGraphicFramePr>
        <xdr:cNvPr id="2" name="Chart 1">
          <a:extLst>
            <a:ext uri="{FF2B5EF4-FFF2-40B4-BE49-F238E27FC236}">
              <a16:creationId xmlns:a16="http://schemas.microsoft.com/office/drawing/2014/main" id="{53204BDF-2B59-4BDD-B1DE-23737A05A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66676</xdr:colOff>
      <xdr:row>28</xdr:row>
      <xdr:rowOff>152400</xdr:rowOff>
    </xdr:from>
    <xdr:to>
      <xdr:col>4</xdr:col>
      <xdr:colOff>95251</xdr:colOff>
      <xdr:row>49</xdr:row>
      <xdr:rowOff>85725</xdr:rowOff>
    </xdr:to>
    <xdr:graphicFrame macro="">
      <xdr:nvGraphicFramePr>
        <xdr:cNvPr id="3" name="Chart 2">
          <a:extLst>
            <a:ext uri="{FF2B5EF4-FFF2-40B4-BE49-F238E27FC236}">
              <a16:creationId xmlns:a16="http://schemas.microsoft.com/office/drawing/2014/main" id="{874E27EA-9290-497F-8920-F4848A606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315622</xdr:colOff>
      <xdr:row>29</xdr:row>
      <xdr:rowOff>289</xdr:rowOff>
    </xdr:from>
    <xdr:to>
      <xdr:col>12</xdr:col>
      <xdr:colOff>38101</xdr:colOff>
      <xdr:row>49</xdr:row>
      <xdr:rowOff>107229</xdr:rowOff>
    </xdr:to>
    <xdr:graphicFrame macro="">
      <xdr:nvGraphicFramePr>
        <xdr:cNvPr id="4" name="Chart 3">
          <a:extLst>
            <a:ext uri="{FF2B5EF4-FFF2-40B4-BE49-F238E27FC236}">
              <a16:creationId xmlns:a16="http://schemas.microsoft.com/office/drawing/2014/main" id="{7FA4A6CE-3B44-4CFB-8CE8-C7BACC71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180974</xdr:colOff>
      <xdr:row>1</xdr:row>
      <xdr:rowOff>114299</xdr:rowOff>
    </xdr:from>
    <xdr:to>
      <xdr:col>22</xdr:col>
      <xdr:colOff>561974</xdr:colOff>
      <xdr:row>1</xdr:row>
      <xdr:rowOff>1428750</xdr:rowOff>
    </xdr:to>
    <xdr:sp macro="" textlink="">
      <xdr:nvSpPr>
        <xdr:cNvPr id="6" name="TextBox 5">
          <a:extLst>
            <a:ext uri="{FF2B5EF4-FFF2-40B4-BE49-F238E27FC236}">
              <a16:creationId xmlns:a16="http://schemas.microsoft.com/office/drawing/2014/main" id="{1714C410-6160-42D2-8ACD-303F77166D44}"/>
            </a:ext>
          </a:extLst>
        </xdr:cNvPr>
        <xdr:cNvSpPr txBox="1"/>
      </xdr:nvSpPr>
      <xdr:spPr>
        <a:xfrm>
          <a:off x="180974" y="114299"/>
          <a:ext cx="17078325" cy="1314451"/>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Overview</a:t>
          </a:r>
          <a:r>
            <a:rPr lang="en-US" sz="1400" b="1" baseline="0">
              <a:solidFill>
                <a:srgbClr val="FF0000"/>
              </a:solidFill>
            </a:rPr>
            <a:t> and I</a:t>
          </a:r>
          <a:r>
            <a:rPr lang="en-US" sz="1400" b="1">
              <a:solidFill>
                <a:srgbClr val="FF0000"/>
              </a:solidFill>
            </a:rPr>
            <a:t>nstructions</a:t>
          </a:r>
          <a:r>
            <a:rPr lang="en-US" sz="1400" b="1"/>
            <a:t>:</a:t>
          </a:r>
          <a:r>
            <a:rPr lang="en-US" sz="1400" b="1" baseline="0"/>
            <a:t> </a:t>
          </a:r>
          <a:r>
            <a:rPr lang="en-US" sz="1400" baseline="0"/>
            <a:t>This tool is designed to reveal the throughput enhancing potential of freeway corridor management strategies, excluding any throughput gained by adding new lanes that were not present in the base case.  A user can move GP lanes to HOV, but must make sure total lanes are the same.  Ex: Base = 4 GP + 1 HOV, Build = 3 GP + 2 HOV.  A good test is to leave GP and HOV the same in both base and build to see what is possible using only the other strategies.  Grey cells are input fields for each scenario.  "Max" probably won't need to be edited, as it is set to represent the maximum throughput and sustainability settings that could be imagined for this corridor.  The purpose of Max is to establish the upper limit of what is possible for throughput, functional, and environmental sustainability (i.e. What would constitute a perfect 100 score?  Then base and build are measured against this perfect score).  Under the table and to the lower right are charts derived from user inputs showing your sustainability scores and a throughput potential by component.</a:t>
          </a:r>
          <a:endParaRPr lang="en-US" sz="1400"/>
        </a:p>
      </xdr:txBody>
    </xdr:sp>
    <xdr:clientData/>
  </xdr:twoCellAnchor>
  <xdr:twoCellAnchor>
    <xdr:from>
      <xdr:col>12</xdr:col>
      <xdr:colOff>428625</xdr:colOff>
      <xdr:row>20</xdr:row>
      <xdr:rowOff>190497</xdr:rowOff>
    </xdr:from>
    <xdr:to>
      <xdr:col>22</xdr:col>
      <xdr:colOff>428625</xdr:colOff>
      <xdr:row>77</xdr:row>
      <xdr:rowOff>66675</xdr:rowOff>
    </xdr:to>
    <xdr:sp macro="" textlink="">
      <xdr:nvSpPr>
        <xdr:cNvPr id="7" name="TextBox 1">
          <a:extLst>
            <a:ext uri="{FF2B5EF4-FFF2-40B4-BE49-F238E27FC236}">
              <a16:creationId xmlns:a16="http://schemas.microsoft.com/office/drawing/2014/main" id="{D4D0A96C-3A09-495B-8C76-14D226F405EB}"/>
            </a:ext>
          </a:extLst>
        </xdr:cNvPr>
        <xdr:cNvSpPr txBox="1"/>
      </xdr:nvSpPr>
      <xdr:spPr>
        <a:xfrm>
          <a:off x="11029950" y="6562722"/>
          <a:ext cx="6096000" cy="922972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1"/>
            <a:t>1: GP+HOV: </a:t>
          </a:r>
          <a:r>
            <a:rPr lang="en-US" sz="1100" b="0"/>
            <a:t>This</a:t>
          </a:r>
          <a:r>
            <a:rPr lang="en-US" sz="1100" b="0" baseline="0"/>
            <a:t> is the initial peak hour person-trip throughput, given the number of GP and HOT/HOV lanes reported, assuming a fully unmanaged system (i.e., no ramp meters or other technologies that could improve general lane efficiency, and no concern for quick resolution to incidents).  If the facility has existing meters, these are accounted for in #2.</a:t>
          </a:r>
        </a:p>
        <a:p>
          <a:endParaRPr lang="en-US" sz="1100" b="0" baseline="0"/>
        </a:p>
        <a:p>
          <a:r>
            <a:rPr lang="en-US" sz="1100" b="1" baseline="0"/>
            <a:t>2: Frontage Configuration</a:t>
          </a:r>
          <a:r>
            <a:rPr lang="en-US" sz="1100" b="0" baseline="0"/>
            <a:t>: Frontage roads offer higher throughput when operating as one-way roads that are integrated with the freeway via slip-ramps, in part due to signals with fewer phases.  This config also helps make congestion pricing politically viable by offering a free travel option (sustainability points).  Consider this option if the corridor has no frontage roads, but could easily create them, or if it has two-way roads that could easily be one-way.</a:t>
          </a:r>
        </a:p>
        <a:p>
          <a:endParaRPr lang="en-US" sz="1100" b="1"/>
        </a:p>
        <a:p>
          <a:r>
            <a:rPr lang="en-US" sz="1100" b="1"/>
            <a:t>3:</a:t>
          </a:r>
          <a:r>
            <a:rPr lang="en-US" sz="1100" b="1" baseline="0"/>
            <a:t> Access Managment: </a:t>
          </a:r>
          <a:r>
            <a:rPr lang="en-US" sz="1100"/>
            <a:t>Freeway throughput is reduced significantly during stop-n-go congestion.  Recovering throughput</a:t>
          </a:r>
          <a:r>
            <a:rPr lang="en-US" sz="1100" baseline="0"/>
            <a:t> requires managing access to ensure demand will not exceed supply.  Demand is controled either through aggresive ramp metering, or congestion pricing.  The Max scenario shows additional throughput possible by the most significant forms of metering and pricing.  Build shows what you will gain from the policies your community is politically able to support.  Base shows what you are already gaining (relative to a no metering / no pricing scenario) from the meter and price policies you have now.</a:t>
          </a:r>
        </a:p>
        <a:p>
          <a:endParaRPr lang="en-US" sz="1100" baseline="0"/>
        </a:p>
        <a:p>
          <a:r>
            <a:rPr lang="en-US" sz="1100" b="1" baseline="0"/>
            <a:t>4: Incident Management: </a:t>
          </a:r>
          <a:r>
            <a:rPr lang="en-US" sz="1100" baseline="0"/>
            <a:t>This is the gains in typical peak hour capacity and reliability associated speedy resolution of incidents.  There are two options that are better than nothing: 1) System for fast arrival, but emergency service personel are slow once there (i.e., significant investigation, etc.); 2) There is a strong "push, pull, or drag" sense among site managers, to just get everything back to normal as fast as possible, and figure out what happened later from video and photos.</a:t>
          </a:r>
        </a:p>
        <a:p>
          <a:endParaRPr lang="en-US" sz="1100" baseline="0"/>
        </a:p>
        <a:p>
          <a:r>
            <a:rPr lang="en-US" sz="1100" b="1" baseline="0"/>
            <a:t>5: Auxiliary Lanes</a:t>
          </a:r>
          <a:r>
            <a:rPr lang="en-US" sz="1100" baseline="0"/>
            <a:t>: Older freeways often do not have a continuous merge/weave lane between the end of an on-ramp and the begining of the next off-ramp.  If a facility already has that, or if a user proposal would create it, it is likely to result in slight boost in overall throughput because you can delay stop-n-go.  Do not count these aux lanes as GP lanes.  Only count those that are continous over an interchange bridge.</a:t>
          </a:r>
        </a:p>
        <a:p>
          <a:endParaRPr lang="en-US" sz="1100" baseline="0"/>
        </a:p>
        <a:p>
          <a:r>
            <a:rPr lang="en-US" sz="1100" b="1" baseline="0"/>
            <a:t>6: Connected and Autonomous Vehicles</a:t>
          </a:r>
          <a:r>
            <a:rPr lang="en-US" sz="1100" baseline="0"/>
            <a:t>: It is uncertain how much of a gain in person-trip throughput these emerging technologies will add to existing lanes.  By default this tool assumes 30% for the "Max" scenario, but the user can change this. </a:t>
          </a:r>
        </a:p>
        <a:p>
          <a:endParaRPr lang="en-US" sz="1100" baseline="0"/>
        </a:p>
        <a:p>
          <a:r>
            <a:rPr lang="en-US" sz="1100" b="1" baseline="0"/>
            <a:t>7: Transit</a:t>
          </a:r>
          <a:r>
            <a:rPr lang="en-US" sz="1100" baseline="0"/>
            <a:t>:  This is NOT transit's person-trip capacity (which can be effectively unlimited), but instead is meant to reflect actual riders in the corridor (actual throughput, and not hypothetical).  It is impossible for a spreadsheet tool to assume a value, and thus needs the user to input this value from a travel demand model, or some kind of growth estimate based on today's riders.    The tool asks about how many and what kind of transit options are available. This affects sustainability scores, but the user must still supply an estimate of the sum of screenline ridership across all routes.  Once this base ridership is known, the tool does adjust it upward if you select a free-fare scenario (boost of 70%) or a congestion pricing scenario (boost of 30%).</a:t>
          </a:r>
        </a:p>
        <a:p>
          <a:endParaRPr lang="en-US" sz="1100" baseline="0"/>
        </a:p>
        <a:p>
          <a:r>
            <a:rPr lang="en-US" sz="1100" b="1" baseline="0"/>
            <a:t>8: Sum: </a:t>
          </a:r>
          <a:r>
            <a:rPr lang="en-US" sz="1100" baseline="0"/>
            <a:t>Simply the sum of all factors: The starting lanes, assumed to be unmanaged, plus any corridor management features you already have, or are contemplating in a build scenario, or the theoretical maximum throughput that could be acheived if a region had the money and political will to do everything possible to maximize lane efficiency, maximize transit riders, and if the future happens to enjoy throughput boosts associated with CAV gains.  </a:t>
          </a:r>
        </a:p>
        <a:p>
          <a:endParaRPr lang="en-US" sz="1100" baseline="0"/>
        </a:p>
        <a:p>
          <a:r>
            <a:rPr lang="en-US" sz="1100" b="1" baseline="0"/>
            <a:t>8 vs 1 management increase</a:t>
          </a:r>
          <a:r>
            <a:rPr lang="en-US" sz="1100" baseline="0"/>
            <a:t>:  When comparing only to the GP and HOV lanes operating with no ramp meters and slow incident management response, this ratio shows how much additional throughput a user is gaining from management activities already in place, as well as how much more could be acheived from the Build and Max scenarios. </a:t>
          </a:r>
          <a:endParaRPr lang="en-US" sz="1100"/>
        </a:p>
      </xdr:txBody>
    </xdr:sp>
    <xdr:clientData/>
  </xdr:twoCellAnchor>
  <xdr:twoCellAnchor>
    <xdr:from>
      <xdr:col>1</xdr:col>
      <xdr:colOff>66674</xdr:colOff>
      <xdr:row>50</xdr:row>
      <xdr:rowOff>142876</xdr:rowOff>
    </xdr:from>
    <xdr:to>
      <xdr:col>12</xdr:col>
      <xdr:colOff>38099</xdr:colOff>
      <xdr:row>54</xdr:row>
      <xdr:rowOff>47626</xdr:rowOff>
    </xdr:to>
    <xdr:sp macro="" textlink="">
      <xdr:nvSpPr>
        <xdr:cNvPr id="8" name="TextBox 1">
          <a:extLst>
            <a:ext uri="{FF2B5EF4-FFF2-40B4-BE49-F238E27FC236}">
              <a16:creationId xmlns:a16="http://schemas.microsoft.com/office/drawing/2014/main" id="{823FA422-62C3-4447-B172-9DF54B0221B3}"/>
            </a:ext>
          </a:extLst>
        </xdr:cNvPr>
        <xdr:cNvSpPr txBox="1"/>
      </xdr:nvSpPr>
      <xdr:spPr>
        <a:xfrm>
          <a:off x="342899" y="11496676"/>
          <a:ext cx="10296525" cy="5524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1"/>
            <a:t>About</a:t>
          </a:r>
          <a:r>
            <a:rPr lang="en-US" sz="1100" b="1" baseline="0"/>
            <a:t> Sustainability Scores:  </a:t>
          </a:r>
          <a:r>
            <a:rPr lang="en-US" sz="1100" b="0" baseline="0"/>
            <a:t>These charts show how well your base case and build scenarios are performing relative to the Max scenario.  Max is by definition 100 points, assuming it were possible to do all things in the corridor that would secure maximum functional and environmental sustainability.</a:t>
          </a:r>
        </a:p>
        <a:p>
          <a:endParaRPr lang="en-US" sz="1100" b="0" baseline="0"/>
        </a:p>
      </xdr:txBody>
    </xdr:sp>
    <xdr:clientData/>
  </xdr:twoCellAnchor>
</xdr:wsDr>
</file>

<file path=xl/drawings/drawing3.xml><?xml version="1.0" encoding="utf-8"?>
<c:userShapes xmlns:c="http://schemas.openxmlformats.org/drawingml/2006/chart">
  <cdr:relSizeAnchor xmlns:cdr="http://schemas.openxmlformats.org/drawingml/2006/chartDrawing">
    <cdr:from>
      <cdr:x>0</cdr:x>
      <cdr:y>0.01394</cdr:y>
    </cdr:from>
    <cdr:to>
      <cdr:x>0.98489</cdr:x>
      <cdr:y>0.09225</cdr:y>
    </cdr:to>
    <cdr:sp macro="" textlink="">
      <cdr:nvSpPr>
        <cdr:cNvPr id="2" name="TextBox 1">
          <a:extLst xmlns:a="http://schemas.openxmlformats.org/drawingml/2006/main">
            <a:ext uri="{FF2B5EF4-FFF2-40B4-BE49-F238E27FC236}">
              <a16:creationId xmlns:a16="http://schemas.microsoft.com/office/drawing/2014/main" id="{D41EE056-510D-4B14-A001-EC641FC8E5BD}"/>
            </a:ext>
          </a:extLst>
        </cdr:cNvPr>
        <cdr:cNvSpPr txBox="1"/>
      </cdr:nvSpPr>
      <cdr:spPr>
        <a:xfrm xmlns:a="http://schemas.openxmlformats.org/drawingml/2006/main">
          <a:off x="0" y="71962"/>
          <a:ext cx="6153150" cy="404288"/>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US" sz="1600" b="1" i="0" baseline="0">
              <a:effectLst/>
              <a:latin typeface="+mn-lt"/>
              <a:ea typeface="+mn-ea"/>
              <a:cs typeface="+mn-cs"/>
            </a:rPr>
            <a:t>Freeway Corridor Peak Hour Person Throughput by Component</a:t>
          </a:r>
          <a:endParaRPr lang="en-US" sz="1600" b="1">
            <a:effectLst/>
          </a:endParaRPr>
        </a:p>
        <a:p xmlns:a="http://schemas.openxmlformats.org/drawingml/2006/main">
          <a:pPr algn="ctr"/>
          <a:endParaRPr lang="en-US" sz="1600" b="1"/>
        </a:p>
      </cdr:txBody>
    </cdr:sp>
  </cdr:relSizeAnchor>
  <cdr:relSizeAnchor xmlns:cdr="http://schemas.openxmlformats.org/drawingml/2006/chartDrawing">
    <cdr:from>
      <cdr:x>0.13865</cdr:x>
      <cdr:y>0.22684</cdr:y>
    </cdr:from>
    <cdr:to>
      <cdr:x>0.44357</cdr:x>
      <cdr:y>0.28588</cdr:y>
    </cdr:to>
    <cdr:sp macro="" textlink="'Freeway Corridor Throughput'!$J$1">
      <cdr:nvSpPr>
        <cdr:cNvPr id="4" name="TextBox 3">
          <a:extLst xmlns:a="http://schemas.openxmlformats.org/drawingml/2006/main">
            <a:ext uri="{FF2B5EF4-FFF2-40B4-BE49-F238E27FC236}">
              <a16:creationId xmlns:a16="http://schemas.microsoft.com/office/drawing/2014/main" id="{3155363E-6501-4180-A3A4-DD44C6A01A62}"/>
            </a:ext>
          </a:extLst>
        </cdr:cNvPr>
        <cdr:cNvSpPr txBox="1"/>
      </cdr:nvSpPr>
      <cdr:spPr>
        <a:xfrm xmlns:a="http://schemas.openxmlformats.org/drawingml/2006/main">
          <a:off x="892741" y="1026328"/>
          <a:ext cx="1963351" cy="26712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18BA6CEE-17FE-4F6B-A818-C53DCBE7F07C}" type="TxLink">
            <a:rPr lang="en-US" sz="1000" b="1" i="0" u="none" strike="noStrike">
              <a:solidFill>
                <a:srgbClr val="366092"/>
              </a:solidFill>
              <a:latin typeface="Arial"/>
              <a:cs typeface="Arial"/>
            </a:rPr>
            <a:pPr/>
            <a:t>GP lanes in all scenarios: 4</a:t>
          </a:fld>
          <a:endParaRPr lang="en-US" sz="1100"/>
        </a:p>
      </cdr:txBody>
    </cdr:sp>
  </cdr:relSizeAnchor>
  <cdr:relSizeAnchor xmlns:cdr="http://schemas.openxmlformats.org/drawingml/2006/chartDrawing">
    <cdr:from>
      <cdr:x>0.13768</cdr:x>
      <cdr:y>0.2799</cdr:y>
    </cdr:from>
    <cdr:to>
      <cdr:x>0.4426</cdr:x>
      <cdr:y>0.33894</cdr:y>
    </cdr:to>
    <cdr:sp macro="" textlink="'Freeway Corridor Throughput'!$M$1">
      <cdr:nvSpPr>
        <cdr:cNvPr id="5" name="TextBox 1">
          <a:extLst xmlns:a="http://schemas.openxmlformats.org/drawingml/2006/main">
            <a:ext uri="{FF2B5EF4-FFF2-40B4-BE49-F238E27FC236}">
              <a16:creationId xmlns:a16="http://schemas.microsoft.com/office/drawing/2014/main" id="{C2AD5050-6617-4E8D-90ED-65FD5C4C141C}"/>
            </a:ext>
          </a:extLst>
        </cdr:cNvPr>
        <cdr:cNvSpPr txBox="1"/>
      </cdr:nvSpPr>
      <cdr:spPr>
        <a:xfrm xmlns:a="http://schemas.openxmlformats.org/drawingml/2006/main">
          <a:off x="886488" y="1266374"/>
          <a:ext cx="1963351" cy="26712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CB53862-412E-41F4-94F8-F26031EF444A}" type="TxLink">
            <a:rPr lang="en-US" sz="1000" b="1" i="0" u="none" strike="noStrike">
              <a:solidFill>
                <a:srgbClr val="366092"/>
              </a:solidFill>
              <a:latin typeface="Arial"/>
              <a:cs typeface="Arial"/>
            </a:rPr>
            <a:pPr/>
            <a:t>HOV/HOT lanes in all: 1</a:t>
          </a:fld>
          <a:endParaRPr lang="en-US" sz="1100"/>
        </a:p>
      </cdr:txBody>
    </cdr:sp>
  </cdr:relSizeAnchor>
  <cdr:relSizeAnchor xmlns:cdr="http://schemas.openxmlformats.org/drawingml/2006/chartDrawing">
    <cdr:from>
      <cdr:x>0.65662</cdr:x>
      <cdr:y>0.93123</cdr:y>
    </cdr:from>
    <cdr:to>
      <cdr:x>0.96154</cdr:x>
      <cdr:y>0.99027</cdr:y>
    </cdr:to>
    <cdr:sp macro="" textlink="">
      <cdr:nvSpPr>
        <cdr:cNvPr id="6" name="TextBox 1">
          <a:extLst xmlns:a="http://schemas.openxmlformats.org/drawingml/2006/main">
            <a:ext uri="{FF2B5EF4-FFF2-40B4-BE49-F238E27FC236}">
              <a16:creationId xmlns:a16="http://schemas.microsoft.com/office/drawing/2014/main" id="{05256C9E-E8E1-4AE4-868C-F1F0EB8F05B2}"/>
            </a:ext>
          </a:extLst>
        </cdr:cNvPr>
        <cdr:cNvSpPr txBox="1"/>
      </cdr:nvSpPr>
      <cdr:spPr>
        <a:xfrm xmlns:a="http://schemas.openxmlformats.org/drawingml/2006/main">
          <a:off x="4227899" y="4213225"/>
          <a:ext cx="1963351" cy="26712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000" b="1" i="0" u="none" strike="noStrike">
              <a:solidFill>
                <a:srgbClr val="366092"/>
              </a:solidFill>
              <a:latin typeface="Arial"/>
              <a:cs typeface="Arial"/>
            </a:rPr>
            <a:t>See notes 1-8 below</a:t>
          </a:r>
          <a:endParaRPr lang="en-US" sz="1100"/>
        </a:p>
      </cdr:txBody>
    </cdr:sp>
  </cdr:relSizeAnchor>
  <cdr:relSizeAnchor xmlns:cdr="http://schemas.openxmlformats.org/drawingml/2006/chartDrawing">
    <cdr:from>
      <cdr:x>0.25789</cdr:x>
      <cdr:y>0.15018</cdr:y>
    </cdr:from>
    <cdr:to>
      <cdr:x>0.35207</cdr:x>
      <cdr:y>0.20922</cdr:y>
    </cdr:to>
    <cdr:sp macro="" textlink="'Throughput Calculations'!$D$80">
      <cdr:nvSpPr>
        <cdr:cNvPr id="8" name="TextBox 1">
          <a:extLst xmlns:a="http://schemas.openxmlformats.org/drawingml/2006/main">
            <a:ext uri="{FF2B5EF4-FFF2-40B4-BE49-F238E27FC236}">
              <a16:creationId xmlns:a16="http://schemas.microsoft.com/office/drawing/2014/main" id="{51A6FAE0-73DA-4102-9198-B92FE5CF4EFB}"/>
            </a:ext>
          </a:extLst>
        </cdr:cNvPr>
        <cdr:cNvSpPr txBox="1"/>
      </cdr:nvSpPr>
      <cdr:spPr>
        <a:xfrm xmlns:a="http://schemas.openxmlformats.org/drawingml/2006/main">
          <a:off x="1660525" y="679450"/>
          <a:ext cx="606425" cy="26712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B7D453-0036-45D4-9AA3-89E05D351325}" type="TxLink">
            <a:rPr lang="en-US" sz="1200" b="0" i="0" u="none" strike="noStrike">
              <a:solidFill>
                <a:srgbClr val="C00000"/>
              </a:solidFill>
              <a:latin typeface="Arial"/>
              <a:cs typeface="Arial"/>
            </a:rPr>
            <a:pPr/>
            <a:t>29%</a:t>
          </a:fld>
          <a:endParaRPr lang="en-US" sz="1200">
            <a:solidFill>
              <a:srgbClr val="C00000"/>
            </a:solidFill>
          </a:endParaRPr>
        </a:p>
      </cdr:txBody>
    </cdr:sp>
  </cdr:relSizeAnchor>
  <cdr:relSizeAnchor xmlns:cdr="http://schemas.openxmlformats.org/drawingml/2006/chartDrawing">
    <cdr:from>
      <cdr:x>0.37475</cdr:x>
      <cdr:y>0.14596</cdr:y>
    </cdr:from>
    <cdr:to>
      <cdr:x>0.46893</cdr:x>
      <cdr:y>0.20501</cdr:y>
    </cdr:to>
    <cdr:sp macro="" textlink="'Throughput Calculations'!$E$80">
      <cdr:nvSpPr>
        <cdr:cNvPr id="9" name="TextBox 1">
          <a:extLst xmlns:a="http://schemas.openxmlformats.org/drawingml/2006/main">
            <a:ext uri="{FF2B5EF4-FFF2-40B4-BE49-F238E27FC236}">
              <a16:creationId xmlns:a16="http://schemas.microsoft.com/office/drawing/2014/main" id="{51A6FAE0-73DA-4102-9198-B92FE5CF4EFB}"/>
            </a:ext>
          </a:extLst>
        </cdr:cNvPr>
        <cdr:cNvSpPr txBox="1"/>
      </cdr:nvSpPr>
      <cdr:spPr>
        <a:xfrm xmlns:a="http://schemas.openxmlformats.org/drawingml/2006/main">
          <a:off x="2413000" y="660400"/>
          <a:ext cx="606425" cy="26712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3EA2586-B04B-4CBE-AA49-C74949D26C07}" type="TxLink">
            <a:rPr lang="en-US" sz="1200" b="0" i="0" u="none" strike="noStrike">
              <a:solidFill>
                <a:schemeClr val="accent3">
                  <a:lumMod val="50000"/>
                </a:schemeClr>
              </a:solidFill>
              <a:latin typeface="Arial"/>
              <a:cs typeface="Arial"/>
            </a:rPr>
            <a:pPr/>
            <a:t>71%</a:t>
          </a:fld>
          <a:endParaRPr lang="en-US" sz="1200">
            <a:solidFill>
              <a:schemeClr val="accent3">
                <a:lumMod val="50000"/>
              </a:schemeClr>
            </a:solidFill>
          </a:endParaRPr>
        </a:p>
      </cdr:txBody>
    </cdr:sp>
  </cdr:relSizeAnchor>
  <cdr:relSizeAnchor xmlns:cdr="http://schemas.openxmlformats.org/drawingml/2006/chartDrawing">
    <cdr:from>
      <cdr:x>0.4783</cdr:x>
      <cdr:y>0.14807</cdr:y>
    </cdr:from>
    <cdr:to>
      <cdr:x>0.68195</cdr:x>
      <cdr:y>0.24211</cdr:y>
    </cdr:to>
    <cdr:sp macro="" textlink="">
      <cdr:nvSpPr>
        <cdr:cNvPr id="10" name="TextBox 1">
          <a:extLst xmlns:a="http://schemas.openxmlformats.org/drawingml/2006/main">
            <a:ext uri="{FF2B5EF4-FFF2-40B4-BE49-F238E27FC236}">
              <a16:creationId xmlns:a16="http://schemas.microsoft.com/office/drawing/2014/main" id="{2A15F877-1176-4C58-BF01-57755528DA43}"/>
            </a:ext>
          </a:extLst>
        </cdr:cNvPr>
        <cdr:cNvSpPr txBox="1"/>
      </cdr:nvSpPr>
      <cdr:spPr>
        <a:xfrm xmlns:a="http://schemas.openxmlformats.org/drawingml/2006/main">
          <a:off x="3079750" y="674156"/>
          <a:ext cx="1311275" cy="42813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i="0" u="none" strike="noStrike">
              <a:solidFill>
                <a:srgbClr val="366092"/>
              </a:solidFill>
              <a:latin typeface="Arial"/>
              <a:cs typeface="Arial"/>
            </a:rPr>
            <a:t>&lt;= Increase relative</a:t>
          </a:r>
          <a:r>
            <a:rPr lang="en-US" sz="1000" b="1" i="0" u="none" strike="noStrike" baseline="0">
              <a:solidFill>
                <a:srgbClr val="366092"/>
              </a:solidFill>
              <a:latin typeface="Arial"/>
              <a:cs typeface="Arial"/>
            </a:rPr>
            <a:t> to base</a:t>
          </a:r>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21</xdr:col>
      <xdr:colOff>121226</xdr:colOff>
      <xdr:row>1</xdr:row>
      <xdr:rowOff>17318</xdr:rowOff>
    </xdr:from>
    <xdr:to>
      <xdr:col>23</xdr:col>
      <xdr:colOff>556779</xdr:colOff>
      <xdr:row>8</xdr:row>
      <xdr:rowOff>34636</xdr:rowOff>
    </xdr:to>
    <xdr:sp macro="" textlink="">
      <xdr:nvSpPr>
        <xdr:cNvPr id="3" name="TextBox 2">
          <a:extLst>
            <a:ext uri="{FF2B5EF4-FFF2-40B4-BE49-F238E27FC236}">
              <a16:creationId xmlns:a16="http://schemas.microsoft.com/office/drawing/2014/main" id="{5CA411C4-4852-4203-9C25-394B5EBA9EAA}"/>
            </a:ext>
          </a:extLst>
        </xdr:cNvPr>
        <xdr:cNvSpPr txBox="1"/>
      </xdr:nvSpPr>
      <xdr:spPr>
        <a:xfrm>
          <a:off x="17448067" y="181841"/>
          <a:ext cx="4167621" cy="1194954"/>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aseline="0"/>
            <a:t>The lists at the left are options for drop-down boxes.  Below, both left and right, are parameters used by vlookup functions showing the points each feature gets for both functional and environmental sustainability, and also the effect that each feature has on overall person-trip throughput.</a:t>
          </a:r>
          <a:endParaRPr lang="en-US" sz="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238125</xdr:colOff>
      <xdr:row>0</xdr:row>
      <xdr:rowOff>0</xdr:rowOff>
    </xdr:from>
    <xdr:to>
      <xdr:col>12</xdr:col>
      <xdr:colOff>237839</xdr:colOff>
      <xdr:row>2</xdr:row>
      <xdr:rowOff>35799</xdr:rowOff>
    </xdr:to>
    <xdr:grpSp>
      <xdr:nvGrpSpPr>
        <xdr:cNvPr id="2" name="Group 1">
          <a:extLst>
            <a:ext uri="{FF2B5EF4-FFF2-40B4-BE49-F238E27FC236}">
              <a16:creationId xmlns:a16="http://schemas.microsoft.com/office/drawing/2014/main" id="{3FE839B6-9595-43F0-80B8-A6DAD9428DBE}"/>
            </a:ext>
          </a:extLst>
        </xdr:cNvPr>
        <xdr:cNvGrpSpPr/>
      </xdr:nvGrpSpPr>
      <xdr:grpSpPr>
        <a:xfrm>
          <a:off x="6300107" y="0"/>
          <a:ext cx="1931928" cy="1450942"/>
          <a:chOff x="0" y="0"/>
          <a:chExt cx="2451735" cy="1822566"/>
        </a:xfrm>
      </xdr:grpSpPr>
      <xdr:pic>
        <xdr:nvPicPr>
          <xdr:cNvPr id="3" name="Picture 2">
            <a:extLst>
              <a:ext uri="{FF2B5EF4-FFF2-40B4-BE49-F238E27FC236}">
                <a16:creationId xmlns:a16="http://schemas.microsoft.com/office/drawing/2014/main" id="{3B6BE087-F2C2-4D2B-9AE9-223CF94E080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451735" cy="1602740"/>
          </a:xfrm>
          <a:prstGeom prst="rect">
            <a:avLst/>
          </a:prstGeom>
        </xdr:spPr>
      </xdr:pic>
      <xdr:sp macro="" textlink="">
        <xdr:nvSpPr>
          <xdr:cNvPr id="4" name="Text Box 25">
            <a:extLst>
              <a:ext uri="{FF2B5EF4-FFF2-40B4-BE49-F238E27FC236}">
                <a16:creationId xmlns:a16="http://schemas.microsoft.com/office/drawing/2014/main" id="{436F27FB-1C65-478E-A664-B387ED1476DC}"/>
              </a:ext>
            </a:extLst>
          </xdr:cNvPr>
          <xdr:cNvSpPr txBox="1"/>
        </xdr:nvSpPr>
        <xdr:spPr>
          <a:xfrm>
            <a:off x="0" y="1662546"/>
            <a:ext cx="2451735" cy="160020"/>
          </a:xfrm>
          <a:prstGeom prst="rect">
            <a:avLst/>
          </a:prstGeom>
          <a:solidFill>
            <a:prstClr val="white"/>
          </a:solidFill>
          <a:ln>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1000"/>
              </a:spcAft>
            </a:pPr>
            <a:r>
              <a:rPr lang="en-US" sz="700" b="1" i="1">
                <a:solidFill>
                  <a:srgbClr val="44546A"/>
                </a:solidFill>
                <a:effectLst/>
                <a:latin typeface="Calibri" panose="020F0502020204030204" pitchFamily="34" charset="0"/>
                <a:ea typeface="Calibri" panose="020F0502020204030204" pitchFamily="34" charset="0"/>
                <a:cs typeface="Arial" panose="020B0604020202020204" pitchFamily="34" charset="0"/>
              </a:rPr>
              <a:t>Figure 1:</a:t>
            </a:r>
            <a:r>
              <a:rPr lang="en-US" sz="700" i="1">
                <a:solidFill>
                  <a:srgbClr val="44546A"/>
                </a:solidFill>
                <a:effectLst/>
                <a:latin typeface="Calibri" panose="020F0502020204030204" pitchFamily="34" charset="0"/>
                <a:ea typeface="Calibri" panose="020F0502020204030204" pitchFamily="34" charset="0"/>
                <a:cs typeface="Arial" panose="020B0604020202020204" pitchFamily="34" charset="0"/>
              </a:rPr>
              <a:t> Spacing suggestion identified in NCHRP 917, Right-Sizing</a:t>
            </a:r>
            <a:endParaRPr lang="en-US" sz="900" i="1">
              <a:solidFill>
                <a:srgbClr val="44546A"/>
              </a:solidFill>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twoCellAnchor>
    <xdr:from>
      <xdr:col>1</xdr:col>
      <xdr:colOff>0</xdr:colOff>
      <xdr:row>11</xdr:row>
      <xdr:rowOff>35719</xdr:rowOff>
    </xdr:from>
    <xdr:to>
      <xdr:col>9</xdr:col>
      <xdr:colOff>11906</xdr:colOff>
      <xdr:row>17</xdr:row>
      <xdr:rowOff>122464</xdr:rowOff>
    </xdr:to>
    <xdr:sp macro="" textlink="">
      <xdr:nvSpPr>
        <xdr:cNvPr id="5" name="TextBox 4">
          <a:extLst>
            <a:ext uri="{FF2B5EF4-FFF2-40B4-BE49-F238E27FC236}">
              <a16:creationId xmlns:a16="http://schemas.microsoft.com/office/drawing/2014/main" id="{D6C8F6D7-272C-4F05-BBCC-D99DA516396F}"/>
            </a:ext>
          </a:extLst>
        </xdr:cNvPr>
        <xdr:cNvSpPr txBox="1"/>
      </xdr:nvSpPr>
      <xdr:spPr>
        <a:xfrm>
          <a:off x="238125" y="2063183"/>
          <a:ext cx="5325495" cy="1073263"/>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Note 1</a:t>
          </a:r>
          <a:r>
            <a:rPr lang="en-US" sz="1000"/>
            <a:t>: A freeway with 2-lanes each direction carries 73,000 per day as the sum of both directions.  A two-way principal with 2-lanes each direction (likely a 5-lane cross-section) carries 35,000 as the sum of both directions. A one-way principal arterial with 2-lanes will be (35,000 / 2) * 1.20 = 21,000, or 42,000 as the sum of two streets in a one-way couplet. This is because one-ways have about 20% more capacity per lane since they do not need left-turn signal phases.</a:t>
          </a:r>
        </a:p>
        <a:p>
          <a:r>
            <a:rPr lang="en-US" sz="1000" b="1"/>
            <a:t>Note 2</a:t>
          </a:r>
          <a:r>
            <a:rPr lang="en-US" sz="1000"/>
            <a:t>: This is two-way ADT.</a:t>
          </a:r>
          <a:r>
            <a:rPr lang="en-US" sz="1000" baseline="0"/>
            <a:t> To apply to each half of a facility, divide values by two.</a:t>
          </a:r>
          <a:endParaRPr lang="en-US" sz="1000"/>
        </a:p>
      </xdr:txBody>
    </xdr:sp>
    <xdr:clientData/>
  </xdr:twoCellAnchor>
  <xdr:twoCellAnchor>
    <xdr:from>
      <xdr:col>1</xdr:col>
      <xdr:colOff>13607</xdr:colOff>
      <xdr:row>0</xdr:row>
      <xdr:rowOff>47625</xdr:rowOff>
    </xdr:from>
    <xdr:to>
      <xdr:col>10</xdr:col>
      <xdr:colOff>210910</xdr:colOff>
      <xdr:row>0</xdr:row>
      <xdr:rowOff>1231446</xdr:rowOff>
    </xdr:to>
    <xdr:sp macro="" textlink="">
      <xdr:nvSpPr>
        <xdr:cNvPr id="9" name="TextBox 8">
          <a:extLst>
            <a:ext uri="{FF2B5EF4-FFF2-40B4-BE49-F238E27FC236}">
              <a16:creationId xmlns:a16="http://schemas.microsoft.com/office/drawing/2014/main" id="{25030380-C17D-4D21-8B2E-85863E4BDE35}"/>
            </a:ext>
          </a:extLst>
        </xdr:cNvPr>
        <xdr:cNvSpPr txBox="1"/>
      </xdr:nvSpPr>
      <xdr:spPr>
        <a:xfrm>
          <a:off x="251732" y="47625"/>
          <a:ext cx="6123214" cy="1183821"/>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t>NCHRP Report 917,</a:t>
          </a:r>
          <a:r>
            <a:rPr lang="en-US" sz="1000" b="0" baseline="0"/>
            <a:t> Right-sizing Guide, recommends ideal regional network spacing as shown at the right.  This tab determines how much VMT this 5x5 tile can support, assuming each facility operated at LOS E in the peak hour.  Dividing the 25 square mile tile by 25 results in an "ideal benchmark" value of VMT per square mile.  The user would then compute the VMT per square mile potential of your existing + planned streets.  If the result suggest the E+P network is 50% of ideal, this means that at buildout, surface streets will be massively overloaded (hence the need for more streets, or alternatively it employing a means of managing demand.).</a:t>
          </a:r>
          <a:endParaRPr lang="en-US" sz="1000" b="0"/>
        </a:p>
      </xdr:txBody>
    </xdr:sp>
    <xdr:clientData/>
  </xdr:twoCellAnchor>
  <xdr:twoCellAnchor>
    <xdr:from>
      <xdr:col>16</xdr:col>
      <xdr:colOff>653142</xdr:colOff>
      <xdr:row>0</xdr:row>
      <xdr:rowOff>136072</xdr:rowOff>
    </xdr:from>
    <xdr:to>
      <xdr:col>24</xdr:col>
      <xdr:colOff>537482</xdr:colOff>
      <xdr:row>0</xdr:row>
      <xdr:rowOff>1183821</xdr:rowOff>
    </xdr:to>
    <xdr:sp macro="" textlink="">
      <xdr:nvSpPr>
        <xdr:cNvPr id="11" name="TextBox 10">
          <a:extLst>
            <a:ext uri="{FF2B5EF4-FFF2-40B4-BE49-F238E27FC236}">
              <a16:creationId xmlns:a16="http://schemas.microsoft.com/office/drawing/2014/main" id="{D17CE4F1-96DA-4E4D-B646-CAF56CE65AEE}"/>
            </a:ext>
          </a:extLst>
        </xdr:cNvPr>
        <xdr:cNvSpPr txBox="1"/>
      </xdr:nvSpPr>
      <xdr:spPr>
        <a:xfrm>
          <a:off x="11470821" y="136072"/>
          <a:ext cx="5415643" cy="1047749"/>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t>These tables determines</a:t>
          </a:r>
          <a:r>
            <a:rPr lang="en-US" sz="1000" b="0" baseline="0"/>
            <a:t> how much VMT potential there is within the streets within the 5x5 tile shown at the left, assuming each street operated at LOS E.  The reason to know this is that the user can then compute the VMT potential of your study area, and compare it against this ideal benchmark.  Since a study area will not be 25 square miles, the second table shows ideal VMT capability within a single square mile, which can then be used to compare  VMT capability over however many square miles the user estimated.  </a:t>
          </a:r>
          <a:endParaRPr lang="en-US" sz="1000" b="0"/>
        </a:p>
      </xdr:txBody>
    </xdr:sp>
    <xdr:clientData/>
  </xdr:twoCellAnchor>
  <xdr:twoCellAnchor>
    <xdr:from>
      <xdr:col>12</xdr:col>
      <xdr:colOff>346982</xdr:colOff>
      <xdr:row>0</xdr:row>
      <xdr:rowOff>734786</xdr:rowOff>
    </xdr:from>
    <xdr:to>
      <xdr:col>15</xdr:col>
      <xdr:colOff>612322</xdr:colOff>
      <xdr:row>4</xdr:row>
      <xdr:rowOff>88446</xdr:rowOff>
    </xdr:to>
    <xdr:sp macro="" textlink="">
      <xdr:nvSpPr>
        <xdr:cNvPr id="12" name="TextBox 11">
          <a:extLst>
            <a:ext uri="{FF2B5EF4-FFF2-40B4-BE49-F238E27FC236}">
              <a16:creationId xmlns:a16="http://schemas.microsoft.com/office/drawing/2014/main" id="{41452931-70A8-4B72-93D9-A327149D0C03}"/>
            </a:ext>
          </a:extLst>
        </xdr:cNvPr>
        <xdr:cNvSpPr txBox="1"/>
      </xdr:nvSpPr>
      <xdr:spPr>
        <a:xfrm>
          <a:off x="8463643" y="734786"/>
          <a:ext cx="2299608" cy="1265464"/>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t>The guide shows "Expressway"</a:t>
          </a:r>
          <a:r>
            <a:rPr lang="en-US" sz="1000" b="0" baseline="0"/>
            <a:t> which may be at-grade or grade separated (a freeway).  For determining VMT potential, assume that 3 out of 4 expressways are 8-lane freeways (4 per direction), and the 4th is an at-grade expressway with 3-lanes per direction.</a:t>
          </a:r>
          <a:endParaRPr lang="en-US" sz="1000" b="0"/>
        </a:p>
      </xdr:txBody>
    </xdr:sp>
    <xdr:clientData/>
  </xdr:twoCellAnchor>
  <xdr:twoCellAnchor>
    <xdr:from>
      <xdr:col>17</xdr:col>
      <xdr:colOff>34019</xdr:colOff>
      <xdr:row>18</xdr:row>
      <xdr:rowOff>0</xdr:rowOff>
    </xdr:from>
    <xdr:to>
      <xdr:col>25</xdr:col>
      <xdr:colOff>47625</xdr:colOff>
      <xdr:row>22</xdr:row>
      <xdr:rowOff>95250</xdr:rowOff>
    </xdr:to>
    <xdr:sp macro="" textlink="">
      <xdr:nvSpPr>
        <xdr:cNvPr id="13" name="TextBox 12">
          <a:extLst>
            <a:ext uri="{FF2B5EF4-FFF2-40B4-BE49-F238E27FC236}">
              <a16:creationId xmlns:a16="http://schemas.microsoft.com/office/drawing/2014/main" id="{DAC55324-7A61-48CE-B351-FE0C1E1007F5}"/>
            </a:ext>
          </a:extLst>
        </xdr:cNvPr>
        <xdr:cNvSpPr txBox="1"/>
      </xdr:nvSpPr>
      <xdr:spPr>
        <a:xfrm>
          <a:off x="11538858" y="4606018"/>
          <a:ext cx="5470071" cy="762000"/>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t>Above shows an ideal situation will be capable of supporting 133,000 VMT per square mile.  Suppose</a:t>
          </a:r>
          <a:r>
            <a:rPr lang="en-US" sz="1000" b="0" baseline="0"/>
            <a:t> a study area streets support 133,000 VMT, but over two-square miles. This is 50% of ideal, suggesting a need to expand a network if possible, or to expand lanes on existing network, in order to support suburban densities at buildout.   </a:t>
          </a:r>
          <a:endParaRPr lang="en-US" sz="1000" b="0"/>
        </a:p>
      </xdr:txBody>
    </xdr:sp>
    <xdr:clientData/>
  </xdr:twoCellAnchor>
  <xdr:twoCellAnchor>
    <xdr:from>
      <xdr:col>17</xdr:col>
      <xdr:colOff>40821</xdr:colOff>
      <xdr:row>22</xdr:row>
      <xdr:rowOff>108855</xdr:rowOff>
    </xdr:from>
    <xdr:to>
      <xdr:col>25</xdr:col>
      <xdr:colOff>54427</xdr:colOff>
      <xdr:row>25</xdr:row>
      <xdr:rowOff>115659</xdr:rowOff>
    </xdr:to>
    <xdr:sp macro="" textlink="">
      <xdr:nvSpPr>
        <xdr:cNvPr id="14" name="TextBox 13">
          <a:extLst>
            <a:ext uri="{FF2B5EF4-FFF2-40B4-BE49-F238E27FC236}">
              <a16:creationId xmlns:a16="http://schemas.microsoft.com/office/drawing/2014/main" id="{A6B785F6-3638-4EB2-A5E9-35058218795D}"/>
            </a:ext>
          </a:extLst>
        </xdr:cNvPr>
        <xdr:cNvSpPr txBox="1"/>
      </xdr:nvSpPr>
      <xdr:spPr>
        <a:xfrm>
          <a:off x="11545660" y="5381623"/>
          <a:ext cx="5470071" cy="496661"/>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t>Some areas do not need or want freeways.</a:t>
          </a:r>
          <a:r>
            <a:rPr lang="en-US" sz="1000" b="0" baseline="0"/>
            <a:t>  These tables show VMT per square mile, assuming the expressways are converted to at-grade principal arterials.</a:t>
          </a:r>
          <a:endParaRPr lang="en-US" sz="1000" b="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129885</xdr:colOff>
      <xdr:row>0</xdr:row>
      <xdr:rowOff>36370</xdr:rowOff>
    </xdr:from>
    <xdr:to>
      <xdr:col>21</xdr:col>
      <xdr:colOff>129887</xdr:colOff>
      <xdr:row>1</xdr:row>
      <xdr:rowOff>1150919</xdr:rowOff>
    </xdr:to>
    <xdr:pic>
      <xdr:nvPicPr>
        <xdr:cNvPr id="3" name="Picture 2">
          <a:extLst>
            <a:ext uri="{FF2B5EF4-FFF2-40B4-BE49-F238E27FC236}">
              <a16:creationId xmlns:a16="http://schemas.microsoft.com/office/drawing/2014/main" id="{FFE67D3D-3007-49E7-BCA7-24B0475DD71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901294" y="36370"/>
          <a:ext cx="1731820" cy="1279072"/>
        </a:xfrm>
        <a:prstGeom prst="rect">
          <a:avLst/>
        </a:prstGeom>
      </xdr:spPr>
    </xdr:pic>
    <xdr:clientData/>
  </xdr:twoCellAnchor>
  <xdr:twoCellAnchor>
    <xdr:from>
      <xdr:col>1</xdr:col>
      <xdr:colOff>35503</xdr:colOff>
      <xdr:row>0</xdr:row>
      <xdr:rowOff>156729</xdr:rowOff>
    </xdr:from>
    <xdr:to>
      <xdr:col>15</xdr:col>
      <xdr:colOff>164524</xdr:colOff>
      <xdr:row>1</xdr:row>
      <xdr:rowOff>1194954</xdr:rowOff>
    </xdr:to>
    <xdr:sp macro="" textlink="">
      <xdr:nvSpPr>
        <xdr:cNvPr id="4" name="TextBox 3">
          <a:extLst>
            <a:ext uri="{FF2B5EF4-FFF2-40B4-BE49-F238E27FC236}">
              <a16:creationId xmlns:a16="http://schemas.microsoft.com/office/drawing/2014/main" id="{E6D06850-63E6-49F0-910B-94EC8D2DFD4A}"/>
            </a:ext>
          </a:extLst>
        </xdr:cNvPr>
        <xdr:cNvSpPr txBox="1"/>
      </xdr:nvSpPr>
      <xdr:spPr>
        <a:xfrm>
          <a:off x="641639" y="156729"/>
          <a:ext cx="5947930" cy="1202748"/>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t>NCHRP Report 917</a:t>
          </a:r>
          <a:r>
            <a:rPr lang="en-US" sz="1000" b="0" baseline="0"/>
            <a:t> demonstrates a 5x5 tile as ideal for a heavy suburban area with little open space.  However, some regions are likely to buildout at much lower densities.  This may be due to wetlands, mountains, or simply a strong dominance of large-lot single family homes that may prove impossible to intensify very much.  In NCHRP 08-124, these alternative 7x7 and 10x10 tiles were devised for these cases.  They still anticipate that a road every half-mile is still a good idea, but have more collectors and fewer expressways.  Scroll down to see graphics from a GIS evaluation of Atlanta so you can see how this "Fishnet Grid" was used as a benchmark for evaluating the overall region and study areas within the region.</a:t>
          </a:r>
          <a:endParaRPr lang="en-US" sz="1000" b="0"/>
        </a:p>
      </xdr:txBody>
    </xdr:sp>
    <xdr:clientData/>
  </xdr:twoCellAnchor>
  <xdr:twoCellAnchor>
    <xdr:from>
      <xdr:col>27</xdr:col>
      <xdr:colOff>484908</xdr:colOff>
      <xdr:row>1</xdr:row>
      <xdr:rowOff>233794</xdr:rowOff>
    </xdr:from>
    <xdr:to>
      <xdr:col>36</xdr:col>
      <xdr:colOff>519545</xdr:colOff>
      <xdr:row>1</xdr:row>
      <xdr:rowOff>1091045</xdr:rowOff>
    </xdr:to>
    <xdr:sp macro="" textlink="">
      <xdr:nvSpPr>
        <xdr:cNvPr id="5" name="TextBox 4">
          <a:extLst>
            <a:ext uri="{FF2B5EF4-FFF2-40B4-BE49-F238E27FC236}">
              <a16:creationId xmlns:a16="http://schemas.microsoft.com/office/drawing/2014/main" id="{70AB7654-8126-4A2F-B6FA-F37C4D7A2552}"/>
            </a:ext>
          </a:extLst>
        </xdr:cNvPr>
        <xdr:cNvSpPr txBox="1"/>
      </xdr:nvSpPr>
      <xdr:spPr>
        <a:xfrm>
          <a:off x="11585863" y="398317"/>
          <a:ext cx="4139046" cy="857251"/>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0">
              <a:solidFill>
                <a:schemeClr val="dk1"/>
              </a:solidFill>
              <a:latin typeface="+mn-lt"/>
              <a:ea typeface="+mn-ea"/>
              <a:cs typeface="+mn-cs"/>
            </a:rPr>
            <a:t>The</a:t>
          </a:r>
          <a:r>
            <a:rPr lang="en-US" sz="1100" b="0" baseline="0">
              <a:solidFill>
                <a:schemeClr val="dk1"/>
              </a:solidFill>
              <a:latin typeface="+mn-lt"/>
              <a:ea typeface="+mn-ea"/>
              <a:cs typeface="+mn-cs"/>
            </a:rPr>
            <a:t> tables below</a:t>
          </a:r>
          <a:r>
            <a:rPr lang="en-US" sz="1100" b="0">
              <a:solidFill>
                <a:schemeClr val="dk1"/>
              </a:solidFill>
              <a:latin typeface="+mn-lt"/>
              <a:ea typeface="+mn-ea"/>
              <a:cs typeface="+mn-cs"/>
            </a:rPr>
            <a:t> can be used as benchmarks for intersection density analysis.  The tops shows how many intersections of each type exist in a 25</a:t>
          </a:r>
          <a:r>
            <a:rPr lang="en-US" sz="1100" b="0" baseline="0">
              <a:solidFill>
                <a:schemeClr val="dk1"/>
              </a:solidFill>
              <a:latin typeface="+mn-lt"/>
              <a:ea typeface="+mn-ea"/>
              <a:cs typeface="+mn-cs"/>
            </a:rPr>
            <a:t> square mile area, and the bottom divides the top by 25, for comparing to areas of any size.</a:t>
          </a:r>
          <a:endParaRPr lang="en-US" sz="1100" b="0">
            <a:solidFill>
              <a:schemeClr val="dk1"/>
            </a:solidFill>
            <a:latin typeface="+mn-lt"/>
            <a:ea typeface="+mn-ea"/>
            <a:cs typeface="+mn-cs"/>
          </a:endParaRPr>
        </a:p>
      </xdr:txBody>
    </xdr:sp>
    <xdr:clientData/>
  </xdr:twoCellAnchor>
  <xdr:twoCellAnchor editAs="oneCell">
    <xdr:from>
      <xdr:col>1</xdr:col>
      <xdr:colOff>25979</xdr:colOff>
      <xdr:row>25</xdr:row>
      <xdr:rowOff>129886</xdr:rowOff>
    </xdr:from>
    <xdr:to>
      <xdr:col>22</xdr:col>
      <xdr:colOff>272928</xdr:colOff>
      <xdr:row>54</xdr:row>
      <xdr:rowOff>60610</xdr:rowOff>
    </xdr:to>
    <xdr:pic>
      <xdr:nvPicPr>
        <xdr:cNvPr id="6" name="Picture 5">
          <a:extLst>
            <a:ext uri="{FF2B5EF4-FFF2-40B4-BE49-F238E27FC236}">
              <a16:creationId xmlns:a16="http://schemas.microsoft.com/office/drawing/2014/main" id="{BDC2F0F1-4F7F-4E4A-88EB-3965BE11C401}"/>
            </a:ext>
          </a:extLst>
        </xdr:cNvPr>
        <xdr:cNvPicPr>
          <a:picLocks noChangeAspect="1"/>
        </xdr:cNvPicPr>
      </xdr:nvPicPr>
      <xdr:blipFill>
        <a:blip xmlns:r="http://schemas.openxmlformats.org/officeDocument/2006/relationships" r:embed="rId2"/>
        <a:stretch>
          <a:fillRect/>
        </a:stretch>
      </xdr:blipFill>
      <xdr:spPr>
        <a:xfrm>
          <a:off x="632115" y="5342659"/>
          <a:ext cx="8490404" cy="4701883"/>
        </a:xfrm>
        <a:prstGeom prst="rect">
          <a:avLst/>
        </a:prstGeom>
      </xdr:spPr>
    </xdr:pic>
    <xdr:clientData/>
  </xdr:twoCellAnchor>
  <xdr:twoCellAnchor>
    <xdr:from>
      <xdr:col>0</xdr:col>
      <xdr:colOff>606135</xdr:colOff>
      <xdr:row>18</xdr:row>
      <xdr:rowOff>1</xdr:rowOff>
    </xdr:from>
    <xdr:to>
      <xdr:col>25</xdr:col>
      <xdr:colOff>25976</xdr:colOff>
      <xdr:row>24</xdr:row>
      <xdr:rowOff>112569</xdr:rowOff>
    </xdr:to>
    <xdr:sp macro="" textlink="">
      <xdr:nvSpPr>
        <xdr:cNvPr id="7" name="TextBox 6">
          <a:extLst>
            <a:ext uri="{FF2B5EF4-FFF2-40B4-BE49-F238E27FC236}">
              <a16:creationId xmlns:a16="http://schemas.microsoft.com/office/drawing/2014/main" id="{4D69E834-C197-453F-A89F-FF3D0FC6383A}"/>
            </a:ext>
          </a:extLst>
        </xdr:cNvPr>
        <xdr:cNvSpPr txBox="1"/>
      </xdr:nvSpPr>
      <xdr:spPr>
        <a:xfrm>
          <a:off x="606135" y="4061115"/>
          <a:ext cx="9308523" cy="1099704"/>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Below is Atlanta's Existing + Planned network, compared to a series of 5x5</a:t>
          </a:r>
          <a:r>
            <a:rPr lang="en-US" sz="1100" b="0" baseline="0"/>
            <a:t>  and 7x7 tiles.  Notice that in the 5x5, there are 5 NS expressways and 8 EW expressways visible in the image, while the actual city has only three discernable NS expressways (1n, 2n, 3n), and also about three EW (1e, 2e, 3e).  The "Big Picture" message is that Atlanta simply doesn't have enough roads for the densities that have emerged here, and they would do well to "hunt" for any opportunities to increase their macro-level connectivity.  As they have relatively low densities anyway, a 7x7 tile set is a lot closer to their actual situation, so perhaps they're not that far off.  However, the outer fringe areas would do well to preserve corridors in anticipation of eventual full urbanization.</a:t>
          </a:r>
          <a:endParaRPr lang="en-US" sz="1100" b="0"/>
        </a:p>
      </xdr:txBody>
    </xdr:sp>
    <xdr:clientData/>
  </xdr:twoCellAnchor>
  <xdr:twoCellAnchor editAs="oneCell">
    <xdr:from>
      <xdr:col>1</xdr:col>
      <xdr:colOff>25977</xdr:colOff>
      <xdr:row>55</xdr:row>
      <xdr:rowOff>8658</xdr:rowOff>
    </xdr:from>
    <xdr:to>
      <xdr:col>18</xdr:col>
      <xdr:colOff>12181</xdr:colOff>
      <xdr:row>88</xdr:row>
      <xdr:rowOff>104851</xdr:rowOff>
    </xdr:to>
    <xdr:pic>
      <xdr:nvPicPr>
        <xdr:cNvPr id="8" name="Picture 7">
          <a:extLst>
            <a:ext uri="{FF2B5EF4-FFF2-40B4-BE49-F238E27FC236}">
              <a16:creationId xmlns:a16="http://schemas.microsoft.com/office/drawing/2014/main" id="{020A88D4-1E3B-43C7-879D-21213862698A}"/>
            </a:ext>
          </a:extLst>
        </xdr:cNvPr>
        <xdr:cNvPicPr>
          <a:picLocks noChangeAspect="1"/>
        </xdr:cNvPicPr>
      </xdr:nvPicPr>
      <xdr:blipFill>
        <a:blip xmlns:r="http://schemas.openxmlformats.org/officeDocument/2006/relationships" r:embed="rId3"/>
        <a:stretch>
          <a:fillRect/>
        </a:stretch>
      </xdr:blipFill>
      <xdr:spPr>
        <a:xfrm>
          <a:off x="632113" y="10157113"/>
          <a:ext cx="6844204" cy="5525443"/>
        </a:xfrm>
        <a:prstGeom prst="rect">
          <a:avLst/>
        </a:prstGeom>
      </xdr:spPr>
    </xdr:pic>
    <xdr:clientData/>
  </xdr:twoCellAnchor>
  <xdr:twoCellAnchor>
    <xdr:from>
      <xdr:col>18</xdr:col>
      <xdr:colOff>121228</xdr:colOff>
      <xdr:row>57</xdr:row>
      <xdr:rowOff>8659</xdr:rowOff>
    </xdr:from>
    <xdr:to>
      <xdr:col>23</xdr:col>
      <xdr:colOff>51954</xdr:colOff>
      <xdr:row>74</xdr:row>
      <xdr:rowOff>8659</xdr:rowOff>
    </xdr:to>
    <xdr:sp macro="" textlink="">
      <xdr:nvSpPr>
        <xdr:cNvPr id="9" name="TextBox 8">
          <a:extLst>
            <a:ext uri="{FF2B5EF4-FFF2-40B4-BE49-F238E27FC236}">
              <a16:creationId xmlns:a16="http://schemas.microsoft.com/office/drawing/2014/main" id="{A520012B-224E-406E-A035-46198FDB6C94}"/>
            </a:ext>
          </a:extLst>
        </xdr:cNvPr>
        <xdr:cNvSpPr txBox="1"/>
      </xdr:nvSpPr>
      <xdr:spPr>
        <a:xfrm>
          <a:off x="7585364" y="10486159"/>
          <a:ext cx="1662545" cy="2796886"/>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t>These subareas in Atlanta were evaluated for the level of VMT they can support given their existing networks, as measured against what an ideal fishnet grid could support.</a:t>
          </a:r>
          <a:endParaRPr lang="en-US" sz="1100" b="0"/>
        </a:p>
      </xdr:txBody>
    </xdr:sp>
    <xdr:clientData/>
  </xdr:twoCellAnchor>
  <xdr:twoCellAnchor editAs="oneCell">
    <xdr:from>
      <xdr:col>0</xdr:col>
      <xdr:colOff>571499</xdr:colOff>
      <xdr:row>94</xdr:row>
      <xdr:rowOff>6392</xdr:rowOff>
    </xdr:from>
    <xdr:to>
      <xdr:col>23</xdr:col>
      <xdr:colOff>303067</xdr:colOff>
      <xdr:row>113</xdr:row>
      <xdr:rowOff>36811</xdr:rowOff>
    </xdr:to>
    <xdr:pic>
      <xdr:nvPicPr>
        <xdr:cNvPr id="10" name="Picture 9">
          <a:extLst>
            <a:ext uri="{FF2B5EF4-FFF2-40B4-BE49-F238E27FC236}">
              <a16:creationId xmlns:a16="http://schemas.microsoft.com/office/drawing/2014/main" id="{7EA1FD45-362B-4BB5-AF5C-1D7AAF7169A6}"/>
            </a:ext>
          </a:extLst>
        </xdr:cNvPr>
        <xdr:cNvPicPr>
          <a:picLocks noChangeAspect="1"/>
        </xdr:cNvPicPr>
      </xdr:nvPicPr>
      <xdr:blipFill>
        <a:blip xmlns:r="http://schemas.openxmlformats.org/officeDocument/2006/relationships" r:embed="rId4"/>
        <a:stretch>
          <a:fillRect/>
        </a:stretch>
      </xdr:blipFill>
      <xdr:spPr>
        <a:xfrm>
          <a:off x="571499" y="16571233"/>
          <a:ext cx="8927523" cy="3156351"/>
        </a:xfrm>
        <a:prstGeom prst="rect">
          <a:avLst/>
        </a:prstGeom>
      </xdr:spPr>
    </xdr:pic>
    <xdr:clientData/>
  </xdr:twoCellAnchor>
  <xdr:twoCellAnchor>
    <xdr:from>
      <xdr:col>0</xdr:col>
      <xdr:colOff>597477</xdr:colOff>
      <xdr:row>89</xdr:row>
      <xdr:rowOff>69273</xdr:rowOff>
    </xdr:from>
    <xdr:to>
      <xdr:col>23</xdr:col>
      <xdr:colOff>277090</xdr:colOff>
      <xdr:row>93</xdr:row>
      <xdr:rowOff>51955</xdr:rowOff>
    </xdr:to>
    <xdr:sp macro="" textlink="">
      <xdr:nvSpPr>
        <xdr:cNvPr id="11" name="TextBox 10">
          <a:extLst>
            <a:ext uri="{FF2B5EF4-FFF2-40B4-BE49-F238E27FC236}">
              <a16:creationId xmlns:a16="http://schemas.microsoft.com/office/drawing/2014/main" id="{1326BA69-126F-4CF1-BF4E-9F48B11C18EB}"/>
            </a:ext>
          </a:extLst>
        </xdr:cNvPr>
        <xdr:cNvSpPr txBox="1"/>
      </xdr:nvSpPr>
      <xdr:spPr>
        <a:xfrm>
          <a:off x="597477" y="15811500"/>
          <a:ext cx="8875568" cy="640773"/>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t>The northeast I-85 study area fits nearly six 5x5 fishnet grid tiles.  The table shows how many intersections are in each by type. Notice that the benchmark ideal case has 246 overall intersections (high connectivity, high resiliency and redundancy) vs the actual network which has only 127 intersections, or 52% of ideal.  The bottom table is intersections per square mile, which is useful for comparing to other study areas.</a:t>
          </a:r>
          <a:endParaRPr lang="en-US" sz="1100" b="0"/>
        </a:p>
      </xdr:txBody>
    </xdr:sp>
    <xdr:clientData/>
  </xdr:twoCellAnchor>
  <xdr:twoCellAnchor editAs="oneCell">
    <xdr:from>
      <xdr:col>0</xdr:col>
      <xdr:colOff>554181</xdr:colOff>
      <xdr:row>113</xdr:row>
      <xdr:rowOff>95250</xdr:rowOff>
    </xdr:from>
    <xdr:to>
      <xdr:col>9</xdr:col>
      <xdr:colOff>331642</xdr:colOff>
      <xdr:row>148</xdr:row>
      <xdr:rowOff>71005</xdr:rowOff>
    </xdr:to>
    <xdr:pic>
      <xdr:nvPicPr>
        <xdr:cNvPr id="13" name="Picture 12">
          <a:extLst>
            <a:ext uri="{FF2B5EF4-FFF2-40B4-BE49-F238E27FC236}">
              <a16:creationId xmlns:a16="http://schemas.microsoft.com/office/drawing/2014/main" id="{6ACFA06B-6BC4-4013-8182-037B16327F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554181" y="19786023"/>
          <a:ext cx="4124325" cy="5734050"/>
        </a:xfrm>
        <a:prstGeom prst="rect">
          <a:avLst/>
        </a:prstGeom>
      </xdr:spPr>
    </xdr:pic>
    <xdr:clientData/>
  </xdr:twoCellAnchor>
  <xdr:twoCellAnchor>
    <xdr:from>
      <xdr:col>10</xdr:col>
      <xdr:colOff>95250</xdr:colOff>
      <xdr:row>113</xdr:row>
      <xdr:rowOff>147204</xdr:rowOff>
    </xdr:from>
    <xdr:to>
      <xdr:col>23</xdr:col>
      <xdr:colOff>294409</xdr:colOff>
      <xdr:row>120</xdr:row>
      <xdr:rowOff>17318</xdr:rowOff>
    </xdr:to>
    <xdr:sp macro="" textlink="">
      <xdr:nvSpPr>
        <xdr:cNvPr id="14" name="TextBox 13">
          <a:extLst>
            <a:ext uri="{FF2B5EF4-FFF2-40B4-BE49-F238E27FC236}">
              <a16:creationId xmlns:a16="http://schemas.microsoft.com/office/drawing/2014/main" id="{63464C08-8A18-413B-A048-1FC12A8EC9D3}"/>
            </a:ext>
          </a:extLst>
        </xdr:cNvPr>
        <xdr:cNvSpPr txBox="1"/>
      </xdr:nvSpPr>
      <xdr:spPr>
        <a:xfrm>
          <a:off x="4788477" y="19837977"/>
          <a:ext cx="4701887" cy="1021773"/>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t>At left is a good visual comparison of actual vs ideal.  The ideal will have a much easier time infilling and intensifying over time, and is hence more sustainable.  The image suggests that the region would do well to hunt for opportunities to create new streets within the subarea network, so it can accomodate new development that might otherwise sprawl to further fringes.</a:t>
          </a:r>
          <a:endParaRPr lang="en-US" sz="1100" b="0"/>
        </a:p>
      </xdr:txBody>
    </xdr:sp>
    <xdr:clientData/>
  </xdr:twoCellAnchor>
  <xdr:twoCellAnchor>
    <xdr:from>
      <xdr:col>10</xdr:col>
      <xdr:colOff>86591</xdr:colOff>
      <xdr:row>120</xdr:row>
      <xdr:rowOff>155862</xdr:rowOff>
    </xdr:from>
    <xdr:to>
      <xdr:col>23</xdr:col>
      <xdr:colOff>285750</xdr:colOff>
      <xdr:row>133</xdr:row>
      <xdr:rowOff>129886</xdr:rowOff>
    </xdr:to>
    <xdr:sp macro="" textlink="">
      <xdr:nvSpPr>
        <xdr:cNvPr id="16" name="TextBox 15">
          <a:extLst>
            <a:ext uri="{FF2B5EF4-FFF2-40B4-BE49-F238E27FC236}">
              <a16:creationId xmlns:a16="http://schemas.microsoft.com/office/drawing/2014/main" id="{EBCAB263-FD1C-4458-9429-7800F65DB358}"/>
            </a:ext>
          </a:extLst>
        </xdr:cNvPr>
        <xdr:cNvSpPr txBox="1"/>
      </xdr:nvSpPr>
      <xdr:spPr>
        <a:xfrm>
          <a:off x="4779818" y="20998294"/>
          <a:ext cx="4701887" cy="2112819"/>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t>While the network is obviously sparse on facility miles, maybe it has similar lane-miles, if many of the facilities it does have are super-sized relative to the Fishnet grid.  Below compares facility miles and lane miles against the benchmark.  The red box shows there are 35 actual expressway miles vs 44 ideal miles, or 80% of ideal.  However, there are 378 actual lane miles vs 264 ideal - in this case far larger than the ideal. The yellow shows that lane miles of smaller facilities range from 53-78% of ideal.  </a:t>
          </a:r>
        </a:p>
        <a:p>
          <a:endParaRPr lang="en-US" sz="1100" b="0" baseline="0"/>
        </a:p>
        <a:p>
          <a:r>
            <a:rPr lang="en-US" sz="1100" b="0" baseline="0"/>
            <a:t>The discernable story is that because there were so few lane-miles on at-grade facilities, drivers felt forced onto freeways.  The region then super-sized the freeways, beyond ideal, to compensate.  But the overall network still has just 78% of ideal lane-miles.</a:t>
          </a:r>
          <a:endParaRPr lang="en-US" sz="1100" b="0"/>
        </a:p>
      </xdr:txBody>
    </xdr:sp>
    <xdr:clientData/>
  </xdr:twoCellAnchor>
  <xdr:twoCellAnchor>
    <xdr:from>
      <xdr:col>10</xdr:col>
      <xdr:colOff>25978</xdr:colOff>
      <xdr:row>134</xdr:row>
      <xdr:rowOff>34636</xdr:rowOff>
    </xdr:from>
    <xdr:to>
      <xdr:col>24</xdr:col>
      <xdr:colOff>26928</xdr:colOff>
      <xdr:row>151</xdr:row>
      <xdr:rowOff>22859</xdr:rowOff>
    </xdr:to>
    <xdr:grpSp>
      <xdr:nvGrpSpPr>
        <xdr:cNvPr id="19" name="Group 18">
          <a:extLst>
            <a:ext uri="{FF2B5EF4-FFF2-40B4-BE49-F238E27FC236}">
              <a16:creationId xmlns:a16="http://schemas.microsoft.com/office/drawing/2014/main" id="{64B6A999-CAC0-42F8-B996-583B35C924D3}"/>
            </a:ext>
          </a:extLst>
        </xdr:cNvPr>
        <xdr:cNvGrpSpPr/>
      </xdr:nvGrpSpPr>
      <xdr:grpSpPr>
        <a:xfrm>
          <a:off x="4661478" y="22450136"/>
          <a:ext cx="4779325" cy="2686973"/>
          <a:chOff x="4719205" y="22686818"/>
          <a:chExt cx="4850041" cy="2785109"/>
        </a:xfrm>
      </xdr:grpSpPr>
      <xdr:pic>
        <xdr:nvPicPr>
          <xdr:cNvPr id="15" name="Picture 14">
            <a:extLst>
              <a:ext uri="{FF2B5EF4-FFF2-40B4-BE49-F238E27FC236}">
                <a16:creationId xmlns:a16="http://schemas.microsoft.com/office/drawing/2014/main" id="{34EFE5F3-71DD-4588-B7B9-CCA3E3CE3A65}"/>
              </a:ext>
            </a:extLst>
          </xdr:cNvPr>
          <xdr:cNvPicPr>
            <a:picLocks noChangeAspect="1"/>
          </xdr:cNvPicPr>
        </xdr:nvPicPr>
        <xdr:blipFill>
          <a:blip xmlns:r="http://schemas.openxmlformats.org/officeDocument/2006/relationships" r:embed="rId6"/>
          <a:stretch>
            <a:fillRect/>
          </a:stretch>
        </xdr:blipFill>
        <xdr:spPr>
          <a:xfrm>
            <a:off x="4719205" y="22686818"/>
            <a:ext cx="4850041" cy="2785109"/>
          </a:xfrm>
          <a:prstGeom prst="rect">
            <a:avLst/>
          </a:prstGeom>
        </xdr:spPr>
      </xdr:pic>
      <xdr:sp macro="" textlink="">
        <xdr:nvSpPr>
          <xdr:cNvPr id="17" name="Rectangle 16">
            <a:extLst>
              <a:ext uri="{FF2B5EF4-FFF2-40B4-BE49-F238E27FC236}">
                <a16:creationId xmlns:a16="http://schemas.microsoft.com/office/drawing/2014/main" id="{C0799111-CCB8-457B-937B-A647139DC1F2}"/>
              </a:ext>
            </a:extLst>
          </xdr:cNvPr>
          <xdr:cNvSpPr/>
        </xdr:nvSpPr>
        <xdr:spPr>
          <a:xfrm>
            <a:off x="4769934" y="23206364"/>
            <a:ext cx="4798360" cy="17114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Rectangle 17">
            <a:extLst>
              <a:ext uri="{FF2B5EF4-FFF2-40B4-BE49-F238E27FC236}">
                <a16:creationId xmlns:a16="http://schemas.microsoft.com/office/drawing/2014/main" id="{39BB37C9-290B-4315-8D17-21CD36C78A94}"/>
              </a:ext>
            </a:extLst>
          </xdr:cNvPr>
          <xdr:cNvSpPr/>
        </xdr:nvSpPr>
        <xdr:spPr>
          <a:xfrm>
            <a:off x="7178386" y="23414181"/>
            <a:ext cx="2389909" cy="666752"/>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10</xdr:col>
      <xdr:colOff>51955</xdr:colOff>
      <xdr:row>152</xdr:row>
      <xdr:rowOff>43294</xdr:rowOff>
    </xdr:from>
    <xdr:to>
      <xdr:col>24</xdr:col>
      <xdr:colOff>46580</xdr:colOff>
      <xdr:row>167</xdr:row>
      <xdr:rowOff>77932</xdr:rowOff>
    </xdr:to>
    <xdr:pic>
      <xdr:nvPicPr>
        <xdr:cNvPr id="20" name="Picture 19">
          <a:extLst>
            <a:ext uri="{FF2B5EF4-FFF2-40B4-BE49-F238E27FC236}">
              <a16:creationId xmlns:a16="http://schemas.microsoft.com/office/drawing/2014/main" id="{E236E5D7-056D-4D66-9F9B-06640758F7BF}"/>
            </a:ext>
          </a:extLst>
        </xdr:cNvPr>
        <xdr:cNvPicPr>
          <a:picLocks noChangeAspect="1"/>
        </xdr:cNvPicPr>
      </xdr:nvPicPr>
      <xdr:blipFill>
        <a:blip xmlns:r="http://schemas.openxmlformats.org/officeDocument/2006/relationships" r:embed="rId7"/>
        <a:stretch>
          <a:fillRect/>
        </a:stretch>
      </xdr:blipFill>
      <xdr:spPr>
        <a:xfrm>
          <a:off x="4745182" y="26150453"/>
          <a:ext cx="4843716" cy="2502479"/>
        </a:xfrm>
        <a:prstGeom prst="rect">
          <a:avLst/>
        </a:prstGeom>
      </xdr:spPr>
    </xdr:pic>
    <xdr:clientData/>
  </xdr:twoCellAnchor>
  <xdr:twoCellAnchor>
    <xdr:from>
      <xdr:col>0</xdr:col>
      <xdr:colOff>536864</xdr:colOff>
      <xdr:row>149</xdr:row>
      <xdr:rowOff>60613</xdr:rowOff>
    </xdr:from>
    <xdr:to>
      <xdr:col>9</xdr:col>
      <xdr:colOff>337705</xdr:colOff>
      <xdr:row>167</xdr:row>
      <xdr:rowOff>112568</xdr:rowOff>
    </xdr:to>
    <xdr:sp macro="" textlink="">
      <xdr:nvSpPr>
        <xdr:cNvPr id="21" name="TextBox 20">
          <a:extLst>
            <a:ext uri="{FF2B5EF4-FFF2-40B4-BE49-F238E27FC236}">
              <a16:creationId xmlns:a16="http://schemas.microsoft.com/office/drawing/2014/main" id="{AC8522B6-0EBE-4EDC-9561-AC0195DA09B8}"/>
            </a:ext>
          </a:extLst>
        </xdr:cNvPr>
        <xdr:cNvSpPr txBox="1"/>
      </xdr:nvSpPr>
      <xdr:spPr>
        <a:xfrm>
          <a:off x="536864" y="25674204"/>
          <a:ext cx="4147705" cy="3013364"/>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t>While overall lane-miles are 78% of ideal, perhaps the VMT capability is closer to ideal because there is an oversized portion of freeway miles, which support higher VMT per lane-mile.  Many of the tables on the "Regional Network Analysis" tab were created to help determine the VMT capability of the Fishnet grid, which can then be compared against actual.  In the green boxes, notice that is in fact the case - the actual network can support 95% as much VMT as the ideal network.  </a:t>
          </a:r>
        </a:p>
        <a:p>
          <a:endParaRPr lang="en-US" sz="1100" b="0" baseline="0"/>
        </a:p>
        <a:p>
          <a:r>
            <a:rPr lang="en-US" sz="1100" b="0" baseline="0"/>
            <a:t>However, the ideal network is still superior in that it has far more choices for travel, and is thus less suseptible to debilitating incidents.  It will also be easier to increase the VMT potential of any given road, or support more alternative modes, helping the region accomodate new growth.  </a:t>
          </a:r>
        </a:p>
        <a:p>
          <a:endParaRPr lang="en-US" sz="1100" b="0" baseline="0"/>
        </a:p>
        <a:p>
          <a:r>
            <a:rPr lang="en-US" sz="1100" b="0" baseline="0"/>
            <a:t>Notice in blue that the downtoan study area can support more VMT than the fishnet grid, because it has a very tight network.  The message is that the tighter the network, the more it can support sustainable development.</a:t>
          </a:r>
          <a:endParaRPr lang="en-US" sz="1100" b="0"/>
        </a:p>
      </xdr:txBody>
    </xdr:sp>
    <xdr:clientData/>
  </xdr:twoCellAnchor>
  <xdr:twoCellAnchor>
    <xdr:from>
      <xdr:col>0</xdr:col>
      <xdr:colOff>519546</xdr:colOff>
      <xdr:row>168</xdr:row>
      <xdr:rowOff>147203</xdr:rowOff>
    </xdr:from>
    <xdr:to>
      <xdr:col>23</xdr:col>
      <xdr:colOff>329045</xdr:colOff>
      <xdr:row>174</xdr:row>
      <xdr:rowOff>147205</xdr:rowOff>
    </xdr:to>
    <xdr:sp macro="" textlink="">
      <xdr:nvSpPr>
        <xdr:cNvPr id="23" name="TextBox 22">
          <a:extLst>
            <a:ext uri="{FF2B5EF4-FFF2-40B4-BE49-F238E27FC236}">
              <a16:creationId xmlns:a16="http://schemas.microsoft.com/office/drawing/2014/main" id="{2F988B61-F915-4667-990D-B09057DDECFD}"/>
            </a:ext>
          </a:extLst>
        </xdr:cNvPr>
        <xdr:cNvSpPr txBox="1"/>
      </xdr:nvSpPr>
      <xdr:spPr>
        <a:xfrm>
          <a:off x="519546" y="28886726"/>
          <a:ext cx="9005454" cy="987138"/>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t>Utah County (In Utah) is one of the fastest growing counties in the nation.  They did a visual comparison of actual vs ideal (without all the math done for Atlanta).  Below, the left shows today's actual network.  The middle shows 5x5 tiles overlaid on the buildable areas of the county that are likely to see significant growth by 2050, and must preserve corridors today.  The right shows a "Master Architecture" which best-fits the ideal to actual conditions.  They chose to ignore southwest parts of the county, as those will see little if any development until much later.  The 2050 planned network, prior to this effort, is not shown.  It was far more extensive than today's, but also far less than the Enhanced Network shown below.</a:t>
          </a:r>
        </a:p>
      </xdr:txBody>
    </xdr:sp>
    <xdr:clientData/>
  </xdr:twoCellAnchor>
  <xdr:twoCellAnchor editAs="oneCell">
    <xdr:from>
      <xdr:col>0</xdr:col>
      <xdr:colOff>502227</xdr:colOff>
      <xdr:row>175</xdr:row>
      <xdr:rowOff>103907</xdr:rowOff>
    </xdr:from>
    <xdr:to>
      <xdr:col>24</xdr:col>
      <xdr:colOff>18459</xdr:colOff>
      <xdr:row>198</xdr:row>
      <xdr:rowOff>86590</xdr:rowOff>
    </xdr:to>
    <xdr:pic>
      <xdr:nvPicPr>
        <xdr:cNvPr id="27" name="Picture 26">
          <a:extLst>
            <a:ext uri="{FF2B5EF4-FFF2-40B4-BE49-F238E27FC236}">
              <a16:creationId xmlns:a16="http://schemas.microsoft.com/office/drawing/2014/main" id="{A4F6E892-F281-4F8E-B248-5DC202DDAB01}"/>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02227" y="29995089"/>
          <a:ext cx="9058550" cy="3766706"/>
        </a:xfrm>
        <a:prstGeom prst="rect">
          <a:avLst/>
        </a:prstGeom>
      </xdr:spPr>
    </xdr:pic>
    <xdr:clientData/>
  </xdr:twoCellAnchor>
  <xdr:twoCellAnchor editAs="oneCell">
    <xdr:from>
      <xdr:col>1</xdr:col>
      <xdr:colOff>46091</xdr:colOff>
      <xdr:row>210</xdr:row>
      <xdr:rowOff>72067</xdr:rowOff>
    </xdr:from>
    <xdr:to>
      <xdr:col>20</xdr:col>
      <xdr:colOff>267763</xdr:colOff>
      <xdr:row>225</xdr:row>
      <xdr:rowOff>60563</xdr:rowOff>
    </xdr:to>
    <xdr:pic>
      <xdr:nvPicPr>
        <xdr:cNvPr id="29" name="Picture 28">
          <a:extLst>
            <a:ext uri="{FF2B5EF4-FFF2-40B4-BE49-F238E27FC236}">
              <a16:creationId xmlns:a16="http://schemas.microsoft.com/office/drawing/2014/main" id="{6B105615-5119-422C-BFE9-91AAE91FB8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652227" y="35721544"/>
          <a:ext cx="7772400" cy="2456337"/>
        </a:xfrm>
        <a:prstGeom prst="rect">
          <a:avLst/>
        </a:prstGeom>
      </xdr:spPr>
    </xdr:pic>
    <xdr:clientData/>
  </xdr:twoCellAnchor>
  <xdr:twoCellAnchor>
    <xdr:from>
      <xdr:col>0</xdr:col>
      <xdr:colOff>554182</xdr:colOff>
      <xdr:row>199</xdr:row>
      <xdr:rowOff>25978</xdr:rowOff>
    </xdr:from>
    <xdr:to>
      <xdr:col>24</xdr:col>
      <xdr:colOff>17318</xdr:colOff>
      <xdr:row>209</xdr:row>
      <xdr:rowOff>0</xdr:rowOff>
    </xdr:to>
    <xdr:sp macro="" textlink="">
      <xdr:nvSpPr>
        <xdr:cNvPr id="30" name="TextBox 29">
          <a:extLst>
            <a:ext uri="{FF2B5EF4-FFF2-40B4-BE49-F238E27FC236}">
              <a16:creationId xmlns:a16="http://schemas.microsoft.com/office/drawing/2014/main" id="{762E3896-CB47-4785-A078-86D83F792C68}"/>
            </a:ext>
          </a:extLst>
        </xdr:cNvPr>
        <xdr:cNvSpPr txBox="1"/>
      </xdr:nvSpPr>
      <xdr:spPr>
        <a:xfrm>
          <a:off x="554182" y="33865705"/>
          <a:ext cx="9005454" cy="1619250"/>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t>The MPO modeled how their previously planned 2050 network would perform against this enhanced "Master Architecture" network. Below one can see that today, congestion in Salt Lake County (just to the north), is five times the magnitude of Utah County (partly because Utah County has only half as many residents).  However, congestion would grow to 11-times its present value if they only built what they had on their previous 2050 regional plan.  By applying this Master Architecture, they can reduce future congestion to just 3-times today's value, even though the population will more than double.  </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The research team called the MPO to see if affected communities are changing their plans, and in fact most are!  This is evidence that communities will preserve far more corridors than they're presently planning on, if they can see visual and analytical reasons to do so.  While many regions cannot make such straight roads, they may still be able to create a tighter network than presently envisioned.</a:t>
          </a:r>
          <a:endParaRPr lang="en-US" sz="1100" b="0"/>
        </a:p>
      </xdr:txBody>
    </xdr:sp>
    <xdr:clientData/>
  </xdr:twoCellAnchor>
  <xdr:twoCellAnchor editAs="oneCell">
    <xdr:from>
      <xdr:col>1</xdr:col>
      <xdr:colOff>8658</xdr:colOff>
      <xdr:row>235</xdr:row>
      <xdr:rowOff>69274</xdr:rowOff>
    </xdr:from>
    <xdr:to>
      <xdr:col>23</xdr:col>
      <xdr:colOff>114077</xdr:colOff>
      <xdr:row>260</xdr:row>
      <xdr:rowOff>51443</xdr:rowOff>
    </xdr:to>
    <xdr:pic>
      <xdr:nvPicPr>
        <xdr:cNvPr id="31" name="Picture 30">
          <a:extLst>
            <a:ext uri="{FF2B5EF4-FFF2-40B4-BE49-F238E27FC236}">
              <a16:creationId xmlns:a16="http://schemas.microsoft.com/office/drawing/2014/main" id="{8BAFE89A-F7BF-4D93-993F-EB5368CB8BF9}"/>
            </a:ext>
          </a:extLst>
        </xdr:cNvPr>
        <xdr:cNvPicPr>
          <a:picLocks noChangeAspect="1"/>
        </xdr:cNvPicPr>
      </xdr:nvPicPr>
      <xdr:blipFill>
        <a:blip xmlns:r="http://schemas.openxmlformats.org/officeDocument/2006/relationships" r:embed="rId10"/>
        <a:stretch>
          <a:fillRect/>
        </a:stretch>
      </xdr:blipFill>
      <xdr:spPr>
        <a:xfrm>
          <a:off x="614794" y="39831819"/>
          <a:ext cx="8695238" cy="4095238"/>
        </a:xfrm>
        <a:prstGeom prst="rect">
          <a:avLst/>
        </a:prstGeom>
      </xdr:spPr>
    </xdr:pic>
    <xdr:clientData/>
  </xdr:twoCellAnchor>
  <xdr:twoCellAnchor>
    <xdr:from>
      <xdr:col>1</xdr:col>
      <xdr:colOff>8659</xdr:colOff>
      <xdr:row>227</xdr:row>
      <xdr:rowOff>51954</xdr:rowOff>
    </xdr:from>
    <xdr:to>
      <xdr:col>24</xdr:col>
      <xdr:colOff>77931</xdr:colOff>
      <xdr:row>234</xdr:row>
      <xdr:rowOff>25977</xdr:rowOff>
    </xdr:to>
    <xdr:sp macro="" textlink="">
      <xdr:nvSpPr>
        <xdr:cNvPr id="32" name="TextBox 31">
          <a:extLst>
            <a:ext uri="{FF2B5EF4-FFF2-40B4-BE49-F238E27FC236}">
              <a16:creationId xmlns:a16="http://schemas.microsoft.com/office/drawing/2014/main" id="{A62827FA-EC8A-48D8-A232-9AC0A459840E}"/>
            </a:ext>
          </a:extLst>
        </xdr:cNvPr>
        <xdr:cNvSpPr txBox="1"/>
      </xdr:nvSpPr>
      <xdr:spPr>
        <a:xfrm>
          <a:off x="614795" y="38498318"/>
          <a:ext cx="9005454" cy="1125682"/>
        </a:xfrm>
        <a:prstGeom prst="rect">
          <a:avLst/>
        </a:prstGeom>
        <a:solidFill>
          <a:srgbClr val="FFFF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t>Below shows the actual process of creating a best-fit Master Architecture.  A GIS analyst shows existing significant streets in black and orange, and looks for opportunities to create new streets (red) such that the result will be a through street every half-mile to the extent this is possible.  Pathways for new streets attempts to minimize impacts to existing development as well as sensitive environmental areas.  Once these paths are created, the MPO visits with the affected community to see which of these connections are not already on their future plans, and works with them to try and add any missing elements if possible.</a:t>
          </a:r>
          <a:endParaRPr lang="en-US" sz="1100" b="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167109</xdr:colOff>
      <xdr:row>41</xdr:row>
      <xdr:rowOff>76901</xdr:rowOff>
    </xdr:from>
    <xdr:to>
      <xdr:col>28</xdr:col>
      <xdr:colOff>82261</xdr:colOff>
      <xdr:row>70</xdr:row>
      <xdr:rowOff>73398</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204660</xdr:colOff>
      <xdr:row>40</xdr:row>
      <xdr:rowOff>119546</xdr:rowOff>
    </xdr:from>
    <xdr:to>
      <xdr:col>16</xdr:col>
      <xdr:colOff>414210</xdr:colOff>
      <xdr:row>73</xdr:row>
      <xdr:rowOff>4484</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313764</xdr:colOff>
      <xdr:row>4</xdr:row>
      <xdr:rowOff>78441</xdr:rowOff>
    </xdr:from>
    <xdr:to>
      <xdr:col>13</xdr:col>
      <xdr:colOff>179293</xdr:colOff>
      <xdr:row>14</xdr:row>
      <xdr:rowOff>33617</xdr:rowOff>
    </xdr:to>
    <xdr:sp macro="" textlink="">
      <xdr:nvSpPr>
        <xdr:cNvPr id="4" name="TextBox 3">
          <a:extLst>
            <a:ext uri="{FF2B5EF4-FFF2-40B4-BE49-F238E27FC236}">
              <a16:creationId xmlns:a16="http://schemas.microsoft.com/office/drawing/2014/main" id="{E11C89C6-731E-40E8-92EC-72E8A0CBEAA8}"/>
            </a:ext>
          </a:extLst>
        </xdr:cNvPr>
        <xdr:cNvSpPr txBox="1"/>
      </xdr:nvSpPr>
      <xdr:spPr>
        <a:xfrm>
          <a:off x="6376146" y="1008529"/>
          <a:ext cx="4829735" cy="15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This is the source for much</a:t>
          </a:r>
          <a:r>
            <a:rPr lang="en-US" sz="1400" baseline="0"/>
            <a:t> of the capacity information used in the Throughput Calculator. It comes from the Wasatch Front Regional Council, MPO for Salt Lake City.  This is how they establish throughput for various corridors for use in their travel demand model. This is based on the highway capacity manual methodologies.</a:t>
          </a:r>
          <a:endParaRPr lang="en-US"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689164</xdr:colOff>
      <xdr:row>22</xdr:row>
      <xdr:rowOff>36840</xdr:rowOff>
    </xdr:from>
    <xdr:to>
      <xdr:col>30</xdr:col>
      <xdr:colOff>250031</xdr:colOff>
      <xdr:row>49</xdr:row>
      <xdr:rowOff>59530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9525</xdr:colOff>
      <xdr:row>51</xdr:row>
      <xdr:rowOff>52108</xdr:rowOff>
    </xdr:from>
    <xdr:to>
      <xdr:col>53</xdr:col>
      <xdr:colOff>294715</xdr:colOff>
      <xdr:row>69</xdr:row>
      <xdr:rowOff>75640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0</xdr:colOff>
      <xdr:row>69</xdr:row>
      <xdr:rowOff>127747</xdr:rowOff>
    </xdr:from>
    <xdr:to>
      <xdr:col>53</xdr:col>
      <xdr:colOff>285190</xdr:colOff>
      <xdr:row>87</xdr:row>
      <xdr:rowOff>96932</xdr:rowOff>
    </xdr:to>
    <xdr:graphicFrame macro="">
      <xdr:nvGraphicFramePr>
        <xdr:cNvPr id="8" name="Chart 4">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9525</xdr:colOff>
      <xdr:row>22</xdr:row>
      <xdr:rowOff>0</xdr:rowOff>
    </xdr:from>
    <xdr:to>
      <xdr:col>53</xdr:col>
      <xdr:colOff>294715</xdr:colOff>
      <xdr:row>51</xdr:row>
      <xdr:rowOff>4483</xdr:rowOff>
    </xdr:to>
    <xdr:graphicFrame macro="">
      <xdr:nvGraphicFramePr>
        <xdr:cNvPr id="9" name="Chart 5">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23812</xdr:colOff>
      <xdr:row>25</xdr:row>
      <xdr:rowOff>107156</xdr:rowOff>
    </xdr:from>
    <xdr:to>
      <xdr:col>19</xdr:col>
      <xdr:colOff>416016</xdr:colOff>
      <xdr:row>49</xdr:row>
      <xdr:rowOff>75220</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23813</xdr:colOff>
      <xdr:row>49</xdr:row>
      <xdr:rowOff>166687</xdr:rowOff>
    </xdr:from>
    <xdr:to>
      <xdr:col>19</xdr:col>
      <xdr:colOff>416017</xdr:colOff>
      <xdr:row>74</xdr:row>
      <xdr:rowOff>90487</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689164</xdr:colOff>
      <xdr:row>49</xdr:row>
      <xdr:rowOff>166687</xdr:rowOff>
    </xdr:from>
    <xdr:to>
      <xdr:col>30</xdr:col>
      <xdr:colOff>247930</xdr:colOff>
      <xdr:row>74</xdr:row>
      <xdr:rowOff>90487</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47624</xdr:colOff>
      <xdr:row>76</xdr:row>
      <xdr:rowOff>1</xdr:rowOff>
    </xdr:from>
    <xdr:to>
      <xdr:col>19</xdr:col>
      <xdr:colOff>439828</xdr:colOff>
      <xdr:row>99</xdr:row>
      <xdr:rowOff>164168</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345281</xdr:colOff>
      <xdr:row>23</xdr:row>
      <xdr:rowOff>35719</xdr:rowOff>
    </xdr:from>
    <xdr:to>
      <xdr:col>32</xdr:col>
      <xdr:colOff>630328</xdr:colOff>
      <xdr:row>47</xdr:row>
      <xdr:rowOff>45804</xdr:rowOff>
    </xdr:to>
    <xdr:graphicFrame macro="">
      <xdr:nvGraphicFramePr>
        <xdr:cNvPr id="23" name="Chart 22">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678656</xdr:colOff>
      <xdr:row>75</xdr:row>
      <xdr:rowOff>154782</xdr:rowOff>
    </xdr:from>
    <xdr:to>
      <xdr:col>30</xdr:col>
      <xdr:colOff>237423</xdr:colOff>
      <xdr:row>100</xdr:row>
      <xdr:rowOff>78582</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678657</xdr:colOff>
      <xdr:row>101</xdr:row>
      <xdr:rowOff>47625</xdr:rowOff>
    </xdr:from>
    <xdr:to>
      <xdr:col>37</xdr:col>
      <xdr:colOff>226218</xdr:colOff>
      <xdr:row>137</xdr:row>
      <xdr:rowOff>35718</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342900</xdr:colOff>
      <xdr:row>3</xdr:row>
      <xdr:rowOff>104775</xdr:rowOff>
    </xdr:from>
    <xdr:to>
      <xdr:col>21</xdr:col>
      <xdr:colOff>581025</xdr:colOff>
      <xdr:row>9</xdr:row>
      <xdr:rowOff>123825</xdr:rowOff>
    </xdr:to>
    <xdr:sp macro="" textlink="">
      <xdr:nvSpPr>
        <xdr:cNvPr id="13" name="TextBox 12">
          <a:extLst>
            <a:ext uri="{FF2B5EF4-FFF2-40B4-BE49-F238E27FC236}">
              <a16:creationId xmlns:a16="http://schemas.microsoft.com/office/drawing/2014/main" id="{8DB088C3-52C4-4EAF-B4B8-BB63AB2AD562}"/>
            </a:ext>
          </a:extLst>
        </xdr:cNvPr>
        <xdr:cNvSpPr txBox="1"/>
      </xdr:nvSpPr>
      <xdr:spPr>
        <a:xfrm>
          <a:off x="9277350" y="723900"/>
          <a:ext cx="6496050"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This is the source for much</a:t>
          </a:r>
          <a:r>
            <a:rPr lang="en-US" sz="1400" baseline="0"/>
            <a:t> of the capacity information used in the Throughput Calculator.  It comes from the Wasatch Front Regional Council, the MPO for Salt Lake City.  This is how they establish throughput for various corridors for use in their travel demand model. This is based on the highway capacity manual methodologies.</a:t>
          </a:r>
          <a:endParaRPr lang="en-US" sz="1400"/>
        </a:p>
      </xdr:txBody>
    </xdr:sp>
    <xdr:clientData/>
  </xdr:twoCellAnchor>
</xdr:wsDr>
</file>

<file path=xl/drawings/drawing9.xml><?xml version="1.0" encoding="utf-8"?>
<c:userShapes xmlns:c="http://schemas.openxmlformats.org/drawingml/2006/chart">
  <cdr:relSizeAnchor xmlns:cdr="http://schemas.openxmlformats.org/drawingml/2006/chartDrawing">
    <cdr:from>
      <cdr:x>0.81936</cdr:x>
      <cdr:y>0.23794</cdr:y>
    </cdr:from>
    <cdr:to>
      <cdr:x>0.98715</cdr:x>
      <cdr:y>0.4716</cdr:y>
    </cdr:to>
    <cdr:sp macro="" textlink="">
      <cdr:nvSpPr>
        <cdr:cNvPr id="2" name="TextBox 1"/>
        <cdr:cNvSpPr txBox="1"/>
      </cdr:nvSpPr>
      <cdr:spPr>
        <a:xfrm xmlns:a="http://schemas.openxmlformats.org/drawingml/2006/main">
          <a:off x="5298142" y="412376"/>
          <a:ext cx="1021976" cy="8337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Assumes 9% of AWDT occurs in</a:t>
          </a:r>
          <a:r>
            <a:rPr lang="en-US" sz="1100" baseline="0"/>
            <a:t> PM peak hr</a:t>
          </a:r>
          <a:endParaRPr lang="en-US" sz="1100"/>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E63-B9D6-4CB1-9952-EF185A9480CC}">
  <dimension ref="B1:M35"/>
  <sheetViews>
    <sheetView tabSelected="1" workbookViewId="0">
      <selection activeCell="G13" sqref="G13"/>
    </sheetView>
  </sheetViews>
  <sheetFormatPr defaultRowHeight="12.75" x14ac:dyDescent="0.2"/>
  <cols>
    <col min="2" max="2" width="13.85546875" customWidth="1"/>
  </cols>
  <sheetData>
    <row r="1" spans="2:13" ht="15.75" thickBot="1" x14ac:dyDescent="0.3">
      <c r="B1" s="308"/>
      <c r="C1" s="308"/>
      <c r="D1" s="308"/>
      <c r="E1" s="308"/>
      <c r="F1" s="308"/>
      <c r="G1" s="308"/>
      <c r="H1" s="308"/>
      <c r="I1" s="308"/>
      <c r="J1" s="308"/>
      <c r="K1" s="308"/>
      <c r="L1" s="308"/>
      <c r="M1" s="308"/>
    </row>
    <row r="2" spans="2:13" ht="13.5" thickTop="1" x14ac:dyDescent="0.2">
      <c r="B2" s="310"/>
      <c r="C2" s="311"/>
      <c r="D2" s="311"/>
      <c r="E2" s="311"/>
      <c r="F2" s="311"/>
      <c r="G2" s="311"/>
      <c r="H2" s="311"/>
      <c r="I2" s="311"/>
      <c r="J2" s="311"/>
      <c r="K2" s="311"/>
      <c r="L2" s="311"/>
      <c r="M2" s="312"/>
    </row>
    <row r="3" spans="2:13" ht="18" x14ac:dyDescent="0.25">
      <c r="B3" s="313"/>
      <c r="C3" s="328" t="s">
        <v>364</v>
      </c>
      <c r="D3" s="328"/>
      <c r="E3" s="328"/>
      <c r="F3" s="328"/>
      <c r="G3" s="328"/>
      <c r="H3" s="328"/>
      <c r="I3" s="328"/>
      <c r="J3" s="328"/>
      <c r="K3" s="328"/>
      <c r="L3" s="328"/>
      <c r="M3" s="314"/>
    </row>
    <row r="4" spans="2:13" ht="27" x14ac:dyDescent="0.35">
      <c r="B4" s="329" t="s">
        <v>367</v>
      </c>
      <c r="C4" s="330"/>
      <c r="D4" s="330"/>
      <c r="E4" s="330"/>
      <c r="F4" s="330"/>
      <c r="G4" s="330"/>
      <c r="H4" s="330"/>
      <c r="I4" s="330"/>
      <c r="J4" s="330"/>
      <c r="K4" s="330"/>
      <c r="L4" s="330"/>
      <c r="M4" s="331"/>
    </row>
    <row r="5" spans="2:13" ht="13.5" thickBot="1" x14ac:dyDescent="0.25">
      <c r="B5" s="315"/>
      <c r="C5" s="316"/>
      <c r="D5" s="316"/>
      <c r="E5" s="316"/>
      <c r="F5" s="316"/>
      <c r="G5" s="316"/>
      <c r="H5" s="316"/>
      <c r="I5" s="316"/>
      <c r="J5" s="316"/>
      <c r="K5" s="316"/>
      <c r="L5" s="316"/>
      <c r="M5" s="317"/>
    </row>
    <row r="6" spans="2:13" ht="15.75" thickTop="1" x14ac:dyDescent="0.25">
      <c r="B6" s="308"/>
      <c r="C6" s="308"/>
      <c r="D6" s="308"/>
      <c r="E6" s="308"/>
      <c r="F6" s="308"/>
      <c r="G6" s="308"/>
      <c r="H6" s="308"/>
      <c r="I6" s="308"/>
      <c r="J6" s="308"/>
      <c r="K6" s="308"/>
      <c r="L6" s="308"/>
      <c r="M6" s="308"/>
    </row>
    <row r="7" spans="2:13" x14ac:dyDescent="0.2">
      <c r="B7" s="332" t="s">
        <v>357</v>
      </c>
      <c r="C7" s="332"/>
      <c r="D7" s="332"/>
      <c r="E7" s="332"/>
      <c r="F7" s="332"/>
      <c r="G7" s="332"/>
      <c r="H7" s="332"/>
      <c r="I7" s="332"/>
      <c r="J7" s="332"/>
      <c r="K7" s="332"/>
      <c r="L7" s="332"/>
      <c r="M7" s="332"/>
    </row>
    <row r="8" spans="2:13" ht="15" x14ac:dyDescent="0.25">
      <c r="B8" s="318" t="s">
        <v>347</v>
      </c>
      <c r="C8" s="308"/>
      <c r="D8" s="308"/>
      <c r="E8" s="308"/>
      <c r="F8" s="308"/>
      <c r="G8" s="308"/>
      <c r="H8" s="308"/>
      <c r="I8" s="308"/>
      <c r="J8" s="308"/>
      <c r="K8" s="308"/>
      <c r="L8" s="308"/>
      <c r="M8" s="308"/>
    </row>
    <row r="9" spans="2:13" ht="66" customHeight="1" x14ac:dyDescent="0.2">
      <c r="B9" s="325" t="s">
        <v>358</v>
      </c>
      <c r="C9" s="325"/>
      <c r="D9" s="325"/>
      <c r="E9" s="325"/>
      <c r="F9" s="325"/>
      <c r="G9" s="325"/>
      <c r="H9" s="325"/>
      <c r="I9" s="325"/>
      <c r="J9" s="325"/>
      <c r="K9" s="325"/>
      <c r="L9" s="325"/>
      <c r="M9" s="325"/>
    </row>
    <row r="11" spans="2:13" ht="15" x14ac:dyDescent="0.25">
      <c r="B11" s="318" t="s">
        <v>348</v>
      </c>
      <c r="C11" s="308"/>
      <c r="D11" s="308"/>
      <c r="E11" s="308"/>
      <c r="F11" s="308"/>
      <c r="G11" s="308"/>
      <c r="H11" s="308"/>
      <c r="I11" s="308"/>
      <c r="J11" s="308"/>
      <c r="K11" s="308"/>
      <c r="L11" s="308"/>
      <c r="M11" s="308"/>
    </row>
    <row r="12" spans="2:13" ht="39.75" customHeight="1" x14ac:dyDescent="0.2">
      <c r="B12" s="325" t="s">
        <v>349</v>
      </c>
      <c r="C12" s="325"/>
      <c r="D12" s="325"/>
      <c r="E12" s="325"/>
      <c r="F12" s="325"/>
      <c r="G12" s="325"/>
      <c r="H12" s="325"/>
      <c r="I12" s="325"/>
      <c r="J12" s="325"/>
      <c r="K12" s="325"/>
      <c r="L12" s="325"/>
      <c r="M12" s="325"/>
    </row>
    <row r="14" spans="2:13" ht="15" x14ac:dyDescent="0.25">
      <c r="B14" s="318" t="s">
        <v>350</v>
      </c>
      <c r="C14" s="308"/>
      <c r="D14" s="308"/>
      <c r="E14" s="308"/>
      <c r="F14" s="308"/>
      <c r="G14" s="308"/>
      <c r="H14" s="308"/>
      <c r="I14" s="308"/>
      <c r="J14" s="308"/>
      <c r="K14" s="308"/>
      <c r="L14" s="308"/>
      <c r="M14" s="308"/>
    </row>
    <row r="15" spans="2:13" ht="41.25" customHeight="1" x14ac:dyDescent="0.2">
      <c r="B15" s="327" t="s">
        <v>365</v>
      </c>
      <c r="C15" s="327"/>
      <c r="D15" s="327"/>
      <c r="E15" s="327"/>
      <c r="F15" s="327"/>
      <c r="G15" s="327"/>
      <c r="H15" s="327"/>
      <c r="I15" s="327"/>
      <c r="J15" s="327"/>
      <c r="K15" s="327"/>
      <c r="L15" s="327"/>
      <c r="M15" s="327"/>
    </row>
    <row r="17" spans="2:13" ht="66" customHeight="1" x14ac:dyDescent="0.2">
      <c r="B17" s="325" t="s">
        <v>366</v>
      </c>
      <c r="C17" s="325"/>
      <c r="D17" s="325"/>
      <c r="E17" s="325"/>
      <c r="F17" s="325"/>
      <c r="G17" s="325"/>
      <c r="H17" s="325"/>
      <c r="I17" s="325"/>
      <c r="J17" s="325"/>
      <c r="K17" s="325"/>
      <c r="L17" s="325"/>
      <c r="M17" s="325"/>
    </row>
    <row r="18" spans="2:13" x14ac:dyDescent="0.2">
      <c r="B18" s="319"/>
      <c r="C18" s="319"/>
      <c r="D18" s="319"/>
      <c r="E18" s="319"/>
      <c r="F18" s="319"/>
      <c r="G18" s="319"/>
      <c r="H18" s="319"/>
      <c r="I18" s="319"/>
      <c r="J18" s="319"/>
      <c r="K18" s="319"/>
      <c r="L18" s="319"/>
      <c r="M18" s="319"/>
    </row>
    <row r="19" spans="2:13" ht="15" x14ac:dyDescent="0.25">
      <c r="B19" s="318" t="s">
        <v>351</v>
      </c>
      <c r="C19" s="308"/>
      <c r="D19" s="308"/>
      <c r="E19" s="308"/>
      <c r="F19" s="308"/>
      <c r="G19" s="308"/>
      <c r="H19" s="308"/>
      <c r="I19" s="308"/>
      <c r="J19" s="308"/>
      <c r="K19" s="308"/>
      <c r="L19" s="308"/>
      <c r="M19" s="308"/>
    </row>
    <row r="20" spans="2:13" x14ac:dyDescent="0.2">
      <c r="B20" s="325" t="s">
        <v>352</v>
      </c>
      <c r="C20" s="325"/>
      <c r="D20" s="325"/>
      <c r="E20" s="325"/>
      <c r="F20" s="325"/>
      <c r="G20" s="325"/>
      <c r="H20" s="325"/>
      <c r="I20" s="325"/>
      <c r="J20" s="325"/>
      <c r="K20" s="325"/>
      <c r="L20" s="325"/>
      <c r="M20" s="325"/>
    </row>
    <row r="21" spans="2:13" x14ac:dyDescent="0.2">
      <c r="B21" s="320"/>
      <c r="C21" s="320"/>
      <c r="D21" s="320"/>
      <c r="E21" s="320"/>
      <c r="F21" s="320"/>
      <c r="G21" s="320"/>
      <c r="H21" s="320"/>
      <c r="I21" s="320"/>
      <c r="J21" s="320"/>
      <c r="K21" s="320"/>
      <c r="L21" s="320"/>
      <c r="M21" s="320"/>
    </row>
    <row r="22" spans="2:13" ht="15" x14ac:dyDescent="0.25">
      <c r="B22" s="318" t="s">
        <v>353</v>
      </c>
      <c r="C22" s="308"/>
      <c r="D22" s="308"/>
      <c r="E22" s="308"/>
      <c r="F22" s="308"/>
      <c r="G22" s="308"/>
      <c r="H22" s="308"/>
      <c r="I22" s="308"/>
      <c r="J22" s="308"/>
      <c r="K22" s="308"/>
      <c r="L22" s="308"/>
      <c r="M22" s="308"/>
    </row>
    <row r="23" spans="2:13" ht="26.25" customHeight="1" x14ac:dyDescent="0.2">
      <c r="B23" s="325" t="s">
        <v>359</v>
      </c>
      <c r="C23" s="325"/>
      <c r="D23" s="325"/>
      <c r="E23" s="325"/>
      <c r="F23" s="325"/>
      <c r="G23" s="325"/>
      <c r="H23" s="325"/>
      <c r="I23" s="325"/>
      <c r="J23" s="325"/>
      <c r="K23" s="325"/>
      <c r="L23" s="325"/>
      <c r="M23" s="325"/>
    </row>
    <row r="24" spans="2:13" x14ac:dyDescent="0.2">
      <c r="B24" s="326"/>
      <c r="C24" s="326"/>
      <c r="D24" s="326"/>
      <c r="E24" s="326"/>
      <c r="F24" s="326"/>
      <c r="G24" s="326"/>
      <c r="H24" s="326"/>
      <c r="I24" s="326"/>
      <c r="J24" s="326"/>
      <c r="K24" s="326"/>
      <c r="L24" s="326"/>
      <c r="M24" s="326"/>
    </row>
    <row r="25" spans="2:13" x14ac:dyDescent="0.2">
      <c r="B25" s="318" t="s">
        <v>354</v>
      </c>
      <c r="C25" s="309"/>
      <c r="D25" s="309"/>
      <c r="E25" s="309"/>
      <c r="F25" s="309"/>
      <c r="G25" s="309"/>
      <c r="H25" s="309"/>
      <c r="I25" s="309"/>
      <c r="J25" s="309"/>
      <c r="K25" s="309"/>
      <c r="L25" s="309"/>
      <c r="M25" s="309"/>
    </row>
    <row r="26" spans="2:13" ht="26.25" customHeight="1" x14ac:dyDescent="0.2">
      <c r="B26" s="324" t="s">
        <v>360</v>
      </c>
      <c r="C26" s="324"/>
      <c r="D26" s="324"/>
      <c r="E26" s="324"/>
      <c r="F26" s="324"/>
      <c r="G26" s="324"/>
      <c r="H26" s="324"/>
      <c r="I26" s="324"/>
      <c r="J26" s="324"/>
      <c r="K26" s="324"/>
      <c r="L26" s="324"/>
      <c r="M26" s="324"/>
    </row>
    <row r="27" spans="2:13" x14ac:dyDescent="0.2">
      <c r="B27" s="320"/>
      <c r="C27" s="323"/>
      <c r="D27" s="323"/>
      <c r="E27" s="323"/>
      <c r="F27" s="323"/>
      <c r="G27" s="323"/>
      <c r="H27" s="323"/>
      <c r="I27" s="323"/>
      <c r="J27" s="323"/>
      <c r="K27" s="323"/>
      <c r="L27" s="323"/>
      <c r="M27" s="323"/>
    </row>
    <row r="28" spans="2:13" x14ac:dyDescent="0.2">
      <c r="B28" s="325" t="s">
        <v>361</v>
      </c>
      <c r="C28" s="325"/>
      <c r="D28" s="325"/>
      <c r="E28" s="325"/>
      <c r="F28" s="325"/>
      <c r="G28" s="325"/>
      <c r="H28" s="325"/>
      <c r="I28" s="325"/>
      <c r="J28" s="325"/>
      <c r="K28" s="325"/>
      <c r="L28" s="325"/>
      <c r="M28" s="325"/>
    </row>
    <row r="29" spans="2:13" x14ac:dyDescent="0.2">
      <c r="B29" s="323"/>
      <c r="C29" s="323"/>
      <c r="D29" s="323"/>
      <c r="E29" s="323"/>
      <c r="F29" s="323"/>
      <c r="G29" s="323"/>
      <c r="H29" s="323"/>
      <c r="I29" s="323"/>
      <c r="J29" s="323"/>
      <c r="K29" s="323"/>
      <c r="L29" s="323"/>
      <c r="M29" s="323"/>
    </row>
    <row r="30" spans="2:13" x14ac:dyDescent="0.2">
      <c r="B30" s="325" t="s">
        <v>362</v>
      </c>
      <c r="C30" s="325"/>
      <c r="D30" s="325"/>
      <c r="E30" s="325"/>
      <c r="F30" s="325"/>
      <c r="G30" s="325"/>
      <c r="H30" s="325"/>
      <c r="I30" s="325"/>
      <c r="J30" s="325"/>
      <c r="K30" s="325"/>
      <c r="L30" s="325"/>
      <c r="M30" s="325"/>
    </row>
    <row r="31" spans="2:13" x14ac:dyDescent="0.2">
      <c r="B31" s="323"/>
      <c r="C31" s="323"/>
      <c r="D31" s="323"/>
      <c r="E31" s="323"/>
      <c r="F31" s="323"/>
      <c r="G31" s="323"/>
      <c r="H31" s="323"/>
      <c r="I31" s="323"/>
      <c r="J31" s="323"/>
      <c r="K31" s="323"/>
      <c r="L31" s="323"/>
      <c r="M31" s="323"/>
    </row>
    <row r="32" spans="2:13" ht="15" x14ac:dyDescent="0.25">
      <c r="B32" s="318" t="s">
        <v>355</v>
      </c>
      <c r="C32" s="308"/>
      <c r="D32" s="308"/>
      <c r="E32" s="308"/>
      <c r="F32" s="308"/>
      <c r="G32" s="308"/>
      <c r="H32" s="308"/>
      <c r="I32" s="308"/>
      <c r="J32" s="308"/>
      <c r="K32" s="308"/>
      <c r="L32" s="308"/>
      <c r="M32" s="308"/>
    </row>
    <row r="33" spans="2:3" x14ac:dyDescent="0.2">
      <c r="B33" s="321" t="s">
        <v>363</v>
      </c>
      <c r="C33" s="309" t="s">
        <v>356</v>
      </c>
    </row>
    <row r="34" spans="2:3" ht="15" x14ac:dyDescent="0.25">
      <c r="B34" s="308"/>
      <c r="C34" s="322"/>
    </row>
    <row r="35" spans="2:3" ht="15" x14ac:dyDescent="0.25">
      <c r="B35" s="321"/>
      <c r="C35" s="308"/>
    </row>
  </sheetData>
  <mergeCells count="13">
    <mergeCell ref="B15:M15"/>
    <mergeCell ref="C3:L3"/>
    <mergeCell ref="B4:M4"/>
    <mergeCell ref="B7:M7"/>
    <mergeCell ref="B9:M9"/>
    <mergeCell ref="B12:M12"/>
    <mergeCell ref="B26:M26"/>
    <mergeCell ref="B28:M28"/>
    <mergeCell ref="B30:M30"/>
    <mergeCell ref="B17:M17"/>
    <mergeCell ref="B20:M20"/>
    <mergeCell ref="B23:M23"/>
    <mergeCell ref="B24:M2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4B28-1F24-4329-BF6A-66F45711D818}">
  <sheetPr>
    <tabColor rgb="FF00B050"/>
  </sheetPr>
  <dimension ref="B2:G66"/>
  <sheetViews>
    <sheetView showGridLines="0" zoomScale="120" zoomScaleNormal="120" workbookViewId="0">
      <selection activeCell="Q16" sqref="Q16"/>
    </sheetView>
  </sheetViews>
  <sheetFormatPr defaultColWidth="8.85546875" defaultRowHeight="12.75" x14ac:dyDescent="0.2"/>
  <cols>
    <col min="1" max="1" width="3.140625" customWidth="1"/>
    <col min="2" max="2" width="60" bestFit="1" customWidth="1"/>
  </cols>
  <sheetData>
    <row r="2" spans="2:2" ht="16.5" customHeight="1" x14ac:dyDescent="0.2">
      <c r="B2" s="307" t="s">
        <v>340</v>
      </c>
    </row>
    <row r="34" spans="2:7" ht="17.25" customHeight="1" x14ac:dyDescent="0.2">
      <c r="B34" s="307" t="s">
        <v>345</v>
      </c>
    </row>
    <row r="37" spans="2:7" x14ac:dyDescent="0.2">
      <c r="G37" s="257"/>
    </row>
    <row r="66" spans="2:2" x14ac:dyDescent="0.2">
      <c r="B66" s="244" t="s">
        <v>346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5F2EB-6928-49BE-AC5B-F85E5BEF14D1}">
  <sheetPr>
    <tabColor rgb="FF00B0F0"/>
  </sheetPr>
  <dimension ref="B1:P27"/>
  <sheetViews>
    <sheetView showGridLines="0" zoomScale="95" zoomScaleNormal="95" workbookViewId="0">
      <selection activeCell="D12" sqref="D12"/>
    </sheetView>
  </sheetViews>
  <sheetFormatPr defaultColWidth="8.85546875" defaultRowHeight="12.75" x14ac:dyDescent="0.2"/>
  <cols>
    <col min="1" max="1" width="4.140625" customWidth="1"/>
    <col min="2" max="2" width="39.42578125" customWidth="1"/>
    <col min="3" max="5" width="17.7109375" customWidth="1"/>
    <col min="6" max="6" width="2.140625" customWidth="1"/>
    <col min="7" max="12" width="10" customWidth="1"/>
  </cols>
  <sheetData>
    <row r="1" spans="2:16" ht="15.75" x14ac:dyDescent="0.25">
      <c r="B1" s="206" t="s">
        <v>344</v>
      </c>
      <c r="J1" s="255" t="str">
        <f>"GP lanes in all scenarios: "&amp;$C$6</f>
        <v>GP lanes in all scenarios: 4</v>
      </c>
      <c r="M1" s="255" t="str">
        <f>"HOV/HOT lanes in all: "&amp;$C$7</f>
        <v>HOV/HOT lanes in all: 1</v>
      </c>
      <c r="P1" s="29" t="s">
        <v>322</v>
      </c>
    </row>
    <row r="2" spans="2:16" ht="125.25" customHeight="1" thickBot="1" x14ac:dyDescent="0.3">
      <c r="B2" s="206"/>
      <c r="C2" s="207"/>
      <c r="D2" s="207"/>
      <c r="E2" s="207"/>
      <c r="G2" s="209">
        <v>4</v>
      </c>
      <c r="H2" s="209">
        <v>4</v>
      </c>
      <c r="I2" s="209">
        <v>4</v>
      </c>
      <c r="J2" s="209">
        <v>5</v>
      </c>
      <c r="K2" s="209">
        <v>5</v>
      </c>
      <c r="L2" s="209">
        <v>5</v>
      </c>
    </row>
    <row r="3" spans="2:16" ht="15" x14ac:dyDescent="0.2">
      <c r="B3" s="210"/>
      <c r="C3" s="211" t="s">
        <v>203</v>
      </c>
      <c r="D3" s="211" t="s">
        <v>204</v>
      </c>
      <c r="E3" s="211" t="s">
        <v>91</v>
      </c>
      <c r="F3" s="226"/>
      <c r="G3" s="227" t="str">
        <f>C3</f>
        <v>Base</v>
      </c>
      <c r="H3" s="227" t="str">
        <f t="shared" ref="H3:I3" si="0">D3</f>
        <v>Build</v>
      </c>
      <c r="I3" s="227" t="str">
        <f t="shared" si="0"/>
        <v>Max</v>
      </c>
      <c r="J3" s="235" t="str">
        <f>C3</f>
        <v>Base</v>
      </c>
      <c r="K3" s="235" t="str">
        <f t="shared" ref="K3:L3" si="1">D3</f>
        <v>Build</v>
      </c>
      <c r="L3" s="236" t="str">
        <f t="shared" si="1"/>
        <v>Max</v>
      </c>
    </row>
    <row r="4" spans="2:16" ht="15.75" x14ac:dyDescent="0.25">
      <c r="B4" s="287" t="s">
        <v>296</v>
      </c>
      <c r="L4" s="270"/>
    </row>
    <row r="5" spans="2:16" ht="15" x14ac:dyDescent="0.2">
      <c r="B5" s="215" t="s">
        <v>278</v>
      </c>
      <c r="C5" s="239">
        <v>1.4</v>
      </c>
      <c r="D5" s="239">
        <v>1.4</v>
      </c>
      <c r="E5" s="253">
        <f>D5</f>
        <v>1.4</v>
      </c>
      <c r="F5" s="216"/>
      <c r="G5" s="228" t="s">
        <v>281</v>
      </c>
      <c r="H5" s="228" t="s">
        <v>281</v>
      </c>
      <c r="I5" s="228" t="s">
        <v>281</v>
      </c>
      <c r="J5" s="237" t="s">
        <v>282</v>
      </c>
      <c r="K5" s="237" t="s">
        <v>282</v>
      </c>
      <c r="L5" s="238" t="s">
        <v>282</v>
      </c>
    </row>
    <row r="6" spans="2:16" ht="15" x14ac:dyDescent="0.2">
      <c r="B6" s="217" t="s">
        <v>178</v>
      </c>
      <c r="C6" s="240">
        <v>4</v>
      </c>
      <c r="D6" s="240">
        <v>4</v>
      </c>
      <c r="E6" s="254">
        <f>D6</f>
        <v>4</v>
      </c>
      <c r="F6" s="218"/>
      <c r="G6" s="219">
        <f>'Throughput Calculations'!G7</f>
        <v>0</v>
      </c>
      <c r="H6" s="219">
        <f>'Throughput Calculations'!H7</f>
        <v>0</v>
      </c>
      <c r="I6" s="219">
        <f>'Throughput Calculations'!I7</f>
        <v>0</v>
      </c>
      <c r="J6" s="219">
        <f>'Throughput Calculations'!J7</f>
        <v>-1</v>
      </c>
      <c r="K6" s="219">
        <f>'Throughput Calculations'!K7</f>
        <v>-1</v>
      </c>
      <c r="L6" s="220">
        <f>'Throughput Calculations'!L7</f>
        <v>-1</v>
      </c>
    </row>
    <row r="7" spans="2:16" ht="15" x14ac:dyDescent="0.2">
      <c r="B7" s="217" t="s">
        <v>232</v>
      </c>
      <c r="C7" s="240">
        <v>1</v>
      </c>
      <c r="D7" s="240">
        <v>1</v>
      </c>
      <c r="E7" s="254">
        <f>D7</f>
        <v>1</v>
      </c>
      <c r="F7" s="218"/>
      <c r="G7" s="219">
        <f>'Throughput Calculations'!G10</f>
        <v>1</v>
      </c>
      <c r="H7" s="219">
        <f>'Throughput Calculations'!H10</f>
        <v>1</v>
      </c>
      <c r="I7" s="219">
        <f>'Throughput Calculations'!I10</f>
        <v>1</v>
      </c>
      <c r="J7" s="219">
        <f>'Throughput Calculations'!J10</f>
        <v>1</v>
      </c>
      <c r="K7" s="219">
        <f>'Throughput Calculations'!K10</f>
        <v>1</v>
      </c>
      <c r="L7" s="220">
        <f>'Throughput Calculations'!L10</f>
        <v>1</v>
      </c>
    </row>
    <row r="8" spans="2:16" ht="15" x14ac:dyDescent="0.2">
      <c r="B8" s="221" t="s">
        <v>179</v>
      </c>
      <c r="C8" s="240">
        <v>2</v>
      </c>
      <c r="D8" s="240">
        <v>3</v>
      </c>
      <c r="E8" s="240" t="s">
        <v>234</v>
      </c>
      <c r="F8" s="218"/>
      <c r="G8" s="219">
        <f>'Throughput Calculations'!G12</f>
        <v>0</v>
      </c>
      <c r="H8" s="219">
        <f>'Throughput Calculations'!H12</f>
        <v>1</v>
      </c>
      <c r="I8" s="219">
        <f>'Throughput Calculations'!I12</f>
        <v>2</v>
      </c>
      <c r="J8" s="219">
        <f>'Throughput Calculations'!J12</f>
        <v>0</v>
      </c>
      <c r="K8" s="219">
        <f>'Throughput Calculations'!K12</f>
        <v>1</v>
      </c>
      <c r="L8" s="220">
        <f>'Throughput Calculations'!L12</f>
        <v>2</v>
      </c>
    </row>
    <row r="9" spans="2:16" ht="15" x14ac:dyDescent="0.2">
      <c r="B9" s="217" t="s">
        <v>277</v>
      </c>
      <c r="C9" s="240" t="s">
        <v>183</v>
      </c>
      <c r="D9" s="240" t="s">
        <v>183</v>
      </c>
      <c r="E9" s="240" t="s">
        <v>183</v>
      </c>
      <c r="F9" s="218"/>
      <c r="G9" s="219">
        <f>'Throughput Calculations'!G15</f>
        <v>1</v>
      </c>
      <c r="H9" s="219">
        <f>'Throughput Calculations'!H15</f>
        <v>1</v>
      </c>
      <c r="I9" s="219">
        <f>'Throughput Calculations'!I15</f>
        <v>1</v>
      </c>
      <c r="J9" s="219">
        <f>'Throughput Calculations'!J15</f>
        <v>0</v>
      </c>
      <c r="K9" s="219">
        <f>'Throughput Calculations'!K15</f>
        <v>0</v>
      </c>
      <c r="L9" s="220">
        <f>'Throughput Calculations'!L15</f>
        <v>0</v>
      </c>
    </row>
    <row r="10" spans="2:16" ht="30.75" thickBot="1" x14ac:dyDescent="0.25">
      <c r="B10" s="288" t="s">
        <v>181</v>
      </c>
      <c r="C10" s="289" t="s">
        <v>215</v>
      </c>
      <c r="D10" s="289" t="s">
        <v>215</v>
      </c>
      <c r="E10" s="289" t="s">
        <v>326</v>
      </c>
      <c r="F10" s="290"/>
      <c r="G10" s="291">
        <f>'Throughput Calculations'!G18</f>
        <v>0</v>
      </c>
      <c r="H10" s="291">
        <f>'Throughput Calculations'!H18</f>
        <v>0</v>
      </c>
      <c r="I10" s="291">
        <f>'Throughput Calculations'!I18</f>
        <v>2</v>
      </c>
      <c r="J10" s="291">
        <f>'Throughput Calculations'!J18</f>
        <v>0</v>
      </c>
      <c r="K10" s="291">
        <f>'Throughput Calculations'!K18</f>
        <v>0</v>
      </c>
      <c r="L10" s="292">
        <f>'Throughput Calculations'!L18</f>
        <v>2</v>
      </c>
    </row>
    <row r="11" spans="2:16" ht="32.25" customHeight="1" thickBot="1" x14ac:dyDescent="0.3">
      <c r="B11" s="256" t="s">
        <v>297</v>
      </c>
    </row>
    <row r="12" spans="2:16" ht="31.5" customHeight="1" x14ac:dyDescent="0.2">
      <c r="B12" s="293" t="s">
        <v>189</v>
      </c>
      <c r="C12" s="294" t="s">
        <v>192</v>
      </c>
      <c r="D12" s="294" t="s">
        <v>192</v>
      </c>
      <c r="E12" s="294" t="s">
        <v>193</v>
      </c>
      <c r="F12" s="295"/>
      <c r="G12" s="296">
        <f>'Throughput Calculations'!G23</f>
        <v>1</v>
      </c>
      <c r="H12" s="296">
        <f>'Throughput Calculations'!H23</f>
        <v>1</v>
      </c>
      <c r="I12" s="296">
        <f>'Throughput Calculations'!I23</f>
        <v>3</v>
      </c>
      <c r="J12" s="296">
        <f>'Throughput Calculations'!J23</f>
        <v>0</v>
      </c>
      <c r="K12" s="296">
        <f>'Throughput Calculations'!K23</f>
        <v>0</v>
      </c>
      <c r="L12" s="297">
        <f>'Throughput Calculations'!L23</f>
        <v>0</v>
      </c>
    </row>
    <row r="13" spans="2:16" ht="15" x14ac:dyDescent="0.2">
      <c r="B13" s="217" t="s">
        <v>231</v>
      </c>
      <c r="C13" s="241" t="s">
        <v>285</v>
      </c>
      <c r="D13" s="241" t="s">
        <v>286</v>
      </c>
      <c r="E13" s="241" t="s">
        <v>199</v>
      </c>
      <c r="F13" s="218"/>
      <c r="G13" s="219">
        <f>'Throughput Calculations'!G30</f>
        <v>1</v>
      </c>
      <c r="H13" s="219">
        <f>'Throughput Calculations'!H30</f>
        <v>2</v>
      </c>
      <c r="I13" s="219">
        <f>'Throughput Calculations'!I30</f>
        <v>3</v>
      </c>
      <c r="J13" s="219">
        <f>'Throughput Calculations'!J30</f>
        <v>0</v>
      </c>
      <c r="K13" s="219">
        <f>'Throughput Calculations'!K30</f>
        <v>0</v>
      </c>
      <c r="L13" s="220">
        <f>'Throughput Calculations'!L30</f>
        <v>0</v>
      </c>
    </row>
    <row r="14" spans="2:16" ht="30" x14ac:dyDescent="0.2">
      <c r="B14" s="217" t="s">
        <v>180</v>
      </c>
      <c r="C14" s="241" t="s">
        <v>137</v>
      </c>
      <c r="D14" s="241" t="s">
        <v>237</v>
      </c>
      <c r="E14" s="241" t="s">
        <v>238</v>
      </c>
      <c r="F14" s="218"/>
      <c r="G14" s="219">
        <f>'Throughput Calculations'!G34</f>
        <v>0</v>
      </c>
      <c r="H14" s="219">
        <f>'Throughput Calculations'!H34</f>
        <v>3</v>
      </c>
      <c r="I14" s="219">
        <f>'Throughput Calculations'!I34</f>
        <v>6</v>
      </c>
      <c r="J14" s="219">
        <f>'Throughput Calculations'!J34</f>
        <v>0</v>
      </c>
      <c r="K14" s="219">
        <f>'Throughput Calculations'!K34</f>
        <v>3</v>
      </c>
      <c r="L14" s="220">
        <f>'Throughput Calculations'!L34</f>
        <v>6</v>
      </c>
    </row>
    <row r="15" spans="2:16" ht="30.75" thickBot="1" x14ac:dyDescent="0.25">
      <c r="B15" s="288" t="s">
        <v>228</v>
      </c>
      <c r="C15" s="289" t="s">
        <v>309</v>
      </c>
      <c r="D15" s="289" t="s">
        <v>309</v>
      </c>
      <c r="E15" s="289" t="s">
        <v>310</v>
      </c>
      <c r="F15" s="290"/>
      <c r="G15" s="291">
        <f>'Throughput Calculations'!G40</f>
        <v>1</v>
      </c>
      <c r="H15" s="291">
        <f>'Throughput Calculations'!H40</f>
        <v>1</v>
      </c>
      <c r="I15" s="291">
        <f>'Throughput Calculations'!I40</f>
        <v>2</v>
      </c>
      <c r="J15" s="291">
        <f>'Throughput Calculations'!J40</f>
        <v>0</v>
      </c>
      <c r="K15" s="291">
        <f>'Throughput Calculations'!K40</f>
        <v>0</v>
      </c>
      <c r="L15" s="292">
        <f>'Throughput Calculations'!L40</f>
        <v>0</v>
      </c>
    </row>
    <row r="17" spans="2:12" ht="16.5" thickBot="1" x14ac:dyDescent="0.3">
      <c r="B17" s="256" t="s">
        <v>298</v>
      </c>
    </row>
    <row r="18" spans="2:12" ht="30" x14ac:dyDescent="0.2">
      <c r="B18" s="293" t="s">
        <v>205</v>
      </c>
      <c r="C18" s="294" t="s">
        <v>207</v>
      </c>
      <c r="D18" s="294" t="s">
        <v>279</v>
      </c>
      <c r="E18" s="294" t="s">
        <v>279</v>
      </c>
      <c r="F18" s="295"/>
      <c r="G18" s="296">
        <f>'Throughput Calculations'!G46</f>
        <v>1</v>
      </c>
      <c r="H18" s="296">
        <f>'Throughput Calculations'!H46</f>
        <v>4</v>
      </c>
      <c r="I18" s="296">
        <f>'Throughput Calculations'!I46</f>
        <v>4</v>
      </c>
      <c r="J18" s="296">
        <f>'Throughput Calculations'!J46</f>
        <v>1</v>
      </c>
      <c r="K18" s="296">
        <f>'Throughput Calculations'!K46</f>
        <v>4</v>
      </c>
      <c r="L18" s="297">
        <f>'Throughput Calculations'!L46</f>
        <v>4</v>
      </c>
    </row>
    <row r="19" spans="2:12" ht="15" x14ac:dyDescent="0.2">
      <c r="B19" s="221" t="s">
        <v>216</v>
      </c>
      <c r="C19" s="242">
        <v>600</v>
      </c>
      <c r="D19" s="242">
        <v>1800</v>
      </c>
      <c r="E19" s="242">
        <v>1800</v>
      </c>
      <c r="F19" s="218"/>
      <c r="G19" s="219"/>
      <c r="H19" s="219"/>
      <c r="I19" s="219"/>
      <c r="J19" s="219"/>
      <c r="K19" s="219"/>
      <c r="L19" s="220"/>
    </row>
    <row r="20" spans="2:12" ht="13.5" customHeight="1" x14ac:dyDescent="0.2">
      <c r="B20" s="221" t="s">
        <v>217</v>
      </c>
      <c r="C20" s="240" t="s">
        <v>188</v>
      </c>
      <c r="D20" s="240" t="s">
        <v>183</v>
      </c>
      <c r="E20" s="240" t="s">
        <v>183</v>
      </c>
      <c r="F20" s="218"/>
      <c r="G20" s="219">
        <f>'Throughput Calculations'!G48</f>
        <v>0</v>
      </c>
      <c r="H20" s="219">
        <f>'Throughput Calculations'!H48</f>
        <v>2</v>
      </c>
      <c r="I20" s="219">
        <f>'Throughput Calculations'!I48</f>
        <v>2</v>
      </c>
      <c r="J20" s="219">
        <f>'Throughput Calculations'!J48</f>
        <v>0</v>
      </c>
      <c r="K20" s="219">
        <f>'Throughput Calculations'!K48</f>
        <v>2</v>
      </c>
      <c r="L20" s="220">
        <f>'Throughput Calculations'!L48</f>
        <v>2</v>
      </c>
    </row>
    <row r="21" spans="2:12" ht="15" x14ac:dyDescent="0.2">
      <c r="B21" s="222" t="s">
        <v>223</v>
      </c>
      <c r="C21" s="243">
        <v>1</v>
      </c>
      <c r="D21" s="243">
        <v>1</v>
      </c>
      <c r="E21" s="243">
        <v>1.3</v>
      </c>
      <c r="F21" s="223"/>
      <c r="G21" s="224">
        <f>'Throughput Calculations'!G53</f>
        <v>0</v>
      </c>
      <c r="H21" s="224">
        <f>'Throughput Calculations'!H53</f>
        <v>0</v>
      </c>
      <c r="I21" s="224">
        <f>'Throughput Calculations'!I53</f>
        <v>2</v>
      </c>
      <c r="J21" s="224">
        <f>'Throughput Calculations'!J53</f>
        <v>0</v>
      </c>
      <c r="K21" s="224">
        <f>'Throughput Calculations'!K53</f>
        <v>0</v>
      </c>
      <c r="L21" s="225">
        <f>'Throughput Calculations'!L53</f>
        <v>0</v>
      </c>
    </row>
    <row r="22" spans="2:12" ht="15" x14ac:dyDescent="0.2">
      <c r="B22" s="298"/>
      <c r="C22" s="299"/>
      <c r="D22" s="299"/>
      <c r="E22" s="300" t="s">
        <v>283</v>
      </c>
      <c r="F22" s="301"/>
      <c r="G22" s="302">
        <f t="shared" ref="G22:L22" si="2">SUM(G6:G21)</f>
        <v>6</v>
      </c>
      <c r="H22" s="302">
        <f t="shared" si="2"/>
        <v>16</v>
      </c>
      <c r="I22" s="302">
        <f t="shared" si="2"/>
        <v>28</v>
      </c>
      <c r="J22" s="302">
        <f t="shared" si="2"/>
        <v>1</v>
      </c>
      <c r="K22" s="302">
        <f t="shared" si="2"/>
        <v>10</v>
      </c>
      <c r="L22" s="303">
        <f t="shared" si="2"/>
        <v>16</v>
      </c>
    </row>
    <row r="23" spans="2:12" ht="16.5" thickBot="1" x14ac:dyDescent="0.3">
      <c r="B23" s="229"/>
      <c r="C23" s="230"/>
      <c r="D23" s="230"/>
      <c r="E23" s="231" t="s">
        <v>284</v>
      </c>
      <c r="F23" s="232"/>
      <c r="G23" s="233">
        <f>'Throughput Calculations'!G60</f>
        <v>21.428571428571431</v>
      </c>
      <c r="H23" s="233">
        <f>'Throughput Calculations'!H60</f>
        <v>57.142857142857146</v>
      </c>
      <c r="I23" s="233">
        <f>'Throughput Calculations'!I60</f>
        <v>100</v>
      </c>
      <c r="J23" s="233">
        <f>'Throughput Calculations'!J60</f>
        <v>6.25</v>
      </c>
      <c r="K23" s="233">
        <f>'Throughput Calculations'!K60</f>
        <v>62.5</v>
      </c>
      <c r="L23" s="234">
        <f>'Throughput Calculations'!L60</f>
        <v>100</v>
      </c>
    </row>
    <row r="24" spans="2:12" ht="14.25" thickTop="1" thickBot="1" x14ac:dyDescent="0.25">
      <c r="B24" s="212"/>
      <c r="C24" s="213"/>
      <c r="D24" s="213"/>
      <c r="E24" s="213"/>
      <c r="F24" s="213"/>
      <c r="G24" s="213"/>
      <c r="H24" s="213"/>
      <c r="I24" s="213"/>
      <c r="J24" s="213"/>
      <c r="K24" s="213"/>
      <c r="L24" s="214"/>
    </row>
    <row r="26" spans="2:12" x14ac:dyDescent="0.2">
      <c r="B26" s="252" t="s">
        <v>320</v>
      </c>
      <c r="C26" s="199">
        <v>0.7</v>
      </c>
    </row>
    <row r="27" spans="2:12" x14ac:dyDescent="0.2">
      <c r="B27" s="252" t="s">
        <v>321</v>
      </c>
      <c r="C27" s="199">
        <v>0.3</v>
      </c>
    </row>
  </sheetData>
  <conditionalFormatting sqref="G6:L10 G12:L15 G18:L21">
    <cfRule type="cellIs" dxfId="56" priority="6" operator="greaterThan">
      <formula>3</formula>
    </cfRule>
    <cfRule type="cellIs" dxfId="55" priority="7" operator="greaterThan">
      <formula>1</formula>
    </cfRule>
    <cfRule type="cellIs" dxfId="54" priority="8" operator="equal">
      <formula>1</formula>
    </cfRule>
    <cfRule type="cellIs" dxfId="53" priority="9" operator="lessThan">
      <formula>0</formula>
    </cfRule>
  </conditionalFormatting>
  <conditionalFormatting sqref="G23:L23">
    <cfRule type="cellIs" dxfId="52" priority="1" operator="greaterThan">
      <formula>80</formula>
    </cfRule>
    <cfRule type="cellIs" dxfId="51" priority="2" operator="greaterThan">
      <formula>60</formula>
    </cfRule>
    <cfRule type="cellIs" dxfId="50" priority="3" operator="greaterThan">
      <formula>40</formula>
    </cfRule>
    <cfRule type="cellIs" dxfId="49" priority="4" operator="greaterThan">
      <formula>20</formula>
    </cfRule>
    <cfRule type="cellIs" dxfId="48" priority="5" operator="greaterThan">
      <formula>0</formula>
    </cfRule>
  </conditionalFormatting>
  <pageMargins left="0.7" right="0.7" top="0.75" bottom="0.75" header="0.3" footer="0.3"/>
  <pageSetup orientation="portrait" horizontalDpi="4294967292" verticalDpi="12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1593FC25-11E0-46D1-A799-33D2229F1D7A}">
          <x14:formula1>
            <xm:f>'Throughput Calculations'!$Q$1:$Q$2</xm:f>
          </x14:formula1>
          <xm:sqref>C9:E9</xm:sqref>
        </x14:dataValidation>
        <x14:dataValidation type="list" allowBlank="1" showInputMessage="1" showErrorMessage="1" xr:uid="{6FE8E2F9-B057-44FA-9C47-488166E4A9F9}">
          <x14:formula1>
            <xm:f>'Throughput Calculations'!$Q$9:$Q$12</xm:f>
          </x14:formula1>
          <xm:sqref>C8:E8</xm:sqref>
        </x14:dataValidation>
        <x14:dataValidation type="list" allowBlank="1" showInputMessage="1" showErrorMessage="1" xr:uid="{3D9015C9-ED08-4325-B4CB-007C57B9A1F9}">
          <x14:formula1>
            <xm:f>'Throughput Calculations'!$O$18:$O$21</xm:f>
          </x14:formula1>
          <xm:sqref>C12:E12</xm:sqref>
        </x14:dataValidation>
        <x14:dataValidation type="list" allowBlank="1" showInputMessage="1" showErrorMessage="1" xr:uid="{236B0000-1043-48A1-AE32-255D4D044A6E}">
          <x14:formula1>
            <xm:f>'Throughput Calculations'!$O$26:$O$30</xm:f>
          </x14:formula1>
          <xm:sqref>C13:E13</xm:sqref>
        </x14:dataValidation>
        <x14:dataValidation type="list" allowBlank="1" showInputMessage="1" showErrorMessage="1" xr:uid="{0CF94163-0572-4225-B69E-88D4BD9267EB}">
          <x14:formula1>
            <xm:f>'Throughput Calculations'!$O$32:$O$36</xm:f>
          </x14:formula1>
          <xm:sqref>C14:E14</xm:sqref>
        </x14:dataValidation>
        <x14:dataValidation type="list" allowBlank="1" showInputMessage="1" showErrorMessage="1" xr:uid="{C1E370C4-31C6-4BB7-8CEC-4AA5ECB49348}">
          <x14:formula1>
            <xm:f>'Throughput Calculations'!$O$41:$O$47</xm:f>
          </x14:formula1>
          <xm:sqref>C18:E18</xm:sqref>
        </x14:dataValidation>
        <x14:dataValidation type="list" allowBlank="1" showInputMessage="1" showErrorMessage="1" xr:uid="{60864C8C-244A-4A39-B410-AEEC20CB7F60}">
          <x14:formula1>
            <xm:f>'Throughput Calculations'!$O$50:$O$54</xm:f>
          </x14:formula1>
          <xm:sqref>C10:E10</xm:sqref>
        </x14:dataValidation>
        <x14:dataValidation type="list" allowBlank="1" showInputMessage="1" showErrorMessage="1" xr:uid="{3EEC7C46-82BB-401F-9048-983846F002AE}">
          <x14:formula1>
            <xm:f>'Throughput Calculations'!$O$57:$O$60</xm:f>
          </x14:formula1>
          <xm:sqref>C15:E15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60BD1-A953-4923-9F39-DEEAAA0D05EB}">
  <sheetPr>
    <tabColor rgb="FF00B0F0"/>
  </sheetPr>
  <dimension ref="A1:W117"/>
  <sheetViews>
    <sheetView zoomScale="110" zoomScaleNormal="110" workbookViewId="0">
      <selection activeCell="C7" sqref="C7"/>
    </sheetView>
  </sheetViews>
  <sheetFormatPr defaultColWidth="8.85546875" defaultRowHeight="12.75" x14ac:dyDescent="0.2"/>
  <cols>
    <col min="2" max="2" width="41.28515625" customWidth="1"/>
    <col min="3" max="6" width="14.42578125" customWidth="1"/>
    <col min="14" max="14" width="9.140625" style="2"/>
    <col min="15" max="15" width="27.140625" bestFit="1" customWidth="1"/>
    <col min="16" max="19" width="8.28515625" customWidth="1"/>
    <col min="22" max="22" width="46.85546875" bestFit="1" customWidth="1"/>
    <col min="25" max="25" width="22.140625" bestFit="1" customWidth="1"/>
  </cols>
  <sheetData>
    <row r="1" spans="2:21" x14ac:dyDescent="0.2">
      <c r="N1" s="2" t="s">
        <v>26</v>
      </c>
      <c r="O1" t="s">
        <v>27</v>
      </c>
      <c r="Q1" s="29" t="s">
        <v>183</v>
      </c>
      <c r="R1" s="29" t="s">
        <v>177</v>
      </c>
    </row>
    <row r="2" spans="2:21" x14ac:dyDescent="0.2">
      <c r="B2" s="3" t="s">
        <v>343</v>
      </c>
      <c r="G2" s="2">
        <v>4</v>
      </c>
      <c r="H2" s="2">
        <v>4</v>
      </c>
      <c r="I2" s="2">
        <v>4</v>
      </c>
      <c r="J2" s="2">
        <v>5</v>
      </c>
      <c r="K2" s="2">
        <v>5</v>
      </c>
      <c r="L2" s="2">
        <v>5</v>
      </c>
      <c r="N2" s="2">
        <v>2</v>
      </c>
      <c r="O2" t="s">
        <v>45</v>
      </c>
      <c r="Q2" s="29" t="s">
        <v>188</v>
      </c>
      <c r="R2" s="29" t="s">
        <v>94</v>
      </c>
    </row>
    <row r="3" spans="2:21" x14ac:dyDescent="0.2">
      <c r="G3" s="2" t="str">
        <f>C4</f>
        <v>Base</v>
      </c>
      <c r="H3" s="2" t="str">
        <f>D4</f>
        <v>Build</v>
      </c>
      <c r="I3" s="2" t="str">
        <f>E4</f>
        <v>Max</v>
      </c>
      <c r="J3" s="2" t="str">
        <f>C4</f>
        <v>Base</v>
      </c>
      <c r="K3" s="2" t="str">
        <f>D4</f>
        <v>Build</v>
      </c>
      <c r="L3" s="2" t="str">
        <f>E4</f>
        <v>Max</v>
      </c>
      <c r="N3" s="2">
        <v>3</v>
      </c>
      <c r="O3" t="s">
        <v>31</v>
      </c>
      <c r="R3" s="29" t="s">
        <v>75</v>
      </c>
    </row>
    <row r="4" spans="2:21" x14ac:dyDescent="0.2">
      <c r="C4" s="208" t="str">
        <f>'Freeway Corridor Throughput'!C3</f>
        <v>Base</v>
      </c>
      <c r="D4" s="208" t="str">
        <f>'Freeway Corridor Throughput'!D3</f>
        <v>Build</v>
      </c>
      <c r="E4" s="208" t="str">
        <f>'Freeway Corridor Throughput'!E3</f>
        <v>Max</v>
      </c>
      <c r="F4" s="2"/>
      <c r="G4" s="2" t="s">
        <v>201</v>
      </c>
      <c r="H4" s="2" t="s">
        <v>201</v>
      </c>
      <c r="I4" s="2" t="s">
        <v>201</v>
      </c>
      <c r="J4" s="2" t="s">
        <v>202</v>
      </c>
      <c r="K4" s="2" t="s">
        <v>202</v>
      </c>
      <c r="L4" s="2" t="s">
        <v>202</v>
      </c>
      <c r="N4" s="2">
        <v>4</v>
      </c>
      <c r="O4" t="s">
        <v>36</v>
      </c>
      <c r="R4" s="29" t="s">
        <v>45</v>
      </c>
    </row>
    <row r="5" spans="2:21" x14ac:dyDescent="0.2">
      <c r="B5" s="3" t="s">
        <v>293</v>
      </c>
      <c r="N5" s="2">
        <v>5</v>
      </c>
      <c r="O5" t="s">
        <v>37</v>
      </c>
      <c r="R5" s="29" t="s">
        <v>31</v>
      </c>
    </row>
    <row r="6" spans="2:21" x14ac:dyDescent="0.2">
      <c r="B6" s="29" t="s">
        <v>272</v>
      </c>
      <c r="C6" s="201">
        <f>'Freeway Corridor Throughput'!C5</f>
        <v>1.4</v>
      </c>
      <c r="D6" s="201">
        <f>'Freeway Corridor Throughput'!D5</f>
        <v>1.4</v>
      </c>
      <c r="E6" s="201">
        <f>'Freeway Corridor Throughput'!E5</f>
        <v>1.4</v>
      </c>
      <c r="F6" s="112"/>
      <c r="N6" s="2">
        <v>12</v>
      </c>
      <c r="O6" s="29" t="s">
        <v>175</v>
      </c>
      <c r="R6" s="29" t="s">
        <v>36</v>
      </c>
      <c r="U6">
        <v>1000</v>
      </c>
    </row>
    <row r="7" spans="2:21" ht="15" x14ac:dyDescent="0.2">
      <c r="B7" s="29" t="s">
        <v>178</v>
      </c>
      <c r="C7" s="201">
        <f>'Freeway Corridor Throughput'!C6</f>
        <v>4</v>
      </c>
      <c r="D7" s="201">
        <f>'Freeway Corridor Throughput'!D6</f>
        <v>4</v>
      </c>
      <c r="E7" s="201">
        <f>'Freeway Corridor Throughput'!E6</f>
        <v>4</v>
      </c>
      <c r="F7" s="112"/>
      <c r="G7" s="219">
        <f>VLOOKUP(C7, 'Throughput Calculations'!$O70:S$76, G$2, FALSE)</f>
        <v>0</v>
      </c>
      <c r="H7" s="219">
        <f>VLOOKUP(D7, 'Throughput Calculations'!$O70:T$76, H$2, FALSE)</f>
        <v>0</v>
      </c>
      <c r="I7" s="219">
        <f>VLOOKUP(E7, 'Throughput Calculations'!$O68:U$74, I$2, FALSE)</f>
        <v>0</v>
      </c>
      <c r="J7" s="219">
        <f>VLOOKUP(C7, 'Throughput Calculations'!$O68:V$74, J$2, FALSE)</f>
        <v>-1</v>
      </c>
      <c r="K7" s="219">
        <f>VLOOKUP(D7, 'Throughput Calculations'!$O68:W$74, K$2, FALSE)</f>
        <v>-1</v>
      </c>
      <c r="L7" s="219">
        <f>VLOOKUP(E7, 'Throughput Calculations'!$O68:X$74, L$2, FALSE)</f>
        <v>-1</v>
      </c>
      <c r="N7" s="2">
        <v>15</v>
      </c>
      <c r="O7" s="29" t="s">
        <v>176</v>
      </c>
      <c r="U7">
        <f>U6*P18</f>
        <v>600</v>
      </c>
    </row>
    <row r="8" spans="2:21" x14ac:dyDescent="0.2">
      <c r="B8" s="188" t="s">
        <v>182</v>
      </c>
      <c r="C8" s="191">
        <f>VLOOKUP(27, 'WFRC Cap1hr1ln V8.3'!$A:$I, 'Throughput Calculations'!C7+2, FALSE)</f>
        <v>2058</v>
      </c>
      <c r="D8" s="191">
        <f>VLOOKUP(27, 'WFRC Cap1hr1ln V8.3'!$A:$I, 'Throughput Calculations'!D7+2, FALSE)</f>
        <v>2058</v>
      </c>
      <c r="E8" s="191">
        <f>VLOOKUP(27, 'WFRC Cap1hr1ln V8.3'!$A:$I, 'Throughput Calculations'!E7+2, FALSE)</f>
        <v>2058</v>
      </c>
      <c r="F8" s="191"/>
      <c r="G8" s="2"/>
      <c r="H8" s="2"/>
      <c r="I8" s="2"/>
      <c r="J8" s="2"/>
      <c r="K8" s="2"/>
      <c r="L8" s="2"/>
      <c r="N8" s="2">
        <v>23</v>
      </c>
      <c r="O8" t="s">
        <v>101</v>
      </c>
      <c r="U8">
        <f>U6*P20</f>
        <v>850</v>
      </c>
    </row>
    <row r="9" spans="2:21" ht="26.25" customHeight="1" x14ac:dyDescent="0.2">
      <c r="C9" s="2"/>
      <c r="D9" s="2"/>
      <c r="E9" s="2"/>
      <c r="F9" s="2"/>
      <c r="G9" s="2"/>
      <c r="H9" s="2"/>
      <c r="I9" s="2"/>
      <c r="J9" s="2"/>
      <c r="K9" s="2"/>
      <c r="L9" s="2"/>
      <c r="N9" s="2">
        <v>24</v>
      </c>
      <c r="O9" t="s">
        <v>102</v>
      </c>
      <c r="Q9" s="29" t="s">
        <v>295</v>
      </c>
      <c r="U9">
        <f>U8/U7</f>
        <v>1.4166666666666667</v>
      </c>
    </row>
    <row r="10" spans="2:21" ht="15" x14ac:dyDescent="0.2">
      <c r="B10" s="29" t="s">
        <v>232</v>
      </c>
      <c r="C10" s="201">
        <f>'Freeway Corridor Throughput'!C7</f>
        <v>1</v>
      </c>
      <c r="D10" s="201">
        <f>'Freeway Corridor Throughput'!D7</f>
        <v>1</v>
      </c>
      <c r="E10" s="201">
        <f>'Freeway Corridor Throughput'!E7</f>
        <v>1</v>
      </c>
      <c r="F10" s="2"/>
      <c r="G10" s="219">
        <f>IF(C10&gt;2,2,C10)</f>
        <v>1</v>
      </c>
      <c r="H10" s="219">
        <f t="shared" ref="H10:I10" si="0">IF(D10&gt;2,2,D10)</f>
        <v>1</v>
      </c>
      <c r="I10" s="219">
        <f t="shared" si="0"/>
        <v>1</v>
      </c>
      <c r="J10" s="219">
        <f>G10</f>
        <v>1</v>
      </c>
      <c r="K10" s="219">
        <f>H10</f>
        <v>1</v>
      </c>
      <c r="L10" s="220">
        <f>I10</f>
        <v>1</v>
      </c>
      <c r="N10" s="2">
        <v>31</v>
      </c>
      <c r="O10" t="s">
        <v>79</v>
      </c>
      <c r="Q10" s="2">
        <v>2</v>
      </c>
    </row>
    <row r="11" spans="2:21" x14ac:dyDescent="0.2">
      <c r="B11" s="188" t="s">
        <v>182</v>
      </c>
      <c r="C11" s="191">
        <f>VLOOKUP(37, 'WFRC Cap1hr1ln V8.3'!$A:$I, 'Throughput Calculations'!C10+2, FALSE)</f>
        <v>1504.8</v>
      </c>
      <c r="D11" s="191">
        <f>VLOOKUP(37, 'WFRC Cap1hr1ln V8.3'!$A:$I, 'Throughput Calculations'!D10+2, FALSE)</f>
        <v>1504.8</v>
      </c>
      <c r="E11" s="191">
        <f>VLOOKUP(37, 'WFRC Cap1hr1ln V8.3'!$A:$I, 'Throughput Calculations'!E10+2, FALSE)</f>
        <v>1504.8</v>
      </c>
      <c r="F11" s="191"/>
      <c r="G11" s="2"/>
      <c r="H11" s="2"/>
      <c r="I11" s="2"/>
      <c r="J11" s="2"/>
      <c r="K11" s="2"/>
      <c r="L11" s="2"/>
      <c r="N11" s="2">
        <v>33</v>
      </c>
      <c r="O11" t="s">
        <v>84</v>
      </c>
      <c r="Q11" s="2">
        <v>3</v>
      </c>
    </row>
    <row r="12" spans="2:21" ht="15" x14ac:dyDescent="0.2">
      <c r="B12" s="188" t="s">
        <v>179</v>
      </c>
      <c r="C12" s="201">
        <f>'Freeway Corridor Throughput'!C8</f>
        <v>2</v>
      </c>
      <c r="D12" s="201">
        <f>'Freeway Corridor Throughput'!D8</f>
        <v>3</v>
      </c>
      <c r="E12" s="201" t="str">
        <f>'Freeway Corridor Throughput'!E8</f>
        <v>4+</v>
      </c>
      <c r="F12" s="2"/>
      <c r="G12" s="219">
        <f>IF(C10=0, 0, VLOOKUP($C12, 'Throughput Calculations'!$O$63:$S$67, G$2, FALSE))</f>
        <v>0</v>
      </c>
      <c r="H12" s="219">
        <f>IF(D10=0, 0, VLOOKUP($D12, 'Throughput Calculations'!$O$63:$S$67, H$2, FALSE))</f>
        <v>1</v>
      </c>
      <c r="I12" s="219">
        <f>IF(E10=0, 0, VLOOKUP($E12, 'Throughput Calculations'!$O$63:$S$67, I$2, FALSE))</f>
        <v>2</v>
      </c>
      <c r="J12" s="219">
        <f>IF(C10=0, 0, VLOOKUP($C12, 'Throughput Calculations'!$O$63:$S$67, J$2, FALSE))</f>
        <v>0</v>
      </c>
      <c r="K12" s="219">
        <f>IF(D10=0, 0, VLOOKUP($D12, 'Throughput Calculations'!$O$63:$S$67, K$2, FALSE))</f>
        <v>1</v>
      </c>
      <c r="L12" s="220">
        <f>IF(E10=0, 0, VLOOKUP($E12, 'Throughput Calculations'!$O$63:$S$67, L$2, FALSE))</f>
        <v>2</v>
      </c>
      <c r="N12" s="2">
        <v>34</v>
      </c>
      <c r="O12" t="s">
        <v>83</v>
      </c>
      <c r="Q12" s="112" t="s">
        <v>234</v>
      </c>
    </row>
    <row r="13" spans="2:21" x14ac:dyDescent="0.2">
      <c r="B13" s="188" t="s">
        <v>273</v>
      </c>
      <c r="C13" s="199">
        <v>0.05</v>
      </c>
      <c r="D13" s="199">
        <v>0.1</v>
      </c>
      <c r="E13" s="199">
        <v>0.2</v>
      </c>
      <c r="F13" s="199"/>
      <c r="N13" s="2">
        <v>38</v>
      </c>
      <c r="O13" t="s">
        <v>78</v>
      </c>
    </row>
    <row r="14" spans="2:21" x14ac:dyDescent="0.2">
      <c r="C14" s="2">
        <f>MROUND(C11*C10*(C6*(1+C13))*0.8, 100)</f>
        <v>1800</v>
      </c>
      <c r="D14" s="2">
        <f t="shared" ref="D14:E14" si="1">MROUND(D11*D10*(D6*(1+D13))*0.8, 100)</f>
        <v>1900</v>
      </c>
      <c r="E14" s="2">
        <f t="shared" si="1"/>
        <v>2000</v>
      </c>
      <c r="N14" s="2">
        <v>40</v>
      </c>
      <c r="O14" t="s">
        <v>41</v>
      </c>
    </row>
    <row r="15" spans="2:21" ht="15" x14ac:dyDescent="0.2">
      <c r="B15" s="29" t="s">
        <v>277</v>
      </c>
      <c r="C15" s="202" t="str">
        <f>'Freeway Corridor Throughput'!C9</f>
        <v>Yes</v>
      </c>
      <c r="D15" s="202" t="str">
        <f>'Freeway Corridor Throughput'!D9</f>
        <v>Yes</v>
      </c>
      <c r="E15" s="202" t="str">
        <f>'Freeway Corridor Throughput'!E9</f>
        <v>Yes</v>
      </c>
      <c r="F15" s="112"/>
      <c r="G15" s="219">
        <f>IF(C15="Yes", 1, 0)</f>
        <v>1</v>
      </c>
      <c r="H15" s="219">
        <f>IF(D15="Yes", 1, 0)</f>
        <v>1</v>
      </c>
      <c r="I15" s="219">
        <f>IF(E15="Yes", 1, 0)</f>
        <v>1</v>
      </c>
      <c r="J15" s="219">
        <v>0</v>
      </c>
      <c r="K15" s="219">
        <v>0</v>
      </c>
      <c r="L15" s="220">
        <v>0</v>
      </c>
    </row>
    <row r="16" spans="2:21" x14ac:dyDescent="0.2">
      <c r="B16" s="188" t="s">
        <v>184</v>
      </c>
      <c r="C16" s="189">
        <f>IF("Yes" = C15, VLOOKUP("Aux Factor", 'WFRC Cap1hr1ln V8.3'!$K$18:$R$18, 'Throughput Calculations'!C7+1, FALSE), 1)</f>
        <v>1.0850340136054422</v>
      </c>
      <c r="D16" s="189">
        <f>IF("Yes" = D15, VLOOKUP("Aux Factor", 'WFRC Cap1hr1ln V8.3'!$K$18:$R$18, 'Throughput Calculations'!D7+1, FALSE), 1)</f>
        <v>1.0850340136054422</v>
      </c>
      <c r="E16" s="189">
        <f>IF("Yes" = E15, VLOOKUP("Aux Factor", 'WFRC Cap1hr1ln V8.3'!$K$18:$R$18, 'Throughput Calculations'!E7+1, FALSE), 1)</f>
        <v>1.0850340136054422</v>
      </c>
      <c r="F16" s="189"/>
      <c r="G16" s="2"/>
      <c r="H16" s="2"/>
      <c r="I16" s="2"/>
      <c r="J16" s="2"/>
      <c r="K16" s="2"/>
      <c r="L16" s="2"/>
      <c r="P16" s="2">
        <v>1</v>
      </c>
      <c r="Q16" s="2">
        <v>2</v>
      </c>
      <c r="R16" s="2">
        <v>3</v>
      </c>
      <c r="S16" s="2">
        <v>4</v>
      </c>
    </row>
    <row r="17" spans="2:23" x14ac:dyDescent="0.2">
      <c r="O17" s="3" t="s">
        <v>190</v>
      </c>
      <c r="P17" s="29" t="s">
        <v>210</v>
      </c>
      <c r="Q17" s="29" t="s">
        <v>211</v>
      </c>
      <c r="R17" s="29" t="s">
        <v>230</v>
      </c>
      <c r="S17" s="29" t="s">
        <v>235</v>
      </c>
      <c r="V17" s="3" t="s">
        <v>301</v>
      </c>
    </row>
    <row r="18" spans="2:23" ht="25.5" x14ac:dyDescent="0.2">
      <c r="B18" s="29" t="s">
        <v>181</v>
      </c>
      <c r="C18" s="203" t="str">
        <f>'Freeway Corridor Throughput'!C10</f>
        <v>Two-way, both sides</v>
      </c>
      <c r="D18" s="203" t="str">
        <f>'Freeway Corridor Throughput'!D10</f>
        <v>Two-way, both sides</v>
      </c>
      <c r="E18" s="203" t="str">
        <f>'Freeway Corridor Throughput'!E10</f>
        <v>One-way both sides</v>
      </c>
      <c r="F18" s="192"/>
      <c r="G18" s="219">
        <f>VLOOKUP(C18, 'Throughput Calculations'!$O$50:$S$54, G2, FALSE)</f>
        <v>0</v>
      </c>
      <c r="H18" s="219">
        <f>VLOOKUP(D18, 'Throughput Calculations'!$O$50:$S$54, H2, FALSE)</f>
        <v>0</v>
      </c>
      <c r="I18" s="219">
        <f>VLOOKUP(E18, 'Throughput Calculations'!$O$50:$S$54, I2, FALSE)</f>
        <v>2</v>
      </c>
      <c r="J18" s="219">
        <f>VLOOKUP(C18, 'Throughput Calculations'!$O$50:$S$54, J2, FALSE)</f>
        <v>0</v>
      </c>
      <c r="K18" s="219">
        <f>VLOOKUP(D18, 'Throughput Calculations'!$O$50:$S$54, K2, FALSE)</f>
        <v>0</v>
      </c>
      <c r="L18" s="220">
        <f>VLOOKUP(E18, 'Throughput Calculations'!$O$50:$S$54, L2, FALSE)</f>
        <v>2</v>
      </c>
      <c r="O18" s="29" t="s">
        <v>191</v>
      </c>
      <c r="P18" s="260">
        <v>0.6</v>
      </c>
      <c r="Q18" s="2">
        <f>P18</f>
        <v>0.6</v>
      </c>
      <c r="R18" s="2">
        <v>0</v>
      </c>
      <c r="S18" s="2">
        <v>0</v>
      </c>
      <c r="V18" t="str">
        <f>O18&amp;" v "&amp;O18</f>
        <v>No Metering v No Metering</v>
      </c>
      <c r="W18">
        <f>P18-P18</f>
        <v>0</v>
      </c>
    </row>
    <row r="19" spans="2:23" x14ac:dyDescent="0.2">
      <c r="B19" s="29" t="s">
        <v>327</v>
      </c>
      <c r="C19">
        <f>VLOOKUP(C18, $O$49:$P$53, 2, FALSE)</f>
        <v>2400</v>
      </c>
      <c r="D19">
        <f t="shared" ref="D19:E19" si="2">VLOOKUP(D18, $O$49:$P$53, 2, FALSE)</f>
        <v>2400</v>
      </c>
      <c r="E19">
        <f t="shared" si="2"/>
        <v>3400</v>
      </c>
      <c r="O19" s="29" t="s">
        <v>192</v>
      </c>
      <c r="P19" s="2">
        <v>0.75</v>
      </c>
      <c r="Q19" s="2">
        <f>P19</f>
        <v>0.75</v>
      </c>
      <c r="R19" s="2">
        <v>1</v>
      </c>
      <c r="S19" s="2">
        <v>0</v>
      </c>
      <c r="V19" t="str">
        <f>O18&amp;" v "&amp;O19</f>
        <v>No Metering v Traditional, Uncoordinated</v>
      </c>
      <c r="W19">
        <f>P19-P18</f>
        <v>0.15000000000000002</v>
      </c>
    </row>
    <row r="20" spans="2:23" x14ac:dyDescent="0.2">
      <c r="O20" s="29" t="s">
        <v>193</v>
      </c>
      <c r="P20" s="112">
        <v>0.85</v>
      </c>
      <c r="Q20" s="2">
        <f>P20</f>
        <v>0.85</v>
      </c>
      <c r="R20" s="2">
        <v>3</v>
      </c>
      <c r="S20" s="2">
        <v>0</v>
      </c>
      <c r="V20" t="str">
        <f>O18&amp;" v "&amp;O20</f>
        <v>No Metering v Coordinated, Algorithmic</v>
      </c>
      <c r="W20">
        <f>P20-P18</f>
        <v>0.25</v>
      </c>
    </row>
    <row r="21" spans="2:23" x14ac:dyDescent="0.2">
      <c r="B21" s="3" t="s">
        <v>291</v>
      </c>
      <c r="O21" s="29" t="s">
        <v>313</v>
      </c>
      <c r="P21" s="189">
        <f>P19/P$18</f>
        <v>1.25</v>
      </c>
      <c r="Q21" s="189">
        <f>Q19/Q$18</f>
        <v>1.25</v>
      </c>
      <c r="R21" s="2"/>
      <c r="S21" s="2"/>
      <c r="V21" t="str">
        <f>O19&amp;" v "&amp;O19</f>
        <v>Traditional, Uncoordinated v Traditional, Uncoordinated</v>
      </c>
      <c r="W21">
        <f>P19-P19</f>
        <v>0</v>
      </c>
    </row>
    <row r="22" spans="2:23" x14ac:dyDescent="0.2">
      <c r="B22" s="110" t="s">
        <v>342</v>
      </c>
      <c r="O22" s="29" t="s">
        <v>314</v>
      </c>
      <c r="P22" s="189">
        <f>P20/P$18</f>
        <v>1.4166666666666667</v>
      </c>
      <c r="Q22" s="189">
        <f>Q20/Q$18</f>
        <v>1.4166666666666667</v>
      </c>
      <c r="V22" t="str">
        <f>O19&amp;" v "&amp;O20</f>
        <v>Traditional, Uncoordinated v Coordinated, Algorithmic</v>
      </c>
      <c r="W22">
        <f>P20-P19</f>
        <v>9.9999999999999978E-2</v>
      </c>
    </row>
    <row r="23" spans="2:23" ht="25.5" x14ac:dyDescent="0.2">
      <c r="B23" s="29" t="s">
        <v>189</v>
      </c>
      <c r="C23" s="203" t="str">
        <f>'Freeway Corridor Throughput'!C12</f>
        <v>Traditional, Uncoordinated</v>
      </c>
      <c r="D23" s="203" t="str">
        <f>'Freeway Corridor Throughput'!D12</f>
        <v>Traditional, Uncoordinated</v>
      </c>
      <c r="E23" s="203" t="str">
        <f>'Freeway Corridor Throughput'!E12</f>
        <v>Coordinated, Algorithmic</v>
      </c>
      <c r="F23" s="192"/>
      <c r="G23" s="219">
        <f>VLOOKUP($C23, 'Throughput Calculations'!$O$18:$S$21, G$2, FALSE)</f>
        <v>1</v>
      </c>
      <c r="H23" s="219">
        <f>VLOOKUP($D23, 'Throughput Calculations'!$O$18:$S$21, H$2, FALSE)</f>
        <v>1</v>
      </c>
      <c r="I23" s="219">
        <f>VLOOKUP($E23, 'Throughput Calculations'!$O$18:$S$21, I$2, FALSE)</f>
        <v>3</v>
      </c>
      <c r="J23" s="219">
        <f>VLOOKUP($C23, 'Throughput Calculations'!$O$18:$S$21, J$2, FALSE)</f>
        <v>0</v>
      </c>
      <c r="K23" s="219">
        <f>VLOOKUP($D23, 'Throughput Calculations'!$O$18:$S$21, K$2, FALSE)</f>
        <v>0</v>
      </c>
      <c r="L23" s="220">
        <f>VLOOKUP($E23, 'Throughput Calculations'!$O$18:$S$21, L$2, FALSE)</f>
        <v>0</v>
      </c>
      <c r="V23" t="str">
        <f>O20&amp;" v "&amp;O20</f>
        <v>Coordinated, Algorithmic v Coordinated, Algorithmic</v>
      </c>
      <c r="W23">
        <f>P20-P20</f>
        <v>0</v>
      </c>
    </row>
    <row r="24" spans="2:23" x14ac:dyDescent="0.2">
      <c r="B24" s="188" t="s">
        <v>194</v>
      </c>
      <c r="C24" s="189">
        <f>VLOOKUP(C23, 'Throughput Calculations'!$O$18:$P$20, 2, FALSE)</f>
        <v>0.75</v>
      </c>
      <c r="D24" s="189">
        <f>VLOOKUP(D23, 'Throughput Calculations'!$O$18:$P$20, 2, FALSE)</f>
        <v>0.75</v>
      </c>
      <c r="E24" s="189">
        <f>VLOOKUP(E23, 'Throughput Calculations'!$O$18:$P$20, 2, FALSE)</f>
        <v>0.85</v>
      </c>
      <c r="F24" s="189"/>
      <c r="G24" s="2"/>
      <c r="H24" s="2"/>
      <c r="I24" s="2"/>
      <c r="J24" s="2"/>
      <c r="K24" s="2"/>
      <c r="L24" s="2"/>
      <c r="P24" s="2"/>
      <c r="Q24" s="2"/>
      <c r="R24" s="2"/>
      <c r="S24" s="2"/>
    </row>
    <row r="25" spans="2:23" ht="28.5" customHeight="1" x14ac:dyDescent="0.2">
      <c r="B25" s="188" t="s">
        <v>303</v>
      </c>
      <c r="C25" s="2">
        <f>VLOOKUP("No Metering"&amp;" v "&amp;C23, $V$17:$W$23, 2, FALSE)</f>
        <v>0.15000000000000002</v>
      </c>
      <c r="D25" s="2">
        <f>VLOOKUP($C23&amp;" v "&amp;D23, $V$17:$W$23, 2, FALSE)</f>
        <v>0</v>
      </c>
      <c r="E25" s="2">
        <f>VLOOKUP($C23&amp;" v "&amp;E23, $V$17:$W$23, 2, FALSE)</f>
        <v>9.9999999999999978E-2</v>
      </c>
      <c r="O25" s="3" t="s">
        <v>198</v>
      </c>
      <c r="P25" s="112"/>
      <c r="Q25" s="2"/>
      <c r="R25" s="2"/>
      <c r="S25" s="2"/>
      <c r="V25" s="3" t="s">
        <v>302</v>
      </c>
    </row>
    <row r="26" spans="2:23" x14ac:dyDescent="0.2">
      <c r="B26" s="29" t="s">
        <v>231</v>
      </c>
      <c r="C26" s="203" t="str">
        <f>'Freeway Corridor Throughput'!C13</f>
        <v>Up to 4-min</v>
      </c>
      <c r="D26" s="203" t="str">
        <f>'Freeway Corridor Throughput'!D13</f>
        <v>Up to 6-min</v>
      </c>
      <c r="E26" s="203" t="str">
        <f>'Freeway Corridor Throughput'!E13</f>
        <v>6+, if nec.</v>
      </c>
      <c r="O26" s="29" t="s">
        <v>196</v>
      </c>
      <c r="P26" s="2">
        <v>0</v>
      </c>
      <c r="Q26" s="112"/>
      <c r="R26" s="2">
        <v>0</v>
      </c>
      <c r="S26" s="2">
        <v>0</v>
      </c>
      <c r="V26" t="str">
        <f>O$26&amp;" v "&amp;O26</f>
        <v>No Meters v No Meters</v>
      </c>
      <c r="W26">
        <f>P26-P$26</f>
        <v>0</v>
      </c>
    </row>
    <row r="27" spans="2:23" x14ac:dyDescent="0.2">
      <c r="B27" s="188" t="s">
        <v>304</v>
      </c>
      <c r="C27" s="2">
        <f>VLOOKUP("No Meters"&amp;" v "&amp;C26, $V$25:$W$37, 2, FALSE)</f>
        <v>0.03</v>
      </c>
      <c r="D27" s="2">
        <f>VLOOKUP($C26&amp;" v "&amp;D26, $V$25:$W$37, 2, FALSE)</f>
        <v>0.05</v>
      </c>
      <c r="E27" s="2">
        <f>VLOOKUP($C26&amp;" v "&amp;E26, $V$25:$W$37, 2, FALSE)</f>
        <v>0.09</v>
      </c>
      <c r="O27" s="29" t="s">
        <v>285</v>
      </c>
      <c r="P27" s="2">
        <v>0.03</v>
      </c>
      <c r="Q27" s="2"/>
      <c r="R27" s="2">
        <v>1</v>
      </c>
      <c r="S27" s="2">
        <v>0</v>
      </c>
      <c r="V27" t="str">
        <f>O$26&amp;" v "&amp;O27</f>
        <v>No Meters v Up to 4-min</v>
      </c>
      <c r="W27">
        <f>P27-P$26</f>
        <v>0.03</v>
      </c>
    </row>
    <row r="28" spans="2:23" x14ac:dyDescent="0.2">
      <c r="B28" s="188" t="s">
        <v>312</v>
      </c>
      <c r="C28" s="189">
        <f>C24+C27</f>
        <v>0.78</v>
      </c>
      <c r="D28" s="189">
        <f t="shared" ref="D28:E28" si="3">D24+D27</f>
        <v>0.8</v>
      </c>
      <c r="E28" s="189">
        <f t="shared" si="3"/>
        <v>0.94</v>
      </c>
      <c r="O28" s="29" t="s">
        <v>286</v>
      </c>
      <c r="P28" s="2">
        <v>0.08</v>
      </c>
      <c r="Q28" s="2"/>
      <c r="R28" s="2">
        <v>2</v>
      </c>
      <c r="S28" s="2">
        <v>0</v>
      </c>
      <c r="V28" t="str">
        <f>O$26&amp;" v "&amp;O28</f>
        <v>No Meters v Up to 6-min</v>
      </c>
      <c r="W28">
        <f>P28-P$26</f>
        <v>0.08</v>
      </c>
    </row>
    <row r="29" spans="2:23" ht="26.25" customHeight="1" x14ac:dyDescent="0.2">
      <c r="B29" s="188" t="s">
        <v>315</v>
      </c>
      <c r="C29" s="189">
        <f>(C28-$P$18)/$P$18</f>
        <v>0.3000000000000001</v>
      </c>
      <c r="D29" s="189">
        <f>(D28-$P$18)/$P$18</f>
        <v>0.33333333333333348</v>
      </c>
      <c r="E29" s="189">
        <f t="shared" ref="E29" si="4">(E28-$P$18)/$P$18</f>
        <v>0.56666666666666665</v>
      </c>
      <c r="O29" s="29" t="s">
        <v>199</v>
      </c>
      <c r="P29" s="2">
        <v>0.12</v>
      </c>
      <c r="Q29" s="2"/>
      <c r="R29" s="2">
        <v>3</v>
      </c>
      <c r="S29" s="2">
        <v>0</v>
      </c>
      <c r="V29" t="str">
        <f>O$26&amp;" v "&amp;O29</f>
        <v>No Meters v 6+, if nec.</v>
      </c>
      <c r="W29">
        <f>P29-P$26</f>
        <v>0.12</v>
      </c>
    </row>
    <row r="30" spans="2:23" ht="25.5" x14ac:dyDescent="0.2">
      <c r="B30" s="29" t="s">
        <v>180</v>
      </c>
      <c r="C30" s="203" t="str">
        <f>'Freeway Corridor Throughput'!C14</f>
        <v>None</v>
      </c>
      <c r="D30" s="203" t="str">
        <f>'Freeway Corridor Throughput'!D14</f>
        <v>Full Fwy, limit $max</v>
      </c>
      <c r="E30" s="203" t="str">
        <f>'Freeway Corridor Throughput'!E14</f>
        <v>Full Fwy, no $Limit</v>
      </c>
      <c r="F30" s="192"/>
      <c r="G30" s="219">
        <f>IF("No Metering" = C23, 0, VLOOKUP($C26, 'Throughput Calculations'!$O$26:$S$30, G$2, FALSE))</f>
        <v>1</v>
      </c>
      <c r="H30" s="219">
        <f>IF("No Metering" = D23, 0, VLOOKUP($D26, 'Throughput Calculations'!$O$26:$S$30, H$2, FALSE))</f>
        <v>2</v>
      </c>
      <c r="I30" s="219">
        <f>IF("No Metering" = G23, 0, VLOOKUP($E26, 'Throughput Calculations'!$O$26:$S$30, I$2, FALSE))</f>
        <v>3</v>
      </c>
      <c r="J30" s="219">
        <f>IF("No Metering" = G23, 0, VLOOKUP($C26, 'Throughput Calculations'!$O$26:$S$30, J$2, FALSE))</f>
        <v>0</v>
      </c>
      <c r="K30" s="219">
        <f>IF("No Metering" = H23, 0, VLOOKUP($D26, 'Throughput Calculations'!$O$26:$S$30, K$2, FALSE))</f>
        <v>0</v>
      </c>
      <c r="L30" s="220">
        <f>IF("No Metering" = I23, 0, VLOOKUP($E26, 'Throughput Calculations'!$O$26:$S$30, L$2, FALSE))</f>
        <v>0</v>
      </c>
      <c r="P30" s="2"/>
      <c r="Q30" s="2"/>
      <c r="R30" s="2"/>
      <c r="S30" s="2"/>
      <c r="V30" t="str">
        <f>O$27&amp;" v "&amp;O27</f>
        <v>Up to 4-min v Up to 4-min</v>
      </c>
      <c r="W30">
        <f>P27-P$27</f>
        <v>0</v>
      </c>
    </row>
    <row r="31" spans="2:23" x14ac:dyDescent="0.2">
      <c r="B31" s="188" t="s">
        <v>307</v>
      </c>
      <c r="C31" s="189">
        <f>VLOOKUP(C30, 'Throughput Calculations'!$O$32:$P$35, 2, FALSE)</f>
        <v>0.6</v>
      </c>
      <c r="D31" s="189">
        <f>VLOOKUP(D30, 'Throughput Calculations'!$O$32:$P$35, 2, FALSE)</f>
        <v>0.85</v>
      </c>
      <c r="E31" s="189">
        <f>VLOOKUP(E30, 'Throughput Calculations'!$O$32:$P$35, 2, FALSE)</f>
        <v>0.95</v>
      </c>
      <c r="F31" s="189"/>
      <c r="G31" s="2"/>
      <c r="H31" s="2"/>
      <c r="I31" s="2"/>
      <c r="J31" s="2"/>
      <c r="K31" s="2"/>
      <c r="L31" s="2"/>
      <c r="O31" s="3" t="s">
        <v>180</v>
      </c>
      <c r="P31" s="2"/>
      <c r="Q31" s="2"/>
      <c r="R31" s="2"/>
      <c r="S31" s="2"/>
      <c r="V31" t="str">
        <f>O$27&amp;" v "&amp;O28</f>
        <v>Up to 4-min v Up to 6-min</v>
      </c>
      <c r="W31">
        <f>P28-P$27</f>
        <v>0.05</v>
      </c>
    </row>
    <row r="32" spans="2:23" x14ac:dyDescent="0.2">
      <c r="B32" s="188" t="s">
        <v>306</v>
      </c>
      <c r="C32" s="2">
        <f>VLOOKUP("None"&amp;" v "&amp;C30, $V$38:$W$49, 2, FALSE)</f>
        <v>0</v>
      </c>
      <c r="D32" s="2">
        <f>VLOOKUP($C30&amp;" v "&amp;D30, $V$38:$W$49, 2, FALSE)</f>
        <v>0.25</v>
      </c>
      <c r="E32" s="2">
        <f>VLOOKUP($C30&amp;" v "&amp;E30, $V$38:$W$49, 2, FALSE)</f>
        <v>0.35</v>
      </c>
      <c r="O32" s="29" t="s">
        <v>137</v>
      </c>
      <c r="P32" s="2">
        <f>P18</f>
        <v>0.6</v>
      </c>
      <c r="Q32" s="2">
        <f>P32</f>
        <v>0.6</v>
      </c>
      <c r="R32" s="2">
        <v>0</v>
      </c>
      <c r="S32" s="2"/>
      <c r="V32" t="str">
        <f>O$27&amp;" v "&amp;O29</f>
        <v>Up to 4-min v 6+, if nec.</v>
      </c>
      <c r="W32">
        <f>P29-P$27</f>
        <v>0.09</v>
      </c>
    </row>
    <row r="33" spans="2:23" x14ac:dyDescent="0.2">
      <c r="B33" s="188" t="s">
        <v>315</v>
      </c>
      <c r="C33" s="189">
        <f>(C31-$P$18)/$P$18</f>
        <v>0</v>
      </c>
      <c r="D33" s="189">
        <f t="shared" ref="D33" si="5">(D31-$P$18)/$P$18</f>
        <v>0.41666666666666669</v>
      </c>
      <c r="E33" s="189">
        <f>(E31-$P$18)/$P$18</f>
        <v>0.58333333333333337</v>
      </c>
      <c r="O33" s="29" t="s">
        <v>200</v>
      </c>
      <c r="P33" s="2">
        <v>0.67</v>
      </c>
      <c r="Q33" s="2">
        <f>P33</f>
        <v>0.67</v>
      </c>
      <c r="R33" s="2">
        <v>1</v>
      </c>
      <c r="S33" s="2">
        <v>1</v>
      </c>
      <c r="V33" t="str">
        <f>O$28&amp;" v "&amp;O28</f>
        <v>Up to 6-min v Up to 6-min</v>
      </c>
      <c r="W33">
        <f>P28-P$28</f>
        <v>0</v>
      </c>
    </row>
    <row r="34" spans="2:23" ht="15" x14ac:dyDescent="0.2">
      <c r="B34" s="188" t="s">
        <v>299</v>
      </c>
      <c r="C34" s="189">
        <f>MAX(C29,C33)</f>
        <v>0.3000000000000001</v>
      </c>
      <c r="D34" s="189">
        <f t="shared" ref="D34:E34" si="6">MAX(D29,D33)</f>
        <v>0.41666666666666669</v>
      </c>
      <c r="E34" s="189">
        <f t="shared" si="6"/>
        <v>0.58333333333333337</v>
      </c>
      <c r="G34" s="219">
        <f>VLOOKUP($C30, 'Throughput Calculations'!$O$32:$S$36, G$2, FALSE)</f>
        <v>0</v>
      </c>
      <c r="H34" s="219">
        <f>VLOOKUP($D30, 'Throughput Calculations'!$O$32:$S$36, H$2, FALSE)</f>
        <v>3</v>
      </c>
      <c r="I34" s="219">
        <f>VLOOKUP($E30, 'Throughput Calculations'!$O$32:$S$36, I$2, FALSE)</f>
        <v>6</v>
      </c>
      <c r="J34" s="219">
        <f>VLOOKUP($C30, 'Throughput Calculations'!$O$32:$S$36, J$2, FALSE)</f>
        <v>0</v>
      </c>
      <c r="K34" s="219">
        <f>VLOOKUP($D30, 'Throughput Calculations'!$O$32:$S$36, K$2, FALSE)</f>
        <v>3</v>
      </c>
      <c r="L34" s="220">
        <f>VLOOKUP($E30, 'Throughput Calculations'!$O$32:$S$36, L$2, FALSE)</f>
        <v>6</v>
      </c>
      <c r="O34" s="29" t="s">
        <v>237</v>
      </c>
      <c r="P34" s="2">
        <v>0.85</v>
      </c>
      <c r="Q34" s="2">
        <f>P34</f>
        <v>0.85</v>
      </c>
      <c r="R34" s="2">
        <v>3</v>
      </c>
      <c r="S34" s="2">
        <v>3</v>
      </c>
      <c r="V34" t="str">
        <f>O$28&amp;" v "&amp;O29</f>
        <v>Up to 6-min v 6+, if nec.</v>
      </c>
      <c r="W34">
        <f>P29-P$28</f>
        <v>3.9999999999999994E-2</v>
      </c>
    </row>
    <row r="35" spans="2:23" x14ac:dyDescent="0.2">
      <c r="B35" s="188"/>
      <c r="E35" s="2"/>
      <c r="G35" s="2"/>
      <c r="H35" s="2"/>
      <c r="I35" s="2"/>
      <c r="J35" s="2"/>
      <c r="K35" s="2"/>
      <c r="L35" s="2"/>
      <c r="O35" s="29" t="s">
        <v>238</v>
      </c>
      <c r="P35" s="2">
        <v>0.95</v>
      </c>
      <c r="Q35" s="2">
        <f>P35</f>
        <v>0.95</v>
      </c>
      <c r="R35" s="2">
        <v>6</v>
      </c>
      <c r="S35" s="2">
        <v>6</v>
      </c>
    </row>
    <row r="36" spans="2:23" x14ac:dyDescent="0.2">
      <c r="B36" s="188"/>
      <c r="D36" s="2"/>
      <c r="E36" s="2"/>
      <c r="G36" s="2"/>
      <c r="H36" s="2"/>
      <c r="I36" s="2"/>
      <c r="J36" s="2"/>
      <c r="K36" s="2"/>
      <c r="L36" s="2"/>
      <c r="P36" s="2"/>
      <c r="Q36" s="2"/>
      <c r="R36" s="2"/>
      <c r="S36" s="2"/>
      <c r="V36" t="str">
        <f>O$29&amp;" v "&amp;O29</f>
        <v>6+, if nec. v 6+, if nec.</v>
      </c>
      <c r="W36">
        <f>P29-P$29</f>
        <v>0</v>
      </c>
    </row>
    <row r="37" spans="2:23" ht="25.5" x14ac:dyDescent="0.2">
      <c r="B37" s="29" t="s">
        <v>228</v>
      </c>
      <c r="C37" s="203" t="str">
        <f>'Freeway Corridor Throughput'!C15</f>
        <v>Arrive Quick, Remove Slow</v>
      </c>
      <c r="D37" s="203" t="str">
        <f>'Freeway Corridor Throughput'!D15</f>
        <v>Arrive Quick, Remove Slow</v>
      </c>
      <c r="E37" s="203" t="str">
        <f>'Freeway Corridor Throughput'!E15</f>
        <v>All Fast: Push, Pull, or Drag</v>
      </c>
      <c r="F37" s="192"/>
      <c r="P37" s="2"/>
      <c r="Q37" s="2"/>
      <c r="R37" s="2"/>
      <c r="S37" s="2"/>
    </row>
    <row r="38" spans="2:23" x14ac:dyDescent="0.2">
      <c r="B38" s="188" t="s">
        <v>229</v>
      </c>
      <c r="C38" s="189">
        <f>VLOOKUP(C37, 'Throughput Calculations'!$O$57:$P$60, 2, FALSE)</f>
        <v>0.05</v>
      </c>
      <c r="D38" s="189">
        <f>VLOOKUP(D37, 'Throughput Calculations'!$O$57:$P$60, 2, FALSE)</f>
        <v>0.05</v>
      </c>
      <c r="E38" s="189">
        <f>VLOOKUP(E37, 'Throughput Calculations'!$O$57:$P$60, 2, FALSE)</f>
        <v>0.1</v>
      </c>
      <c r="F38" s="189"/>
      <c r="P38" s="2"/>
      <c r="Q38" s="2"/>
      <c r="R38" s="2"/>
      <c r="S38" s="2"/>
      <c r="V38" s="3" t="s">
        <v>305</v>
      </c>
    </row>
    <row r="39" spans="2:23" x14ac:dyDescent="0.2">
      <c r="P39" s="2"/>
      <c r="Q39" s="2"/>
      <c r="R39" s="2"/>
      <c r="S39" s="2"/>
      <c r="V39" t="str">
        <f>O$32&amp;" v "&amp;O32</f>
        <v>None v None</v>
      </c>
      <c r="W39">
        <f>P32-P$32</f>
        <v>0</v>
      </c>
    </row>
    <row r="40" spans="2:23" ht="15" x14ac:dyDescent="0.2">
      <c r="B40" s="110" t="s">
        <v>300</v>
      </c>
      <c r="C40" s="258">
        <f>P18*0.95</f>
        <v>0.56999999999999995</v>
      </c>
      <c r="D40" s="258">
        <f>C40</f>
        <v>0.56999999999999995</v>
      </c>
      <c r="E40" s="258">
        <f>D40</f>
        <v>0.56999999999999995</v>
      </c>
      <c r="G40" s="219">
        <f>VLOOKUP($C37, 'Throughput Calculations'!$O$57:$S$60, G$2, FALSE)</f>
        <v>1</v>
      </c>
      <c r="H40" s="219">
        <f>VLOOKUP($D37, 'Throughput Calculations'!$O$57:$S$60, H$2, FALSE)</f>
        <v>1</v>
      </c>
      <c r="I40" s="219">
        <f>VLOOKUP($E37, 'Throughput Calculations'!$O$57:$S$60, I$2, FALSE)</f>
        <v>2</v>
      </c>
      <c r="J40" s="219">
        <f>VLOOKUP($C37, 'Throughput Calculations'!$O$57:$S$60, J$2, FALSE)</f>
        <v>0</v>
      </c>
      <c r="K40" s="219">
        <f>VLOOKUP($D37, 'Throughput Calculations'!$O$57:$S$60, K$2, FALSE)</f>
        <v>0</v>
      </c>
      <c r="L40" s="220">
        <f>VLOOKUP($E37, 'Throughput Calculations'!$O$57:$S$60, L$2, FALSE)</f>
        <v>0</v>
      </c>
      <c r="O40" s="3" t="s">
        <v>205</v>
      </c>
      <c r="P40" s="112" t="s">
        <v>210</v>
      </c>
      <c r="Q40" s="112" t="s">
        <v>211</v>
      </c>
      <c r="R40" s="112" t="s">
        <v>230</v>
      </c>
      <c r="S40" s="112" t="s">
        <v>235</v>
      </c>
      <c r="V40" t="str">
        <f>O$32&amp;" v "&amp;O33</f>
        <v>None v HOT lanes only</v>
      </c>
      <c r="W40">
        <f>P33-P$32</f>
        <v>7.0000000000000062E-2</v>
      </c>
    </row>
    <row r="41" spans="2:23" x14ac:dyDescent="0.2">
      <c r="B41" s="252" t="s">
        <v>316</v>
      </c>
      <c r="C41">
        <f>MROUND((C8*C7*C6)+C14, 100)</f>
        <v>13300</v>
      </c>
      <c r="D41">
        <f t="shared" ref="D41:E41" si="7">MROUND((D8*D7*D6)+D14, 100)</f>
        <v>13400</v>
      </c>
      <c r="E41">
        <f t="shared" si="7"/>
        <v>13500</v>
      </c>
      <c r="G41" s="2"/>
      <c r="H41" s="2"/>
      <c r="I41" s="2"/>
      <c r="J41" s="2"/>
      <c r="K41" s="2"/>
      <c r="L41" s="2"/>
      <c r="O41" s="29" t="s">
        <v>206</v>
      </c>
      <c r="P41" s="2">
        <v>1</v>
      </c>
      <c r="Q41" s="2">
        <v>1</v>
      </c>
      <c r="R41" s="112">
        <v>0</v>
      </c>
      <c r="S41" s="112">
        <v>0</v>
      </c>
      <c r="V41" t="str">
        <f>O$32&amp;" v "&amp;O34</f>
        <v>None v Full Fwy, limit $max</v>
      </c>
      <c r="W41">
        <f>P34-P$32</f>
        <v>0.25</v>
      </c>
    </row>
    <row r="42" spans="2:23" x14ac:dyDescent="0.2">
      <c r="B42" s="252" t="s">
        <v>317</v>
      </c>
      <c r="C42">
        <f>MROUND((C8*C7*C6*C40)+C14, 100)</f>
        <v>8400</v>
      </c>
      <c r="D42">
        <f t="shared" ref="D42:E42" si="8">MROUND((D8*D7*D6*D40)+D14, 100)</f>
        <v>8500</v>
      </c>
      <c r="E42">
        <f t="shared" si="8"/>
        <v>8600</v>
      </c>
      <c r="G42" s="2"/>
      <c r="H42" s="2"/>
      <c r="I42" s="2"/>
      <c r="J42" s="2"/>
      <c r="K42" s="2"/>
      <c r="L42" s="2"/>
      <c r="O42" s="29" t="s">
        <v>207</v>
      </c>
      <c r="P42" s="2">
        <v>1.03</v>
      </c>
      <c r="Q42" s="2">
        <v>1.03</v>
      </c>
      <c r="R42" s="112">
        <v>1</v>
      </c>
      <c r="S42" s="112">
        <v>1</v>
      </c>
      <c r="V42" t="str">
        <f>O$32&amp;" v "&amp;O35</f>
        <v>None v Full Fwy, no $Limit</v>
      </c>
      <c r="W42">
        <f>P35-P$32</f>
        <v>0.35</v>
      </c>
    </row>
    <row r="43" spans="2:23" x14ac:dyDescent="0.2">
      <c r="F43" s="189"/>
      <c r="G43" s="2"/>
      <c r="H43" s="2"/>
      <c r="I43" s="2"/>
      <c r="J43" s="2"/>
      <c r="K43" s="2"/>
      <c r="L43" s="2"/>
      <c r="O43" s="29" t="s">
        <v>208</v>
      </c>
      <c r="P43" s="2"/>
      <c r="Q43" s="2"/>
      <c r="R43" s="112">
        <v>2</v>
      </c>
      <c r="S43" s="2">
        <v>2</v>
      </c>
      <c r="V43" t="str">
        <f>O$33&amp;" v "&amp;O33</f>
        <v>HOT lanes only v HOT lanes only</v>
      </c>
      <c r="W43">
        <f>P33-P$33</f>
        <v>0</v>
      </c>
    </row>
    <row r="44" spans="2:23" x14ac:dyDescent="0.2">
      <c r="O44" s="29" t="s">
        <v>209</v>
      </c>
      <c r="P44" s="2"/>
      <c r="Q44" s="2"/>
      <c r="R44" s="112">
        <v>2</v>
      </c>
      <c r="S44" s="2">
        <v>2</v>
      </c>
      <c r="V44" t="str">
        <f>O$33&amp;" v "&amp;O34</f>
        <v>HOT lanes only v Full Fwy, limit $max</v>
      </c>
      <c r="W44">
        <f>P34-P$33</f>
        <v>0.17999999999999994</v>
      </c>
    </row>
    <row r="45" spans="2:23" x14ac:dyDescent="0.2">
      <c r="B45" s="3" t="s">
        <v>292</v>
      </c>
      <c r="O45" s="29" t="s">
        <v>279</v>
      </c>
      <c r="P45" s="2"/>
      <c r="Q45" s="2"/>
      <c r="R45" s="112">
        <v>4</v>
      </c>
      <c r="S45" s="2">
        <v>4</v>
      </c>
      <c r="V45" t="str">
        <f>O$33&amp;" v "&amp;O35</f>
        <v>HOT lanes only v Full Fwy, no $Limit</v>
      </c>
      <c r="W45">
        <f>P35-P$33</f>
        <v>0.27999999999999992</v>
      </c>
    </row>
    <row r="46" spans="2:23" ht="25.5" x14ac:dyDescent="0.2">
      <c r="B46" s="29" t="s">
        <v>205</v>
      </c>
      <c r="C46" s="203" t="str">
        <f>'Freeway Corridor Throughput'!C18</f>
        <v>Express Buses</v>
      </c>
      <c r="D46" s="203" t="str">
        <f>'Freeway Corridor Throughput'!D18</f>
        <v>Two transit options</v>
      </c>
      <c r="E46" s="203" t="str">
        <f>'Freeway Corridor Throughput'!E18</f>
        <v>Two transit options</v>
      </c>
      <c r="F46" s="192"/>
      <c r="G46" s="219">
        <f>VLOOKUP($C46, 'Throughput Calculations'!$O$41:$S$47, G$2, FALSE)</f>
        <v>1</v>
      </c>
      <c r="H46" s="219">
        <f>VLOOKUP($D46, 'Throughput Calculations'!$O$41:$S$47, H$2, FALSE)</f>
        <v>4</v>
      </c>
      <c r="I46" s="219">
        <f>VLOOKUP($E46, 'Throughput Calculations'!$O$41:$S$47, I$2, FALSE)</f>
        <v>4</v>
      </c>
      <c r="J46" s="219">
        <f>VLOOKUP($C46, 'Throughput Calculations'!$O$41:$S$47, J$2, FALSE)</f>
        <v>1</v>
      </c>
      <c r="K46" s="219">
        <f>VLOOKUP($D46, 'Throughput Calculations'!$O$41:$S$47, K$2, FALSE)</f>
        <v>4</v>
      </c>
      <c r="L46" s="220">
        <f>VLOOKUP($E46, 'Throughput Calculations'!$O$41:$S$47, L$2, FALSE)</f>
        <v>4</v>
      </c>
      <c r="O46" s="29" t="s">
        <v>280</v>
      </c>
      <c r="P46" s="2"/>
      <c r="Q46" s="2"/>
      <c r="R46" s="112">
        <v>6</v>
      </c>
      <c r="S46" s="2">
        <v>6</v>
      </c>
      <c r="V46" t="str">
        <f>O$34&amp;" v "&amp;O34</f>
        <v>Full Fwy, limit $max v Full Fwy, limit $max</v>
      </c>
      <c r="W46">
        <f>P34-P$34</f>
        <v>0</v>
      </c>
    </row>
    <row r="47" spans="2:23" x14ac:dyDescent="0.2">
      <c r="B47" s="188" t="s">
        <v>318</v>
      </c>
      <c r="C47" s="204">
        <f>'Freeway Corridor Throughput'!C19</f>
        <v>600</v>
      </c>
      <c r="D47" s="204">
        <f>'Freeway Corridor Throughput'!D19</f>
        <v>1800</v>
      </c>
      <c r="E47" s="204">
        <f>'Freeway Corridor Throughput'!E19</f>
        <v>1800</v>
      </c>
      <c r="F47" s="191"/>
      <c r="G47" s="2"/>
      <c r="H47" s="2"/>
      <c r="I47" s="2"/>
      <c r="J47" s="2"/>
      <c r="K47" s="2"/>
      <c r="L47" s="2"/>
      <c r="P47" s="2"/>
      <c r="Q47" s="2"/>
      <c r="R47" s="2"/>
      <c r="S47" s="2"/>
      <c r="V47" t="str">
        <f>O$34&amp;" v "&amp;O35</f>
        <v>Full Fwy, limit $max v Full Fwy, no $Limit</v>
      </c>
      <c r="W47">
        <f>P35-P$34</f>
        <v>9.9999999999999978E-2</v>
      </c>
    </row>
    <row r="48" spans="2:23" ht="15" x14ac:dyDescent="0.2">
      <c r="B48" s="188" t="s">
        <v>217</v>
      </c>
      <c r="C48" s="204" t="str">
        <f>'Freeway Corridor Throughput'!C20</f>
        <v>No</v>
      </c>
      <c r="D48" s="204" t="str">
        <f>'Freeway Corridor Throughput'!D20</f>
        <v>Yes</v>
      </c>
      <c r="E48" s="204" t="str">
        <f>'Freeway Corridor Throughput'!E20</f>
        <v>Yes</v>
      </c>
      <c r="F48" s="112"/>
      <c r="G48" s="219">
        <f>IF(C48="Yes", 2, 0)</f>
        <v>0</v>
      </c>
      <c r="H48" s="219">
        <f>IF(D48="Yes", 2, 0)</f>
        <v>2</v>
      </c>
      <c r="I48" s="219">
        <f>IF(E48="Yes", 2, 0)</f>
        <v>2</v>
      </c>
      <c r="J48" s="219">
        <f>IF(C48="Yes", 2, 0)</f>
        <v>0</v>
      </c>
      <c r="K48" s="219">
        <f>IF(D48="Yes", 2, 0)</f>
        <v>2</v>
      </c>
      <c r="L48" s="220">
        <f>IF(E48="Yes", 2, 0)</f>
        <v>2</v>
      </c>
      <c r="P48" s="2"/>
      <c r="Q48" s="2"/>
      <c r="R48" s="2"/>
      <c r="S48" s="2"/>
      <c r="V48" t="str">
        <f>O$35&amp;" v "&amp;O35</f>
        <v>Full Fwy, no $Limit v Full Fwy, no $Limit</v>
      </c>
      <c r="W48">
        <f>P35-P$35</f>
        <v>0</v>
      </c>
    </row>
    <row r="49" spans="1:23" x14ac:dyDescent="0.2">
      <c r="B49" s="193" t="s">
        <v>218</v>
      </c>
      <c r="C49" s="189">
        <f>IF("No"=C48, 1, IF("Yes" = C48, 1+'Freeway Corridor Throughput'!$C$26, 1))</f>
        <v>1</v>
      </c>
      <c r="D49" s="189">
        <f>IF("No"=D48, 1, IF("Yes" = D48, 1+'Freeway Corridor Throughput'!$C$26, 1))</f>
        <v>1.7</v>
      </c>
      <c r="E49" s="189">
        <f>IF("No"=E48, 1, IF("Yes" = E48, 1+'Freeway Corridor Throughput'!$C$26, 1))</f>
        <v>1.7</v>
      </c>
      <c r="F49" s="189"/>
      <c r="G49" s="2"/>
      <c r="H49" s="2"/>
      <c r="I49" s="2"/>
      <c r="J49" s="2"/>
      <c r="K49" s="2"/>
      <c r="L49" s="2"/>
      <c r="O49" s="3" t="s">
        <v>212</v>
      </c>
      <c r="P49" s="112" t="s">
        <v>325</v>
      </c>
      <c r="Q49" s="2"/>
      <c r="R49" s="2"/>
      <c r="S49" s="2"/>
    </row>
    <row r="50" spans="1:23" x14ac:dyDescent="0.2">
      <c r="B50" s="193" t="s">
        <v>219</v>
      </c>
      <c r="C50" s="189">
        <f>IF(C31&gt;= 0.8, 1+'Freeway Corridor Throughput'!$C$27, 1)</f>
        <v>1</v>
      </c>
      <c r="D50" s="189">
        <f>IF(D31&gt;= 0.8, 1+'Freeway Corridor Throughput'!$C$27, 1)</f>
        <v>1.3</v>
      </c>
      <c r="E50" s="189">
        <f>IF(E31&gt;= 0.8, 1+'Freeway Corridor Throughput'!$C$27, 1)</f>
        <v>1.3</v>
      </c>
      <c r="F50" s="189"/>
      <c r="G50" s="2"/>
      <c r="H50" s="2"/>
      <c r="I50" s="2"/>
      <c r="J50" s="2"/>
      <c r="K50" s="2"/>
      <c r="L50" s="2"/>
      <c r="O50" s="29" t="s">
        <v>213</v>
      </c>
      <c r="P50" s="2">
        <v>0</v>
      </c>
      <c r="Q50" s="2"/>
      <c r="R50" s="2">
        <v>-2</v>
      </c>
      <c r="S50" s="2">
        <v>0</v>
      </c>
      <c r="V50" s="3" t="s">
        <v>308</v>
      </c>
    </row>
    <row r="51" spans="1:23" x14ac:dyDescent="0.2">
      <c r="B51" s="188" t="s">
        <v>220</v>
      </c>
      <c r="C51" s="191">
        <f>MROUND(C47*C49*C50, 100)</f>
        <v>600</v>
      </c>
      <c r="D51" s="191">
        <f>MROUND(D47*D49*D50, 100)</f>
        <v>4000</v>
      </c>
      <c r="E51" s="191">
        <f>MROUND(E47*E49*E50, 100)</f>
        <v>4000</v>
      </c>
      <c r="F51" s="191"/>
      <c r="G51" s="2"/>
      <c r="H51" s="2"/>
      <c r="I51" s="2"/>
      <c r="J51" s="2"/>
      <c r="K51" s="2"/>
      <c r="L51" s="2"/>
      <c r="O51" s="29" t="s">
        <v>214</v>
      </c>
      <c r="P51" s="2">
        <f>700+500</f>
        <v>1200</v>
      </c>
      <c r="Q51" s="2"/>
      <c r="R51" s="2">
        <v>-1</v>
      </c>
      <c r="S51" s="2">
        <v>0</v>
      </c>
      <c r="V51" t="str">
        <f>O$57&amp;" v "&amp;O57</f>
        <v>No program or policy v No program or policy</v>
      </c>
      <c r="W51">
        <f>P57-P$57</f>
        <v>0</v>
      </c>
    </row>
    <row r="52" spans="1:23" x14ac:dyDescent="0.2">
      <c r="B52" s="188"/>
      <c r="C52" s="190"/>
      <c r="D52" s="190"/>
      <c r="E52" s="190"/>
      <c r="F52" s="190"/>
      <c r="G52" s="2"/>
      <c r="H52" s="2"/>
      <c r="I52" s="2"/>
      <c r="J52" s="2"/>
      <c r="K52" s="2"/>
      <c r="L52" s="2"/>
      <c r="O52" s="29" t="s">
        <v>215</v>
      </c>
      <c r="P52" s="2">
        <f>P51*2</f>
        <v>2400</v>
      </c>
      <c r="Q52" s="2"/>
      <c r="R52" s="2">
        <v>0</v>
      </c>
      <c r="S52" s="2">
        <v>0</v>
      </c>
      <c r="V52" t="str">
        <f>O$57&amp;" v "&amp;O58</f>
        <v>No program or policy v Arrive Quick, Remove Slow</v>
      </c>
      <c r="W52">
        <f>P58-P$57</f>
        <v>0.05</v>
      </c>
    </row>
    <row r="53" spans="1:23" ht="15" x14ac:dyDescent="0.2">
      <c r="B53" s="29" t="s">
        <v>223</v>
      </c>
      <c r="C53" s="205">
        <f>'Freeway Corridor Throughput'!C21</f>
        <v>1</v>
      </c>
      <c r="D53" s="205">
        <f>'Freeway Corridor Throughput'!D21</f>
        <v>1</v>
      </c>
      <c r="E53" s="205">
        <f>'Freeway Corridor Throughput'!E21</f>
        <v>1.3</v>
      </c>
      <c r="F53" s="191"/>
      <c r="G53" s="219">
        <f>IF(C53&gt;1, 2, 0)</f>
        <v>0</v>
      </c>
      <c r="H53" s="219">
        <f>IF(D53&gt;1, 2, 0)</f>
        <v>0</v>
      </c>
      <c r="I53" s="219">
        <f>IF(E53&gt;1, 2, 0)</f>
        <v>2</v>
      </c>
      <c r="J53" s="219">
        <v>0</v>
      </c>
      <c r="K53" s="219">
        <v>0</v>
      </c>
      <c r="L53" s="220">
        <v>0</v>
      </c>
      <c r="O53" s="29" t="s">
        <v>326</v>
      </c>
      <c r="P53" s="2">
        <f>(1000+1000)+(700+700)</f>
        <v>3400</v>
      </c>
      <c r="Q53" s="2"/>
      <c r="R53" s="2">
        <v>2</v>
      </c>
      <c r="S53" s="2">
        <v>2</v>
      </c>
      <c r="V53" t="str">
        <f>O$57&amp;" v "&amp;O59</f>
        <v>No program or policy v All Fast: Push, Pull, or Drag</v>
      </c>
      <c r="W53">
        <f>P59-P$57</f>
        <v>0.1</v>
      </c>
    </row>
    <row r="54" spans="1:23" x14ac:dyDescent="0.2">
      <c r="B54" s="29"/>
      <c r="C54" s="189"/>
      <c r="D54" s="189"/>
      <c r="E54" s="189"/>
      <c r="O54" s="29"/>
      <c r="P54" s="2"/>
      <c r="Q54" s="2"/>
      <c r="R54" s="2"/>
      <c r="S54" s="2"/>
      <c r="V54" t="str">
        <f>O$58&amp;" v "&amp;O58</f>
        <v>Arrive Quick, Remove Slow v Arrive Quick, Remove Slow</v>
      </c>
      <c r="W54">
        <f>P58-P$58</f>
        <v>0</v>
      </c>
    </row>
    <row r="55" spans="1:23" ht="13.5" thickBot="1" x14ac:dyDescent="0.25">
      <c r="G55" s="2"/>
      <c r="H55" s="2"/>
      <c r="I55" s="2"/>
      <c r="J55" s="2"/>
      <c r="K55" s="2"/>
      <c r="L55" s="2"/>
      <c r="P55" s="2"/>
      <c r="Q55" s="2"/>
      <c r="R55" s="2"/>
      <c r="S55" s="2"/>
      <c r="V55" t="str">
        <f>O$58&amp;" v "&amp;O59</f>
        <v>Arrive Quick, Remove Slow v All Fast: Push, Pull, or Drag</v>
      </c>
      <c r="W55">
        <f>P59-P$58</f>
        <v>0.05</v>
      </c>
    </row>
    <row r="56" spans="1:23" x14ac:dyDescent="0.2">
      <c r="B56" s="29"/>
      <c r="F56" s="261"/>
      <c r="G56" s="262" t="str">
        <f t="shared" ref="G56:L56" si="9">G3</f>
        <v>Base</v>
      </c>
      <c r="H56" s="262" t="str">
        <f t="shared" si="9"/>
        <v>Build</v>
      </c>
      <c r="I56" s="262" t="str">
        <f t="shared" si="9"/>
        <v>Max</v>
      </c>
      <c r="J56" s="262" t="str">
        <f t="shared" si="9"/>
        <v>Base</v>
      </c>
      <c r="K56" s="262" t="str">
        <f t="shared" si="9"/>
        <v>Build</v>
      </c>
      <c r="L56" s="263" t="str">
        <f t="shared" si="9"/>
        <v>Max</v>
      </c>
      <c r="O56" s="259" t="s">
        <v>224</v>
      </c>
      <c r="P56" s="112" t="s">
        <v>210</v>
      </c>
      <c r="Q56" s="112" t="s">
        <v>211</v>
      </c>
      <c r="R56" s="112" t="s">
        <v>230</v>
      </c>
      <c r="S56" s="112" t="s">
        <v>235</v>
      </c>
      <c r="V56" t="str">
        <f>O$59&amp;" v "&amp;O59</f>
        <v>All Fast: Push, Pull, or Drag v All Fast: Push, Pull, or Drag</v>
      </c>
      <c r="W56">
        <f>P59-P$59</f>
        <v>0</v>
      </c>
    </row>
    <row r="57" spans="1:23" x14ac:dyDescent="0.2">
      <c r="B57" s="286" t="s">
        <v>324</v>
      </c>
      <c r="C57" s="189"/>
      <c r="D57" s="189"/>
      <c r="E57" s="189"/>
      <c r="F57" s="264"/>
      <c r="G57" s="2" t="s">
        <v>201</v>
      </c>
      <c r="H57" s="2" t="s">
        <v>201</v>
      </c>
      <c r="I57" s="2" t="s">
        <v>201</v>
      </c>
      <c r="J57" s="2" t="s">
        <v>202</v>
      </c>
      <c r="K57" s="2" t="s">
        <v>202</v>
      </c>
      <c r="L57" s="265" t="s">
        <v>202</v>
      </c>
      <c r="O57" s="250" t="s">
        <v>225</v>
      </c>
      <c r="P57" s="2">
        <v>0</v>
      </c>
      <c r="Q57" s="2"/>
      <c r="R57" s="2">
        <v>0</v>
      </c>
      <c r="S57" s="2">
        <v>0</v>
      </c>
    </row>
    <row r="58" spans="1:23" x14ac:dyDescent="0.2">
      <c r="B58" s="29"/>
      <c r="C58" s="189"/>
      <c r="D58" s="189"/>
      <c r="E58" s="189"/>
      <c r="F58" s="264"/>
      <c r="G58" s="2">
        <f t="shared" ref="G58:L58" si="10">SUM(G7:G55)</f>
        <v>6</v>
      </c>
      <c r="H58" s="2">
        <f t="shared" si="10"/>
        <v>16</v>
      </c>
      <c r="I58" s="2">
        <f t="shared" si="10"/>
        <v>28</v>
      </c>
      <c r="J58" s="2">
        <f t="shared" si="10"/>
        <v>1</v>
      </c>
      <c r="K58" s="2">
        <f t="shared" si="10"/>
        <v>10</v>
      </c>
      <c r="L58" s="265">
        <f t="shared" si="10"/>
        <v>16</v>
      </c>
      <c r="O58" s="250" t="s">
        <v>309</v>
      </c>
      <c r="P58" s="2">
        <v>0.05</v>
      </c>
      <c r="Q58" s="2"/>
      <c r="R58" s="2">
        <v>1</v>
      </c>
      <c r="S58" s="2">
        <v>0</v>
      </c>
    </row>
    <row r="59" spans="1:23" x14ac:dyDescent="0.2">
      <c r="A59" s="3" t="s">
        <v>274</v>
      </c>
      <c r="B59" s="29"/>
      <c r="C59" s="191" t="str">
        <f>C4</f>
        <v>Base</v>
      </c>
      <c r="D59" s="191" t="str">
        <f>D4</f>
        <v>Build</v>
      </c>
      <c r="E59" s="191" t="str">
        <f>E4</f>
        <v>Max</v>
      </c>
      <c r="F59" s="266" t="s">
        <v>239</v>
      </c>
      <c r="I59" s="267">
        <f>100/I58</f>
        <v>3.5714285714285716</v>
      </c>
      <c r="J59" s="267"/>
      <c r="K59" s="267"/>
      <c r="L59" s="268">
        <f>100/L58</f>
        <v>6.25</v>
      </c>
      <c r="O59" s="250" t="s">
        <v>310</v>
      </c>
      <c r="P59" s="2">
        <v>0.1</v>
      </c>
      <c r="Q59" s="2"/>
      <c r="R59" s="2">
        <v>2</v>
      </c>
      <c r="S59" s="2">
        <v>0</v>
      </c>
    </row>
    <row r="60" spans="1:23" x14ac:dyDescent="0.2">
      <c r="B60" s="29" t="s">
        <v>319</v>
      </c>
      <c r="C60" s="200">
        <f>MROUND((C8*C7*C6*C40)+C14, 100)</f>
        <v>8400</v>
      </c>
      <c r="D60" s="200">
        <f>MROUND((D8*D7*D6*D40)+D14, 100)</f>
        <v>8500</v>
      </c>
      <c r="E60" s="200">
        <f>MROUND((E8*E7*E6*E40)+E14, 100)</f>
        <v>8600</v>
      </c>
      <c r="F60" s="266" t="s">
        <v>240</v>
      </c>
      <c r="G60" s="190">
        <f>G58*$I$59</f>
        <v>21.428571428571431</v>
      </c>
      <c r="H60" s="190">
        <f>H58*$I$59</f>
        <v>57.142857142857146</v>
      </c>
      <c r="I60" s="190">
        <f>I58*$I$59</f>
        <v>100</v>
      </c>
      <c r="J60" s="190">
        <f>J58*$L$59</f>
        <v>6.25</v>
      </c>
      <c r="K60" s="190">
        <f>K58*$L$59</f>
        <v>62.5</v>
      </c>
      <c r="L60" s="269">
        <f>L58*$L$59</f>
        <v>100</v>
      </c>
      <c r="O60" s="2"/>
      <c r="P60" s="2"/>
      <c r="Q60" s="2"/>
      <c r="R60" s="2"/>
      <c r="S60" s="2"/>
    </row>
    <row r="61" spans="1:23" x14ac:dyDescent="0.2">
      <c r="B61" s="29" t="s">
        <v>328</v>
      </c>
      <c r="C61" s="200">
        <f>C19</f>
        <v>2400</v>
      </c>
      <c r="D61" s="200">
        <f t="shared" ref="D61:E61" si="11">D19</f>
        <v>2400</v>
      </c>
      <c r="E61" s="200">
        <f t="shared" si="11"/>
        <v>3400</v>
      </c>
      <c r="F61" s="264"/>
      <c r="L61" s="270"/>
      <c r="O61" s="2"/>
      <c r="P61" s="2"/>
      <c r="Q61" s="2"/>
      <c r="R61" s="2"/>
      <c r="S61" s="2"/>
    </row>
    <row r="62" spans="1:23" x14ac:dyDescent="0.2">
      <c r="B62" s="29" t="s">
        <v>329</v>
      </c>
      <c r="C62" s="5">
        <f>C60*C34</f>
        <v>2520.0000000000009</v>
      </c>
      <c r="D62" s="5">
        <f>D60*D34</f>
        <v>3541.666666666667</v>
      </c>
      <c r="E62" s="5">
        <f>E60*E34</f>
        <v>5016.666666666667</v>
      </c>
      <c r="F62" s="264"/>
      <c r="L62" s="270"/>
      <c r="O62" s="112" t="s">
        <v>233</v>
      </c>
      <c r="P62" s="112" t="s">
        <v>210</v>
      </c>
      <c r="Q62" s="112" t="s">
        <v>211</v>
      </c>
      <c r="R62" s="112" t="s">
        <v>230</v>
      </c>
      <c r="S62" s="112" t="s">
        <v>235</v>
      </c>
    </row>
    <row r="63" spans="1:23" x14ac:dyDescent="0.2">
      <c r="B63" s="29" t="s">
        <v>330</v>
      </c>
      <c r="C63" s="5">
        <f>$C60*C38</f>
        <v>420</v>
      </c>
      <c r="D63" s="5">
        <f>$C60*D38</f>
        <v>420</v>
      </c>
      <c r="E63" s="5">
        <f>$C60*E38</f>
        <v>840</v>
      </c>
      <c r="F63" s="271" t="s">
        <v>244</v>
      </c>
      <c r="G63" s="2" t="s">
        <v>241</v>
      </c>
      <c r="H63" s="2">
        <v>0</v>
      </c>
      <c r="I63" s="2">
        <v>21</v>
      </c>
      <c r="J63" s="2">
        <v>41</v>
      </c>
      <c r="K63" s="2">
        <v>61</v>
      </c>
      <c r="L63" s="265">
        <v>81</v>
      </c>
      <c r="O63" s="2">
        <v>1</v>
      </c>
      <c r="P63" s="2">
        <v>0</v>
      </c>
      <c r="Q63" s="2">
        <v>0</v>
      </c>
      <c r="R63" s="2">
        <v>0</v>
      </c>
      <c r="S63" s="2">
        <v>0</v>
      </c>
    </row>
    <row r="64" spans="1:23" x14ac:dyDescent="0.2">
      <c r="B64" s="29" t="s">
        <v>331</v>
      </c>
      <c r="C64" s="200">
        <f>(C16-1)*C$8*C$6*C$7</f>
        <v>979.99999999999977</v>
      </c>
      <c r="D64" s="200">
        <f>(D16-1)*D$8*D$6*D$7</f>
        <v>979.99999999999977</v>
      </c>
      <c r="E64" s="200">
        <f>(E16-1)*E$8*E$6*E$7</f>
        <v>979.99999999999977</v>
      </c>
      <c r="F64" s="271" t="s">
        <v>245</v>
      </c>
      <c r="G64" s="2" t="s">
        <v>91</v>
      </c>
      <c r="H64" s="2">
        <v>20</v>
      </c>
      <c r="I64" s="2">
        <v>40</v>
      </c>
      <c r="J64" s="2">
        <v>60</v>
      </c>
      <c r="K64" s="2">
        <v>80</v>
      </c>
      <c r="L64" s="265">
        <v>100</v>
      </c>
      <c r="O64" s="2"/>
      <c r="P64" s="2"/>
      <c r="Q64" s="2"/>
      <c r="R64" s="2"/>
      <c r="S64" s="2"/>
    </row>
    <row r="65" spans="1:19" x14ac:dyDescent="0.2">
      <c r="B65" s="29" t="s">
        <v>332</v>
      </c>
      <c r="C65" s="200">
        <f>(C53-1)*C$8*C$7*C$6</f>
        <v>0</v>
      </c>
      <c r="D65" s="200">
        <f>(D53-1)*D$8*D$7*D$6</f>
        <v>0</v>
      </c>
      <c r="E65" s="200">
        <f>(E53-1)*E$8*E$7*E$6</f>
        <v>3457.4400000000005</v>
      </c>
      <c r="F65" s="272"/>
      <c r="G65" s="2" t="s">
        <v>242</v>
      </c>
      <c r="H65" s="2" t="str">
        <f>H63&amp;"-"&amp;H64</f>
        <v>0-20</v>
      </c>
      <c r="I65" s="2" t="str">
        <f t="shared" ref="I65:L65" si="12">I63&amp;"-"&amp;I64</f>
        <v>21-40</v>
      </c>
      <c r="J65" s="2" t="str">
        <f t="shared" si="12"/>
        <v>41-60</v>
      </c>
      <c r="K65" s="2" t="str">
        <f t="shared" si="12"/>
        <v>61-80</v>
      </c>
      <c r="L65" s="265" t="str">
        <f t="shared" si="12"/>
        <v>81-100</v>
      </c>
      <c r="O65" s="2">
        <v>2</v>
      </c>
      <c r="P65" s="2">
        <v>0</v>
      </c>
      <c r="Q65" s="2">
        <v>0</v>
      </c>
      <c r="R65" s="2">
        <v>0</v>
      </c>
      <c r="S65" s="2">
        <v>0</v>
      </c>
    </row>
    <row r="66" spans="1:19" x14ac:dyDescent="0.2">
      <c r="B66" s="29" t="s">
        <v>333</v>
      </c>
      <c r="C66" s="200">
        <f>C51</f>
        <v>600</v>
      </c>
      <c r="D66" s="200">
        <f>D51</f>
        <v>4000</v>
      </c>
      <c r="E66" s="200">
        <f>E51</f>
        <v>4000</v>
      </c>
      <c r="F66" s="273" t="s">
        <v>336</v>
      </c>
      <c r="G66" s="2"/>
      <c r="H66" s="274">
        <v>20</v>
      </c>
      <c r="I66" s="275">
        <v>40</v>
      </c>
      <c r="J66" s="276">
        <v>60</v>
      </c>
      <c r="K66" s="277">
        <v>80</v>
      </c>
      <c r="L66" s="278">
        <v>100</v>
      </c>
      <c r="O66" s="2">
        <v>3</v>
      </c>
      <c r="P66" s="2">
        <v>1</v>
      </c>
      <c r="Q66" s="2">
        <v>1</v>
      </c>
      <c r="R66" s="2">
        <v>1</v>
      </c>
      <c r="S66" s="2">
        <v>1</v>
      </c>
    </row>
    <row r="67" spans="1:19" x14ac:dyDescent="0.2">
      <c r="B67" s="29" t="s">
        <v>334</v>
      </c>
      <c r="C67" s="200">
        <f>SUM(C60:C66)</f>
        <v>15320</v>
      </c>
      <c r="D67" s="200">
        <f>SUM(D60:D66)</f>
        <v>19841.666666666668</v>
      </c>
      <c r="E67" s="200">
        <f>SUM(E60:E66)</f>
        <v>26294.106666666667</v>
      </c>
      <c r="F67" s="272" t="s">
        <v>243</v>
      </c>
      <c r="G67" s="191">
        <f>G60</f>
        <v>21.428571428571431</v>
      </c>
      <c r="H67" s="274" t="str">
        <f t="shared" ref="H67:L68" si="13">IF(AND(H$63&lt;=$G67,$G67&lt;=H$64),$G67,"")</f>
        <v/>
      </c>
      <c r="I67" s="275">
        <f t="shared" si="13"/>
        <v>21.428571428571431</v>
      </c>
      <c r="J67" s="276" t="str">
        <f t="shared" si="13"/>
        <v/>
      </c>
      <c r="K67" s="277" t="str">
        <f t="shared" si="13"/>
        <v/>
      </c>
      <c r="L67" s="278" t="str">
        <f t="shared" si="13"/>
        <v/>
      </c>
      <c r="O67" s="112" t="s">
        <v>234</v>
      </c>
      <c r="P67" s="2">
        <v>2</v>
      </c>
      <c r="Q67" s="2">
        <v>2</v>
      </c>
      <c r="R67" s="2">
        <v>2</v>
      </c>
      <c r="S67" s="2">
        <v>2</v>
      </c>
    </row>
    <row r="68" spans="1:19" x14ac:dyDescent="0.2">
      <c r="F68" s="272" t="s">
        <v>204</v>
      </c>
      <c r="G68" s="191">
        <f>H60</f>
        <v>57.142857142857146</v>
      </c>
      <c r="H68" s="274" t="str">
        <f t="shared" si="13"/>
        <v/>
      </c>
      <c r="I68" s="275" t="str">
        <f t="shared" si="13"/>
        <v/>
      </c>
      <c r="J68" s="276">
        <f t="shared" si="13"/>
        <v>57.142857142857146</v>
      </c>
      <c r="K68" s="277" t="str">
        <f t="shared" si="13"/>
        <v/>
      </c>
      <c r="L68" s="278" t="str">
        <f t="shared" si="13"/>
        <v/>
      </c>
      <c r="P68" s="2"/>
      <c r="Q68" s="2"/>
      <c r="R68" s="2"/>
      <c r="S68" s="2"/>
    </row>
    <row r="69" spans="1:19" x14ac:dyDescent="0.2">
      <c r="A69" s="251" t="s">
        <v>323</v>
      </c>
      <c r="F69" s="264"/>
      <c r="L69" s="270"/>
      <c r="O69" s="112" t="s">
        <v>276</v>
      </c>
      <c r="P69" s="112"/>
      <c r="Q69" s="112"/>
      <c r="R69" s="112" t="s">
        <v>230</v>
      </c>
      <c r="S69" s="112" t="s">
        <v>235</v>
      </c>
    </row>
    <row r="70" spans="1:19" x14ac:dyDescent="0.2">
      <c r="A70" s="3" t="s">
        <v>275</v>
      </c>
      <c r="B70" s="29"/>
      <c r="C70" s="191" t="str">
        <f>C59</f>
        <v>Base</v>
      </c>
      <c r="D70" s="191" t="str">
        <f>D59</f>
        <v>Build</v>
      </c>
      <c r="E70" s="191" t="str">
        <f>E59</f>
        <v>Max</v>
      </c>
      <c r="F70" s="264"/>
      <c r="L70" s="270"/>
      <c r="O70" s="2">
        <v>1</v>
      </c>
      <c r="P70" s="2"/>
      <c r="Q70" s="2"/>
      <c r="R70" s="112">
        <v>0</v>
      </c>
      <c r="S70" s="112">
        <v>0</v>
      </c>
    </row>
    <row r="71" spans="1:19" x14ac:dyDescent="0.2">
      <c r="B71" s="29" t="str">
        <f t="shared" ref="B71:B78" si="14">B60</f>
        <v>1: GP+HOV</v>
      </c>
      <c r="C71" s="200">
        <f>IF(C60&gt;0, MROUND(C60, 500), MROUND(C60, -500))</f>
        <v>8500</v>
      </c>
      <c r="D71" s="200">
        <f t="shared" ref="D71:E71" si="15">IF(D60&gt;0, MROUND(D60, 500), MROUND(D60, -500))</f>
        <v>8500</v>
      </c>
      <c r="E71" s="200">
        <f t="shared" si="15"/>
        <v>8500</v>
      </c>
      <c r="F71" s="271" t="s">
        <v>246</v>
      </c>
      <c r="G71" s="2" t="s">
        <v>241</v>
      </c>
      <c r="H71" s="2">
        <v>0</v>
      </c>
      <c r="I71" s="2">
        <v>21</v>
      </c>
      <c r="J71" s="2">
        <v>41</v>
      </c>
      <c r="K71" s="2">
        <v>61</v>
      </c>
      <c r="L71" s="265">
        <v>81</v>
      </c>
      <c r="O71" s="2">
        <v>2</v>
      </c>
      <c r="P71" s="2"/>
      <c r="Q71" s="2"/>
      <c r="R71" s="112">
        <v>0</v>
      </c>
      <c r="S71" s="112">
        <v>0</v>
      </c>
    </row>
    <row r="72" spans="1:19" x14ac:dyDescent="0.2">
      <c r="B72" s="29" t="str">
        <f t="shared" si="14"/>
        <v>2: Frontage Config</v>
      </c>
      <c r="C72" s="200">
        <f t="shared" ref="C72:E72" si="16">IF(C61&gt;0, MROUND(C61, 500), MROUND(C61, -500))</f>
        <v>2500</v>
      </c>
      <c r="D72" s="200">
        <f t="shared" si="16"/>
        <v>2500</v>
      </c>
      <c r="E72" s="200">
        <f t="shared" si="16"/>
        <v>3500</v>
      </c>
      <c r="F72" s="271" t="s">
        <v>245</v>
      </c>
      <c r="G72" s="2" t="s">
        <v>91</v>
      </c>
      <c r="H72" s="2">
        <v>20</v>
      </c>
      <c r="I72" s="2">
        <v>40</v>
      </c>
      <c r="J72" s="2">
        <v>60</v>
      </c>
      <c r="K72" s="2">
        <v>80</v>
      </c>
      <c r="L72" s="265">
        <v>100</v>
      </c>
      <c r="O72" s="2">
        <v>3</v>
      </c>
      <c r="P72" s="2"/>
      <c r="Q72" s="2"/>
      <c r="R72" s="112">
        <v>0</v>
      </c>
      <c r="S72" s="112">
        <v>0</v>
      </c>
    </row>
    <row r="73" spans="1:19" x14ac:dyDescent="0.2">
      <c r="B73" s="29" t="str">
        <f t="shared" si="14"/>
        <v>3: Access Mgt</v>
      </c>
      <c r="C73" s="200">
        <f t="shared" ref="C73:E73" si="17">IF(C62&gt;0, MROUND(C62, 500), MROUND(C62, -500))</f>
        <v>2500</v>
      </c>
      <c r="D73" s="200">
        <f t="shared" si="17"/>
        <v>3500</v>
      </c>
      <c r="E73" s="200">
        <f t="shared" si="17"/>
        <v>5000</v>
      </c>
      <c r="F73" s="272"/>
      <c r="G73" s="2" t="s">
        <v>242</v>
      </c>
      <c r="H73" s="2" t="str">
        <f>H71&amp;"-"&amp;H72</f>
        <v>0-20</v>
      </c>
      <c r="I73" s="2" t="str">
        <f t="shared" ref="I73:L73" si="18">I71&amp;"-"&amp;I72</f>
        <v>21-40</v>
      </c>
      <c r="J73" s="2" t="str">
        <f t="shared" si="18"/>
        <v>41-60</v>
      </c>
      <c r="K73" s="2" t="str">
        <f t="shared" si="18"/>
        <v>61-80</v>
      </c>
      <c r="L73" s="265" t="str">
        <f t="shared" si="18"/>
        <v>81-100</v>
      </c>
      <c r="O73" s="2">
        <v>4</v>
      </c>
      <c r="P73" s="2"/>
      <c r="Q73" s="2"/>
      <c r="R73" s="112">
        <v>0</v>
      </c>
      <c r="S73" s="112">
        <v>-1</v>
      </c>
    </row>
    <row r="74" spans="1:19" x14ac:dyDescent="0.2">
      <c r="B74" s="29" t="str">
        <f t="shared" si="14"/>
        <v>4: Incident Mgt</v>
      </c>
      <c r="C74" s="200">
        <f t="shared" ref="C74:E74" si="19">IF(C63&gt;0, MROUND(C63, 500), MROUND(C63, -500))</f>
        <v>500</v>
      </c>
      <c r="D74" s="200">
        <f t="shared" si="19"/>
        <v>500</v>
      </c>
      <c r="E74" s="200">
        <f t="shared" si="19"/>
        <v>1000</v>
      </c>
      <c r="F74" s="273" t="str">
        <f>F66</f>
        <v>Poor (Red), Great (Green)</v>
      </c>
      <c r="G74" s="2"/>
      <c r="H74" s="274">
        <v>20</v>
      </c>
      <c r="I74" s="275">
        <v>40</v>
      </c>
      <c r="J74" s="276">
        <v>60</v>
      </c>
      <c r="K74" s="277">
        <v>80</v>
      </c>
      <c r="L74" s="278">
        <v>100</v>
      </c>
      <c r="O74" s="2">
        <v>5</v>
      </c>
      <c r="P74" s="2"/>
      <c r="Q74" s="2"/>
      <c r="R74" s="112">
        <v>-1</v>
      </c>
      <c r="S74" s="112">
        <v>-2</v>
      </c>
    </row>
    <row r="75" spans="1:19" x14ac:dyDescent="0.2">
      <c r="B75" s="29" t="str">
        <f t="shared" si="14"/>
        <v>5: Aux Lanes</v>
      </c>
      <c r="C75" s="200">
        <f t="shared" ref="C75:E75" si="20">IF(C64&gt;0, MROUND(C64, 500), MROUND(C64, -500))</f>
        <v>1000</v>
      </c>
      <c r="D75" s="200">
        <f t="shared" si="20"/>
        <v>1000</v>
      </c>
      <c r="E75" s="200">
        <f t="shared" si="20"/>
        <v>1000</v>
      </c>
      <c r="F75" s="272" t="s">
        <v>243</v>
      </c>
      <c r="G75" s="191">
        <f>J60</f>
        <v>6.25</v>
      </c>
      <c r="H75" s="274">
        <f t="shared" ref="H75:L76" si="21">IF(AND(H$63&lt;=$G75,$G75&lt;=H$64),$G75,"")</f>
        <v>6.25</v>
      </c>
      <c r="I75" s="275" t="str">
        <f t="shared" si="21"/>
        <v/>
      </c>
      <c r="J75" s="276" t="str">
        <f t="shared" si="21"/>
        <v/>
      </c>
      <c r="K75" s="277" t="str">
        <f t="shared" si="21"/>
        <v/>
      </c>
      <c r="L75" s="278" t="str">
        <f t="shared" si="21"/>
        <v/>
      </c>
      <c r="O75" s="2">
        <v>6</v>
      </c>
      <c r="P75" s="2"/>
      <c r="Q75" s="2"/>
      <c r="R75" s="112">
        <v>-2</v>
      </c>
      <c r="S75" s="112">
        <v>-3</v>
      </c>
    </row>
    <row r="76" spans="1:19" ht="13.5" thickBot="1" x14ac:dyDescent="0.25">
      <c r="B76" s="29" t="str">
        <f t="shared" si="14"/>
        <v>6: CAV</v>
      </c>
      <c r="C76" s="200">
        <f t="shared" ref="C76:E76" si="22">IF(C65&gt;0, MROUND(C65, 500), MROUND(C65, -500))</f>
        <v>0</v>
      </c>
      <c r="D76" s="200">
        <f t="shared" si="22"/>
        <v>0</v>
      </c>
      <c r="E76" s="200">
        <f t="shared" si="22"/>
        <v>3500</v>
      </c>
      <c r="F76" s="279" t="s">
        <v>204</v>
      </c>
      <c r="G76" s="280">
        <f>K60</f>
        <v>62.5</v>
      </c>
      <c r="H76" s="281" t="str">
        <f t="shared" si="21"/>
        <v/>
      </c>
      <c r="I76" s="282" t="str">
        <f t="shared" si="21"/>
        <v/>
      </c>
      <c r="J76" s="283" t="str">
        <f t="shared" si="21"/>
        <v/>
      </c>
      <c r="K76" s="284">
        <f t="shared" si="21"/>
        <v>62.5</v>
      </c>
      <c r="L76" s="285" t="str">
        <f t="shared" si="21"/>
        <v/>
      </c>
      <c r="O76" s="2">
        <v>7</v>
      </c>
      <c r="P76" s="2"/>
      <c r="Q76" s="2"/>
      <c r="R76" s="112">
        <v>-3</v>
      </c>
      <c r="S76" s="112">
        <v>-4</v>
      </c>
    </row>
    <row r="77" spans="1:19" x14ac:dyDescent="0.2">
      <c r="B77" s="29" t="str">
        <f t="shared" si="14"/>
        <v>7: Transit</v>
      </c>
      <c r="C77" s="200">
        <f t="shared" ref="C77:E77" si="23">IF(C66&gt;0, MROUND(C66, 500), MROUND(C66, -500))</f>
        <v>500</v>
      </c>
      <c r="D77" s="200">
        <f t="shared" si="23"/>
        <v>4000</v>
      </c>
      <c r="E77" s="200">
        <f t="shared" si="23"/>
        <v>4000</v>
      </c>
      <c r="P77" s="2"/>
      <c r="Q77" s="2"/>
      <c r="R77" s="2"/>
      <c r="S77" s="2"/>
    </row>
    <row r="78" spans="1:19" x14ac:dyDescent="0.2">
      <c r="B78" s="29" t="str">
        <f t="shared" si="14"/>
        <v>8: Sum</v>
      </c>
      <c r="C78" s="200">
        <f t="shared" ref="C78:E78" si="24">IF(C67&gt;0, MROUND(C67, 500), MROUND(C67, -500))</f>
        <v>15500</v>
      </c>
      <c r="D78" s="200">
        <f t="shared" si="24"/>
        <v>20000</v>
      </c>
      <c r="E78" s="200">
        <f t="shared" si="24"/>
        <v>26500</v>
      </c>
      <c r="P78" s="2"/>
      <c r="Q78" s="2"/>
      <c r="R78" s="2"/>
      <c r="S78" s="2"/>
    </row>
    <row r="79" spans="1:19" x14ac:dyDescent="0.2">
      <c r="P79" s="2"/>
      <c r="Q79" s="2"/>
      <c r="R79" s="2"/>
      <c r="S79" s="2"/>
    </row>
    <row r="80" spans="1:19" x14ac:dyDescent="0.2">
      <c r="B80" s="29" t="s">
        <v>341</v>
      </c>
      <c r="C80" s="199">
        <f>(C78/$C$78)-1</f>
        <v>0</v>
      </c>
      <c r="D80" s="199">
        <f>(D78/$C$78)-1</f>
        <v>0.29032258064516125</v>
      </c>
      <c r="E80" s="199">
        <f>(E78/$C$78)-1</f>
        <v>0.70967741935483875</v>
      </c>
      <c r="F80" s="29" t="s">
        <v>335</v>
      </c>
      <c r="O80" s="3" t="s">
        <v>253</v>
      </c>
      <c r="P80" s="112" t="s">
        <v>210</v>
      </c>
      <c r="Q80" s="112" t="s">
        <v>211</v>
      </c>
      <c r="R80" s="112" t="s">
        <v>230</v>
      </c>
      <c r="S80" s="112" t="s">
        <v>235</v>
      </c>
    </row>
    <row r="81" spans="1:19" x14ac:dyDescent="0.2">
      <c r="O81" s="29" t="s">
        <v>248</v>
      </c>
      <c r="P81" s="2">
        <v>1</v>
      </c>
      <c r="Q81" s="2">
        <v>1</v>
      </c>
      <c r="R81" s="112">
        <v>0</v>
      </c>
      <c r="S81" s="112">
        <v>0</v>
      </c>
    </row>
    <row r="82" spans="1:19" x14ac:dyDescent="0.2">
      <c r="A82" s="3" t="s">
        <v>311</v>
      </c>
      <c r="G82" s="2">
        <v>4</v>
      </c>
      <c r="H82" s="2">
        <v>4</v>
      </c>
      <c r="I82" s="2">
        <v>4</v>
      </c>
      <c r="J82" s="2">
        <v>5</v>
      </c>
      <c r="K82" s="2">
        <v>5</v>
      </c>
      <c r="L82" s="2">
        <v>5</v>
      </c>
      <c r="O82" s="29" t="s">
        <v>249</v>
      </c>
      <c r="P82" s="2">
        <v>1.03</v>
      </c>
      <c r="Q82" s="2">
        <v>1.03</v>
      </c>
      <c r="R82" s="112">
        <v>1</v>
      </c>
      <c r="S82" s="112">
        <v>1</v>
      </c>
    </row>
    <row r="83" spans="1:19" x14ac:dyDescent="0.2">
      <c r="B83" s="29"/>
      <c r="C83" s="2"/>
      <c r="D83" s="2"/>
      <c r="E83" s="2"/>
      <c r="G83" s="2" t="s">
        <v>203</v>
      </c>
      <c r="H83" s="2" t="s">
        <v>204</v>
      </c>
      <c r="I83" s="112" t="s">
        <v>236</v>
      </c>
      <c r="J83" s="2" t="s">
        <v>203</v>
      </c>
      <c r="K83" s="2" t="s">
        <v>204</v>
      </c>
      <c r="L83" s="112" t="s">
        <v>236</v>
      </c>
      <c r="O83" s="29" t="s">
        <v>250</v>
      </c>
      <c r="P83" s="2"/>
      <c r="Q83" s="2"/>
      <c r="R83" s="112">
        <v>2</v>
      </c>
      <c r="S83" s="2">
        <v>2</v>
      </c>
    </row>
    <row r="84" spans="1:19" x14ac:dyDescent="0.2">
      <c r="C84" s="112" t="s">
        <v>203</v>
      </c>
      <c r="D84" s="112" t="s">
        <v>204</v>
      </c>
      <c r="E84" s="112" t="s">
        <v>236</v>
      </c>
      <c r="G84" s="2" t="s">
        <v>201</v>
      </c>
      <c r="H84" s="2" t="s">
        <v>201</v>
      </c>
      <c r="I84" s="2" t="s">
        <v>201</v>
      </c>
      <c r="J84" s="2" t="s">
        <v>202</v>
      </c>
      <c r="K84" s="2" t="s">
        <v>202</v>
      </c>
      <c r="L84" s="2" t="s">
        <v>202</v>
      </c>
      <c r="O84" s="29" t="s">
        <v>251</v>
      </c>
      <c r="P84" s="2"/>
      <c r="Q84" s="2"/>
      <c r="R84" s="112">
        <v>3</v>
      </c>
      <c r="S84" s="2">
        <v>3</v>
      </c>
    </row>
    <row r="85" spans="1:19" x14ac:dyDescent="0.2">
      <c r="B85" s="29" t="s">
        <v>178</v>
      </c>
      <c r="C85" s="2">
        <v>2</v>
      </c>
      <c r="D85" s="2">
        <v>2</v>
      </c>
      <c r="E85" s="112">
        <f>D85</f>
        <v>2</v>
      </c>
      <c r="G85" s="2">
        <v>0</v>
      </c>
      <c r="H85" s="2">
        <v>0</v>
      </c>
      <c r="I85" s="2">
        <v>0</v>
      </c>
      <c r="J85" s="2">
        <v>0</v>
      </c>
      <c r="K85" s="2">
        <v>0</v>
      </c>
      <c r="L85" s="2">
        <v>0</v>
      </c>
      <c r="O85" s="29" t="s">
        <v>252</v>
      </c>
      <c r="P85" s="2"/>
      <c r="Q85" s="2"/>
      <c r="R85" s="112">
        <v>3</v>
      </c>
      <c r="S85" s="2">
        <v>3</v>
      </c>
    </row>
    <row r="86" spans="1:19" x14ac:dyDescent="0.2">
      <c r="B86" s="188" t="s">
        <v>182</v>
      </c>
      <c r="C86" s="191">
        <f>VLOOKUP(3, 'WFRC Cap1hr1ln V8.3'!$A:$I, 'Throughput Calculations'!C85+2, FALSE)</f>
        <v>814.84919999999988</v>
      </c>
      <c r="D86" s="191">
        <f>VLOOKUP(3, 'WFRC Cap1hr1ln V8.3'!$A:$I, 'Throughput Calculations'!D85+2, FALSE)</f>
        <v>814.84919999999988</v>
      </c>
      <c r="E86" s="191">
        <f>VLOOKUP(3, 'WFRC Cap1hr1ln V8.3'!$A:$I, 'Throughput Calculations'!E85+2, FALSE)</f>
        <v>814.84919999999988</v>
      </c>
      <c r="G86" s="2"/>
      <c r="H86" s="2"/>
      <c r="I86" s="2"/>
      <c r="J86" s="2"/>
      <c r="K86" s="2"/>
      <c r="L86" s="2"/>
      <c r="O86" s="29" t="s">
        <v>254</v>
      </c>
      <c r="P86" s="2"/>
      <c r="Q86" s="2"/>
      <c r="R86" s="112">
        <v>4</v>
      </c>
      <c r="S86" s="2">
        <v>4</v>
      </c>
    </row>
    <row r="87" spans="1:19" x14ac:dyDescent="0.2">
      <c r="C87" s="2"/>
      <c r="D87" s="2"/>
      <c r="E87" s="2"/>
      <c r="G87" s="2"/>
      <c r="H87" s="2"/>
      <c r="I87" s="2"/>
      <c r="J87" s="2"/>
      <c r="K87" s="2"/>
      <c r="L87" s="2"/>
      <c r="P87" s="2"/>
      <c r="Q87" s="2"/>
      <c r="R87" s="2"/>
      <c r="S87" s="2"/>
    </row>
    <row r="88" spans="1:19" ht="25.5" x14ac:dyDescent="0.2">
      <c r="B88" s="29" t="s">
        <v>247</v>
      </c>
      <c r="C88" s="192" t="s">
        <v>249</v>
      </c>
      <c r="D88" s="192" t="s">
        <v>250</v>
      </c>
      <c r="E88" s="192" t="s">
        <v>254</v>
      </c>
      <c r="G88" s="2" t="e">
        <f>VLOOKUP($C88, 'Throughput Calculations'!$Y$22:$AC$28, G$82, FALSE)</f>
        <v>#N/A</v>
      </c>
      <c r="H88" s="2" t="e">
        <f>VLOOKUP($D88, 'Throughput Calculations'!$Y$22:$AC$28, H$82, FALSE)</f>
        <v>#N/A</v>
      </c>
      <c r="I88" s="2" t="e">
        <f>VLOOKUP($E88, 'Throughput Calculations'!$Y$22:$AC$28, I$82, FALSE)</f>
        <v>#N/A</v>
      </c>
      <c r="J88" s="2" t="e">
        <f>VLOOKUP($C88, 'Throughput Calculations'!$Y$22:$AC$28, J$82, FALSE)</f>
        <v>#N/A</v>
      </c>
      <c r="K88" s="2" t="e">
        <f>VLOOKUP($D88, 'Throughput Calculations'!$Y$22:$AC$28, K$82, FALSE)</f>
        <v>#N/A</v>
      </c>
      <c r="L88" s="2" t="e">
        <f>VLOOKUP($E88, 'Throughput Calculations'!$Y$22:$AC$28, L$82, FALSE)</f>
        <v>#N/A</v>
      </c>
      <c r="P88" s="2"/>
      <c r="Q88" s="2"/>
      <c r="R88" s="2"/>
      <c r="S88" s="2"/>
    </row>
    <row r="89" spans="1:19" x14ac:dyDescent="0.2">
      <c r="B89" s="188" t="s">
        <v>216</v>
      </c>
      <c r="C89" s="191">
        <v>600</v>
      </c>
      <c r="D89" s="191">
        <v>1800</v>
      </c>
      <c r="E89" s="191">
        <v>1800</v>
      </c>
      <c r="F89" s="191"/>
      <c r="G89" s="2"/>
      <c r="H89" s="2"/>
      <c r="I89" s="2"/>
      <c r="J89" s="2"/>
      <c r="K89" s="2"/>
      <c r="L89" s="2"/>
      <c r="P89" s="2"/>
      <c r="Q89" s="2"/>
      <c r="R89" s="2"/>
      <c r="S89" s="2"/>
    </row>
    <row r="90" spans="1:19" x14ac:dyDescent="0.2">
      <c r="B90" s="188" t="s">
        <v>217</v>
      </c>
      <c r="C90" s="112" t="s">
        <v>188</v>
      </c>
      <c r="D90" s="112" t="s">
        <v>183</v>
      </c>
      <c r="E90" s="112" t="s">
        <v>183</v>
      </c>
      <c r="G90" s="2">
        <f>IF(C90="Yes", 2, 0)</f>
        <v>0</v>
      </c>
      <c r="H90" s="2">
        <f>IF(D90="Yes", 2, 0)</f>
        <v>2</v>
      </c>
      <c r="I90" s="2">
        <f>IF(E90="Yes", 2, 0)</f>
        <v>2</v>
      </c>
      <c r="J90" s="2">
        <f>IF(C90="Yes", 2, 0)</f>
        <v>0</v>
      </c>
      <c r="K90" s="2">
        <f>IF(D90="Yes", 2, 0)</f>
        <v>2</v>
      </c>
      <c r="L90" s="2">
        <f>IF(E90="Yes", 2, 0)</f>
        <v>2</v>
      </c>
      <c r="P90" s="2"/>
      <c r="Q90" s="2"/>
      <c r="R90" s="2"/>
      <c r="S90" s="2"/>
    </row>
    <row r="91" spans="1:19" x14ac:dyDescent="0.2">
      <c r="B91" s="193" t="s">
        <v>257</v>
      </c>
      <c r="C91" s="189">
        <f>IF("No"=C90, 1, IF("Yes" = C90, 1.35, 1))</f>
        <v>1</v>
      </c>
      <c r="D91" s="189">
        <f>IF("No"=D90, 1, IF("Yes" = D90, 1.35, 1))</f>
        <v>1.35</v>
      </c>
      <c r="E91" s="189">
        <f>IF("No"=E90, 1, IF("Yes" = E90, 1.35, 1))</f>
        <v>1.35</v>
      </c>
      <c r="F91" s="191"/>
      <c r="G91" s="2"/>
      <c r="H91" s="2"/>
      <c r="I91" s="2"/>
      <c r="J91" s="2"/>
      <c r="K91" s="2"/>
      <c r="L91" s="2"/>
    </row>
    <row r="92" spans="1:19" x14ac:dyDescent="0.2">
      <c r="B92" s="193" t="s">
        <v>256</v>
      </c>
      <c r="C92" s="194" t="s">
        <v>188</v>
      </c>
      <c r="D92" s="194" t="s">
        <v>183</v>
      </c>
      <c r="E92" s="194" t="s">
        <v>183</v>
      </c>
      <c r="G92" s="2"/>
      <c r="H92" s="2"/>
      <c r="I92" s="2"/>
      <c r="J92" s="2"/>
      <c r="K92" s="2"/>
      <c r="L92" s="2"/>
    </row>
    <row r="93" spans="1:19" x14ac:dyDescent="0.2">
      <c r="B93" s="193" t="s">
        <v>255</v>
      </c>
      <c r="C93" s="189">
        <f>IF(C92="Yes", 1.1, 1)</f>
        <v>1</v>
      </c>
      <c r="D93" s="189">
        <f>IF(D92="Yes", 1.1, 1)</f>
        <v>1.1000000000000001</v>
      </c>
      <c r="E93" s="189">
        <f>IF(E92="Yes", 1.1, 1)</f>
        <v>1.1000000000000001</v>
      </c>
      <c r="G93" s="2"/>
      <c r="H93" s="2"/>
      <c r="I93" s="2"/>
      <c r="J93" s="2"/>
      <c r="K93" s="2"/>
      <c r="L93" s="2"/>
    </row>
    <row r="94" spans="1:19" x14ac:dyDescent="0.2">
      <c r="B94" s="193"/>
      <c r="C94" s="189"/>
      <c r="D94" s="189"/>
      <c r="E94" s="189"/>
      <c r="G94" s="2"/>
      <c r="H94" s="2"/>
      <c r="I94" s="2"/>
      <c r="J94" s="2"/>
      <c r="K94" s="2"/>
      <c r="L94" s="2"/>
    </row>
    <row r="95" spans="1:19" x14ac:dyDescent="0.2">
      <c r="B95" s="188" t="s">
        <v>220</v>
      </c>
      <c r="C95" s="191">
        <f>MROUND(C89*C91*C93, 100)</f>
        <v>600</v>
      </c>
      <c r="D95" s="191">
        <f>MROUND(D89*D91*D93, 100)</f>
        <v>2700</v>
      </c>
      <c r="E95" s="191">
        <f>MROUND(E89*E91*E93, 100)</f>
        <v>2700</v>
      </c>
      <c r="G95" s="2"/>
      <c r="H95" s="2"/>
      <c r="I95" s="2"/>
      <c r="J95" s="2"/>
      <c r="K95" s="2"/>
      <c r="L95" s="2"/>
    </row>
    <row r="96" spans="1:19" x14ac:dyDescent="0.2">
      <c r="B96" s="188" t="s">
        <v>221</v>
      </c>
      <c r="C96" s="190">
        <v>0.9</v>
      </c>
      <c r="D96" s="190">
        <v>0.9</v>
      </c>
      <c r="E96" s="190">
        <v>0.9</v>
      </c>
      <c r="G96" s="2"/>
      <c r="H96" s="2"/>
      <c r="I96" s="2"/>
      <c r="J96" s="2"/>
      <c r="K96" s="2"/>
      <c r="L96" s="2"/>
    </row>
    <row r="97" spans="2:12" x14ac:dyDescent="0.2">
      <c r="B97" s="188" t="s">
        <v>222</v>
      </c>
      <c r="C97" s="191">
        <f>C96*C95</f>
        <v>540</v>
      </c>
      <c r="D97" s="191">
        <f>D96*D95</f>
        <v>2430</v>
      </c>
      <c r="E97" s="191">
        <f>E96*E95</f>
        <v>2430</v>
      </c>
      <c r="G97" s="2"/>
      <c r="H97" s="2"/>
      <c r="I97" s="2"/>
      <c r="J97" s="2"/>
      <c r="K97" s="2"/>
      <c r="L97" s="2"/>
    </row>
    <row r="98" spans="2:12" x14ac:dyDescent="0.2">
      <c r="B98" s="29"/>
      <c r="G98" s="2"/>
      <c r="H98" s="2"/>
      <c r="I98" s="2"/>
      <c r="J98" s="2"/>
      <c r="K98" s="2"/>
      <c r="L98" s="2"/>
    </row>
    <row r="99" spans="2:12" ht="25.5" x14ac:dyDescent="0.2">
      <c r="B99" s="29" t="s">
        <v>181</v>
      </c>
      <c r="C99" s="192" t="s">
        <v>215</v>
      </c>
      <c r="D99" s="192" t="s">
        <v>215</v>
      </c>
      <c r="E99" s="192" t="s">
        <v>215</v>
      </c>
      <c r="G99" s="2"/>
      <c r="H99" s="2"/>
      <c r="I99" s="2"/>
      <c r="J99" s="2"/>
      <c r="K99" s="2"/>
      <c r="L99" s="2"/>
    </row>
    <row r="100" spans="2:12" ht="25.5" x14ac:dyDescent="0.2">
      <c r="B100" s="29" t="s">
        <v>228</v>
      </c>
      <c r="C100" s="192" t="s">
        <v>227</v>
      </c>
      <c r="D100" s="192" t="s">
        <v>226</v>
      </c>
      <c r="E100" s="192" t="s">
        <v>226</v>
      </c>
      <c r="F100" s="2"/>
      <c r="G100" s="2" t="e">
        <f>VLOOKUP($C100, 'Throughput Calculations'!$O$57:$S$60, G$2, FALSE)</f>
        <v>#N/A</v>
      </c>
      <c r="H100" s="2" t="e">
        <f>VLOOKUP($D100, 'Throughput Calculations'!$O$57:$S$60, H$2, FALSE)</f>
        <v>#N/A</v>
      </c>
      <c r="I100" s="2" t="e">
        <f>VLOOKUP($E100, 'Throughput Calculations'!$O$57:$S$60, I$2, FALSE)</f>
        <v>#N/A</v>
      </c>
      <c r="J100" s="2" t="e">
        <f>VLOOKUP($C100, 'Throughput Calculations'!$O$57:$S$60, J$2, FALSE)</f>
        <v>#N/A</v>
      </c>
      <c r="K100" s="2" t="e">
        <f>VLOOKUP($D100, 'Throughput Calculations'!$O$57:$S$60, K$2, FALSE)</f>
        <v>#N/A</v>
      </c>
      <c r="L100" s="2" t="e">
        <f>VLOOKUP($E100, 'Throughput Calculations'!$O$57:$S$60, L$2, FALSE)</f>
        <v>#N/A</v>
      </c>
    </row>
    <row r="101" spans="2:12" x14ac:dyDescent="0.2">
      <c r="F101" s="112"/>
    </row>
    <row r="102" spans="2:12" x14ac:dyDescent="0.2">
      <c r="F102" s="112"/>
    </row>
    <row r="103" spans="2:12" x14ac:dyDescent="0.2">
      <c r="F103" s="191"/>
    </row>
    <row r="104" spans="2:12" x14ac:dyDescent="0.2">
      <c r="F104" s="2"/>
    </row>
    <row r="105" spans="2:12" x14ac:dyDescent="0.2">
      <c r="F105" s="192"/>
    </row>
    <row r="106" spans="2:12" x14ac:dyDescent="0.2">
      <c r="F106" s="191"/>
    </row>
    <row r="107" spans="2:12" x14ac:dyDescent="0.2">
      <c r="F107" s="112"/>
    </row>
    <row r="108" spans="2:12" x14ac:dyDescent="0.2">
      <c r="F108" s="189"/>
    </row>
    <row r="109" spans="2:12" x14ac:dyDescent="0.2">
      <c r="F109" s="194"/>
    </row>
    <row r="110" spans="2:12" x14ac:dyDescent="0.2">
      <c r="F110" s="189"/>
    </row>
    <row r="111" spans="2:12" x14ac:dyDescent="0.2">
      <c r="F111" s="189"/>
    </row>
    <row r="112" spans="2:12" x14ac:dyDescent="0.2">
      <c r="F112" s="191"/>
    </row>
    <row r="113" spans="6:6" x14ac:dyDescent="0.2">
      <c r="F113" s="190"/>
    </row>
    <row r="114" spans="6:6" x14ac:dyDescent="0.2">
      <c r="F114" s="191"/>
    </row>
    <row r="116" spans="6:6" x14ac:dyDescent="0.2">
      <c r="F116" s="192"/>
    </row>
    <row r="117" spans="6:6" x14ac:dyDescent="0.2">
      <c r="F117" s="192"/>
    </row>
  </sheetData>
  <dataConsolidate/>
  <conditionalFormatting sqref="G7:L7">
    <cfRule type="cellIs" dxfId="47" priority="51" operator="equal">
      <formula>1</formula>
    </cfRule>
    <cfRule type="cellIs" dxfId="46" priority="50" operator="greaterThan">
      <formula>1</formula>
    </cfRule>
    <cfRule type="cellIs" dxfId="45" priority="49" operator="greaterThan">
      <formula>3</formula>
    </cfRule>
    <cfRule type="cellIs" dxfId="44" priority="52" operator="lessThan">
      <formula>0</formula>
    </cfRule>
  </conditionalFormatting>
  <conditionalFormatting sqref="G10:L10">
    <cfRule type="cellIs" dxfId="43" priority="46" operator="greaterThan">
      <formula>1</formula>
    </cfRule>
    <cfRule type="cellIs" dxfId="42" priority="48" operator="lessThan">
      <formula>0</formula>
    </cfRule>
    <cfRule type="cellIs" dxfId="41" priority="47" operator="equal">
      <formula>1</formula>
    </cfRule>
    <cfRule type="cellIs" dxfId="40" priority="45" operator="greaterThan">
      <formula>3</formula>
    </cfRule>
  </conditionalFormatting>
  <conditionalFormatting sqref="G12:L12">
    <cfRule type="cellIs" dxfId="39" priority="44" operator="lessThan">
      <formula>0</formula>
    </cfRule>
    <cfRule type="cellIs" dxfId="38" priority="43" operator="equal">
      <formula>1</formula>
    </cfRule>
    <cfRule type="cellIs" dxfId="37" priority="42" operator="greaterThan">
      <formula>1</formula>
    </cfRule>
    <cfRule type="cellIs" dxfId="36" priority="41" operator="greaterThan">
      <formula>3</formula>
    </cfRule>
  </conditionalFormatting>
  <conditionalFormatting sqref="G15:L15">
    <cfRule type="cellIs" dxfId="35" priority="37" operator="greaterThan">
      <formula>3</formula>
    </cfRule>
    <cfRule type="cellIs" dxfId="34" priority="40" operator="lessThan">
      <formula>0</formula>
    </cfRule>
    <cfRule type="cellIs" dxfId="33" priority="39" operator="equal">
      <formula>1</formula>
    </cfRule>
    <cfRule type="cellIs" dxfId="32" priority="38" operator="greaterThan">
      <formula>1</formula>
    </cfRule>
  </conditionalFormatting>
  <conditionalFormatting sqref="G18:L18">
    <cfRule type="cellIs" dxfId="31" priority="36" operator="lessThan">
      <formula>0</formula>
    </cfRule>
    <cfRule type="cellIs" dxfId="30" priority="34" operator="greaterThan">
      <formula>1</formula>
    </cfRule>
    <cfRule type="cellIs" dxfId="29" priority="33" operator="greaterThan">
      <formula>3</formula>
    </cfRule>
    <cfRule type="cellIs" dxfId="28" priority="35" operator="equal">
      <formula>1</formula>
    </cfRule>
  </conditionalFormatting>
  <conditionalFormatting sqref="G23:L23">
    <cfRule type="cellIs" dxfId="27" priority="29" operator="greaterThan">
      <formula>3</formula>
    </cfRule>
    <cfRule type="cellIs" dxfId="26" priority="30" operator="greaterThan">
      <formula>1</formula>
    </cfRule>
    <cfRule type="cellIs" dxfId="25" priority="31" operator="equal">
      <formula>1</formula>
    </cfRule>
    <cfRule type="cellIs" dxfId="24" priority="32" operator="lessThan">
      <formula>0</formula>
    </cfRule>
  </conditionalFormatting>
  <conditionalFormatting sqref="G30:L30">
    <cfRule type="cellIs" dxfId="23" priority="28" operator="lessThan">
      <formula>0</formula>
    </cfRule>
    <cfRule type="cellIs" dxfId="22" priority="27" operator="equal">
      <formula>1</formula>
    </cfRule>
    <cfRule type="cellIs" dxfId="21" priority="26" operator="greaterThan">
      <formula>1</formula>
    </cfRule>
    <cfRule type="cellIs" dxfId="20" priority="25" operator="greaterThan">
      <formula>3</formula>
    </cfRule>
  </conditionalFormatting>
  <conditionalFormatting sqref="G34:L34">
    <cfRule type="cellIs" dxfId="19" priority="23" operator="equal">
      <formula>1</formula>
    </cfRule>
    <cfRule type="cellIs" dxfId="18" priority="24" operator="lessThan">
      <formula>0</formula>
    </cfRule>
    <cfRule type="cellIs" dxfId="17" priority="22" operator="greaterThan">
      <formula>1</formula>
    </cfRule>
    <cfRule type="cellIs" dxfId="16" priority="21" operator="greaterThan">
      <formula>3</formula>
    </cfRule>
  </conditionalFormatting>
  <conditionalFormatting sqref="G40:L40">
    <cfRule type="cellIs" dxfId="15" priority="17" operator="greaterThan">
      <formula>3</formula>
    </cfRule>
    <cfRule type="cellIs" dxfId="14" priority="20" operator="lessThan">
      <formula>0</formula>
    </cfRule>
    <cfRule type="cellIs" dxfId="13" priority="19" operator="equal">
      <formula>1</formula>
    </cfRule>
    <cfRule type="cellIs" dxfId="12" priority="18" operator="greaterThan">
      <formula>1</formula>
    </cfRule>
  </conditionalFormatting>
  <conditionalFormatting sqref="G46:L46">
    <cfRule type="cellIs" dxfId="11" priority="12" operator="lessThan">
      <formula>0</formula>
    </cfRule>
    <cfRule type="cellIs" dxfId="10" priority="11" operator="equal">
      <formula>1</formula>
    </cfRule>
    <cfRule type="cellIs" dxfId="9" priority="10" operator="greaterThan">
      <formula>1</formula>
    </cfRule>
    <cfRule type="cellIs" dxfId="8" priority="9" operator="greaterThan">
      <formula>3</formula>
    </cfRule>
  </conditionalFormatting>
  <conditionalFormatting sqref="G48:L48">
    <cfRule type="cellIs" dxfId="7" priority="7" operator="equal">
      <formula>1</formula>
    </cfRule>
    <cfRule type="cellIs" dxfId="6" priority="8" operator="lessThan">
      <formula>0</formula>
    </cfRule>
    <cfRule type="cellIs" dxfId="5" priority="6" operator="greaterThan">
      <formula>1</formula>
    </cfRule>
    <cfRule type="cellIs" dxfId="4" priority="5" operator="greaterThan">
      <formula>3</formula>
    </cfRule>
  </conditionalFormatting>
  <conditionalFormatting sqref="G53:L53">
    <cfRule type="cellIs" dxfId="3" priority="2" operator="greaterThan">
      <formula>1</formula>
    </cfRule>
    <cfRule type="cellIs" dxfId="2" priority="3" operator="equal">
      <formula>1</formula>
    </cfRule>
    <cfRule type="cellIs" dxfId="1" priority="4" operator="lessThan">
      <formula>0</formula>
    </cfRule>
    <cfRule type="cellIs" dxfId="0" priority="1" operator="greaterThan">
      <formula>3</formula>
    </cfRule>
  </conditionalFormatting>
  <dataValidations count="10">
    <dataValidation type="list" allowBlank="1" showInputMessage="1" showErrorMessage="1" sqref="C15:F15" xr:uid="{5DA9BDD0-F6A5-4483-BF57-DBBAD87F3AAA}">
      <formula1>$Q$1:$Q$2</formula1>
    </dataValidation>
    <dataValidation type="list" allowBlank="1" showInputMessage="1" showErrorMessage="1" sqref="C23:F23" xr:uid="{62BAB2B6-7068-44AC-A54A-160C0713D57F}">
      <formula1>$O$18:$O$21</formula1>
    </dataValidation>
    <dataValidation type="list" allowBlank="1" showInputMessage="1" showErrorMessage="1" sqref="C30:F30" xr:uid="{F4BAED3A-831E-4F3A-B535-E83279422490}">
      <formula1>$O$31:$O$36</formula1>
    </dataValidation>
    <dataValidation type="list" allowBlank="1" showInputMessage="1" showErrorMessage="1" sqref="C46:F46" xr:uid="{C749EF23-D48A-4175-AA82-8665CAF6F87D}">
      <formula1>$O$41:$O$47</formula1>
    </dataValidation>
    <dataValidation type="list" allowBlank="1" showInputMessage="1" showErrorMessage="1" sqref="F117 C37:F37 C100:E100" xr:uid="{534FAB1B-AAAD-4DF5-B1D8-6981F35F7CB1}">
      <formula1>$O$57:$O$60</formula1>
    </dataValidation>
    <dataValidation type="list" allowBlank="1" showInputMessage="1" showErrorMessage="1" sqref="C18:F18" xr:uid="{5409B5DB-A2A5-472F-BEFB-8DF09BB35361}">
      <formula1>$O$50:$O$54</formula1>
    </dataValidation>
    <dataValidation type="list" allowBlank="1" showInputMessage="1" showErrorMessage="1" sqref="C12:F12" xr:uid="{E3503201-EED2-4001-BFBF-751639D40A9D}">
      <formula1>$O$63:$O$67</formula1>
    </dataValidation>
    <dataValidation type="list" allowBlank="1" showInputMessage="1" showErrorMessage="1" sqref="C26:E26" xr:uid="{AE3D287E-57EF-4D1B-9B27-B33F0F8300F7}">
      <formula1>$O$25:$O$30</formula1>
    </dataValidation>
    <dataValidation type="list" allowBlank="1" showInputMessage="1" showErrorMessage="1" sqref="F105 C88:E88" xr:uid="{9DB458B3-9E2A-48C4-A885-3D42E2FF0E56}">
      <formula1>$Y$22:$Y$28</formula1>
    </dataValidation>
    <dataValidation type="list" allowBlank="1" showInputMessage="1" showErrorMessage="1" sqref="F116 C99:E99" xr:uid="{A5E6DBFB-810D-4BC6-B41D-09247266E322}">
      <formula1>$O$50:$O$60</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3DA30-009A-4A69-9AB8-07BBB8E6F297}">
  <sheetPr>
    <tabColor rgb="FFC00000"/>
    <pageSetUpPr autoPageBreaks="0"/>
  </sheetPr>
  <dimension ref="B1:AZ102"/>
  <sheetViews>
    <sheetView showGridLines="0" zoomScale="140" zoomScaleNormal="140" workbookViewId="0">
      <selection activeCell="D39" sqref="D39"/>
    </sheetView>
  </sheetViews>
  <sheetFormatPr defaultColWidth="8.85546875" defaultRowHeight="12.75" x14ac:dyDescent="0.2"/>
  <cols>
    <col min="1" max="1" width="3.42578125" customWidth="1"/>
    <col min="2" max="2" width="15.42578125" customWidth="1"/>
    <col min="5" max="6" width="9.42578125" bestFit="1" customWidth="1"/>
    <col min="12" max="12" width="20.140625" bestFit="1" customWidth="1"/>
    <col min="13" max="13" width="9.140625" bestFit="1" customWidth="1"/>
    <col min="14" max="14" width="7.42578125" bestFit="1" customWidth="1"/>
    <col min="15" max="15" width="13.85546875" bestFit="1" customWidth="1"/>
    <col min="16" max="16" width="10" bestFit="1" customWidth="1"/>
    <col min="17" max="17" width="10.28515625" bestFit="1" customWidth="1"/>
    <col min="18" max="18" width="14.85546875" bestFit="1" customWidth="1"/>
    <col min="19" max="19" width="7.85546875" style="2" customWidth="1"/>
    <col min="20" max="21" width="10.85546875" style="2" customWidth="1"/>
    <col min="22" max="22" width="7.42578125" style="2" customWidth="1"/>
    <col min="23" max="23" width="9.28515625" style="2" customWidth="1"/>
    <col min="24" max="24" width="11.42578125" customWidth="1"/>
    <col min="27" max="27" width="10.28515625" customWidth="1"/>
    <col min="28" max="29" width="4.140625" bestFit="1" customWidth="1"/>
    <col min="30" max="30" width="8.7109375" customWidth="1"/>
    <col min="31" max="31" width="7.42578125" bestFit="1" customWidth="1"/>
    <col min="32" max="32" width="5.42578125" bestFit="1" customWidth="1"/>
    <col min="33" max="33" width="5.140625" customWidth="1"/>
    <col min="34" max="34" width="5.140625" style="2" bestFit="1" customWidth="1"/>
    <col min="35" max="35" width="7.140625" customWidth="1"/>
    <col min="38" max="38" width="17.42578125" customWidth="1"/>
    <col min="39" max="52" width="5" style="2" customWidth="1"/>
    <col min="53" max="55" width="5" customWidth="1"/>
  </cols>
  <sheetData>
    <row r="1" spans="2:26" ht="98.25" customHeight="1" x14ac:dyDescent="0.2"/>
    <row r="2" spans="2:26" s="1" customFormat="1" ht="13.5" thickBot="1" x14ac:dyDescent="0.25">
      <c r="B2" s="171" t="s">
        <v>262</v>
      </c>
      <c r="R2" s="3" t="s">
        <v>158</v>
      </c>
      <c r="S2" s="2"/>
      <c r="T2" s="2"/>
      <c r="U2" s="2"/>
      <c r="V2" s="2"/>
      <c r="W2" s="2"/>
      <c r="X2"/>
      <c r="Y2"/>
      <c r="Z2"/>
    </row>
    <row r="3" spans="2:26" s="1" customFormat="1" ht="26.25" thickBot="1" x14ac:dyDescent="0.25">
      <c r="B3" s="169" t="s">
        <v>164</v>
      </c>
      <c r="C3" s="170" t="s">
        <v>165</v>
      </c>
      <c r="D3" s="170" t="s">
        <v>166</v>
      </c>
      <c r="E3" s="170" t="s">
        <v>167</v>
      </c>
      <c r="F3" s="170">
        <v>8</v>
      </c>
      <c r="G3" s="102">
        <v>10</v>
      </c>
      <c r="H3" s="102">
        <v>12</v>
      </c>
      <c r="I3" s="103">
        <v>14</v>
      </c>
      <c r="R3" s="150" t="s">
        <v>143</v>
      </c>
      <c r="S3" s="152" t="s">
        <v>154</v>
      </c>
      <c r="T3" s="151" t="s">
        <v>159</v>
      </c>
      <c r="U3" s="151" t="s">
        <v>161</v>
      </c>
      <c r="V3" s="152" t="s">
        <v>268</v>
      </c>
      <c r="W3" s="152" t="s">
        <v>270</v>
      </c>
      <c r="X3" s="152" t="s">
        <v>144</v>
      </c>
      <c r="Y3" s="153" t="s">
        <v>145</v>
      </c>
    </row>
    <row r="4" spans="2:26" x14ac:dyDescent="0.2">
      <c r="B4" s="101" t="s">
        <v>124</v>
      </c>
      <c r="C4" s="102">
        <v>1</v>
      </c>
      <c r="D4" s="102">
        <v>2</v>
      </c>
      <c r="E4" s="102">
        <v>3</v>
      </c>
      <c r="F4" s="102">
        <v>4</v>
      </c>
      <c r="G4" s="102">
        <v>5</v>
      </c>
      <c r="H4" s="102">
        <v>6</v>
      </c>
      <c r="I4" s="103">
        <v>7</v>
      </c>
      <c r="R4" s="165"/>
      <c r="S4" s="166"/>
      <c r="T4" s="167"/>
      <c r="U4" s="167"/>
      <c r="V4" s="166"/>
      <c r="W4" s="166"/>
      <c r="X4" s="166"/>
      <c r="Y4" s="168"/>
      <c r="Z4" s="1"/>
    </row>
    <row r="5" spans="2:26" ht="13.5" customHeight="1" x14ac:dyDescent="0.2">
      <c r="B5" s="104" t="s">
        <v>94</v>
      </c>
      <c r="C5" s="105">
        <f t="shared" ref="C5:I11" si="0">C93</f>
        <v>0</v>
      </c>
      <c r="D5" s="105">
        <f t="shared" si="0"/>
        <v>73000</v>
      </c>
      <c r="E5" s="105">
        <f t="shared" si="0"/>
        <v>102000</v>
      </c>
      <c r="F5" s="124">
        <f t="shared" si="0"/>
        <v>130000</v>
      </c>
      <c r="G5" s="105">
        <f t="shared" si="0"/>
        <v>154000</v>
      </c>
      <c r="H5" s="105">
        <f t="shared" si="0"/>
        <v>175000</v>
      </c>
      <c r="I5" s="106">
        <f t="shared" si="0"/>
        <v>196000</v>
      </c>
      <c r="R5" s="140" t="s">
        <v>142</v>
      </c>
      <c r="S5" s="197">
        <f>N6</f>
        <v>3.75</v>
      </c>
      <c r="T5" s="142">
        <f>2*5</f>
        <v>10</v>
      </c>
      <c r="U5" s="161">
        <f>S5*T5*2</f>
        <v>75</v>
      </c>
      <c r="V5" s="156">
        <f>T5/$T$9</f>
        <v>0.1</v>
      </c>
      <c r="W5" s="143">
        <f>P10</f>
        <v>112000</v>
      </c>
      <c r="X5" s="143">
        <f>T5*W5</f>
        <v>1120000</v>
      </c>
      <c r="Y5" s="144">
        <f>X5/$X$9</f>
        <v>0.33532934131736525</v>
      </c>
    </row>
    <row r="6" spans="2:26" x14ac:dyDescent="0.2">
      <c r="B6" s="104" t="s">
        <v>75</v>
      </c>
      <c r="C6" s="105">
        <f t="shared" si="0"/>
        <v>0</v>
      </c>
      <c r="D6" s="105">
        <f t="shared" si="0"/>
        <v>41000</v>
      </c>
      <c r="E6" s="124">
        <f t="shared" si="0"/>
        <v>59000</v>
      </c>
      <c r="F6" s="105">
        <f t="shared" si="0"/>
        <v>77000</v>
      </c>
      <c r="G6" s="105">
        <f t="shared" si="0"/>
        <v>0</v>
      </c>
      <c r="H6" s="105">
        <f t="shared" si="0"/>
        <v>0</v>
      </c>
      <c r="I6" s="106">
        <f t="shared" si="0"/>
        <v>0</v>
      </c>
      <c r="M6" s="1">
        <f>3*4 + 3*1</f>
        <v>15</v>
      </c>
      <c r="N6" s="1">
        <f>M6/4</f>
        <v>3.75</v>
      </c>
      <c r="O6" s="71" t="s">
        <v>259</v>
      </c>
      <c r="R6" s="140" t="s">
        <v>45</v>
      </c>
      <c r="S6" s="141">
        <v>2.5</v>
      </c>
      <c r="T6" s="142">
        <f>4*5</f>
        <v>20</v>
      </c>
      <c r="U6" s="161">
        <f t="shared" ref="U6:U14" si="1">S6*T6*2</f>
        <v>100</v>
      </c>
      <c r="V6" s="156">
        <f>T6/$T$9</f>
        <v>0.2</v>
      </c>
      <c r="W6" s="143">
        <f>P11</f>
        <v>43000</v>
      </c>
      <c r="X6" s="143">
        <f>T6*W6</f>
        <v>860000</v>
      </c>
      <c r="Y6" s="144">
        <f>X6/$X$9</f>
        <v>0.25748502994011974</v>
      </c>
    </row>
    <row r="7" spans="2:26" ht="14.25" customHeight="1" x14ac:dyDescent="0.2">
      <c r="B7" s="104" t="s">
        <v>45</v>
      </c>
      <c r="C7" s="105">
        <f t="shared" si="0"/>
        <v>0</v>
      </c>
      <c r="D7" s="124">
        <f t="shared" si="0"/>
        <v>35000</v>
      </c>
      <c r="E7" s="124">
        <f t="shared" si="0"/>
        <v>51000</v>
      </c>
      <c r="F7" s="105">
        <f t="shared" si="0"/>
        <v>66000</v>
      </c>
      <c r="G7" s="105">
        <f t="shared" si="0"/>
        <v>0</v>
      </c>
      <c r="H7" s="105">
        <f t="shared" si="0"/>
        <v>0</v>
      </c>
      <c r="I7" s="106">
        <f t="shared" si="0"/>
        <v>0</v>
      </c>
      <c r="L7" s="172"/>
      <c r="M7" s="195">
        <f>F5*3+E6*1</f>
        <v>449000</v>
      </c>
      <c r="N7" s="304">
        <f>M7/4</f>
        <v>112250</v>
      </c>
      <c r="O7" s="71" t="s">
        <v>260</v>
      </c>
      <c r="P7" s="1"/>
      <c r="Q7" s="1"/>
      <c r="R7" s="145" t="s">
        <v>31</v>
      </c>
      <c r="S7" s="141">
        <v>2</v>
      </c>
      <c r="T7" s="142">
        <f>4*5</f>
        <v>20</v>
      </c>
      <c r="U7" s="161">
        <f t="shared" si="1"/>
        <v>80</v>
      </c>
      <c r="V7" s="156">
        <f>T7/$T$9</f>
        <v>0.2</v>
      </c>
      <c r="W7" s="143">
        <f>P12</f>
        <v>33000</v>
      </c>
      <c r="X7" s="143">
        <f t="shared" ref="X7:X8" si="2">T7*W7</f>
        <v>660000</v>
      </c>
      <c r="Y7" s="144">
        <f>X7/$X$9</f>
        <v>0.19760479041916168</v>
      </c>
    </row>
    <row r="8" spans="2:26" ht="13.5" thickBot="1" x14ac:dyDescent="0.25">
      <c r="B8" s="104" t="s">
        <v>31</v>
      </c>
      <c r="C8" s="105">
        <f t="shared" si="0"/>
        <v>17000</v>
      </c>
      <c r="D8" s="124">
        <f t="shared" si="0"/>
        <v>33000</v>
      </c>
      <c r="E8" s="105">
        <f t="shared" si="0"/>
        <v>47000</v>
      </c>
      <c r="F8" s="105">
        <f t="shared" si="0"/>
        <v>61000</v>
      </c>
      <c r="G8" s="105">
        <f t="shared" si="0"/>
        <v>0</v>
      </c>
      <c r="H8" s="105">
        <f t="shared" si="0"/>
        <v>0</v>
      </c>
      <c r="I8" s="106">
        <f t="shared" si="0"/>
        <v>0</v>
      </c>
      <c r="L8" s="1"/>
      <c r="M8" s="1"/>
      <c r="N8" s="1"/>
      <c r="O8" s="1"/>
      <c r="P8" s="1"/>
      <c r="Q8" s="1"/>
      <c r="R8" s="145" t="s">
        <v>73</v>
      </c>
      <c r="S8" s="141">
        <v>1</v>
      </c>
      <c r="T8" s="142">
        <f>10*5</f>
        <v>50</v>
      </c>
      <c r="U8" s="161">
        <f t="shared" si="1"/>
        <v>100</v>
      </c>
      <c r="V8" s="156">
        <f>T8/$T$9</f>
        <v>0.5</v>
      </c>
      <c r="W8" s="143">
        <f>P13</f>
        <v>14000</v>
      </c>
      <c r="X8" s="143">
        <f t="shared" si="2"/>
        <v>700000</v>
      </c>
      <c r="Y8" s="144">
        <f>X8/$X$9</f>
        <v>0.20958083832335328</v>
      </c>
    </row>
    <row r="9" spans="2:26" ht="13.5" thickBot="1" x14ac:dyDescent="0.25">
      <c r="B9" s="104" t="s">
        <v>36</v>
      </c>
      <c r="C9" s="124">
        <f t="shared" si="0"/>
        <v>14000</v>
      </c>
      <c r="D9" s="105">
        <f t="shared" si="0"/>
        <v>27000</v>
      </c>
      <c r="E9" s="105">
        <f t="shared" si="0"/>
        <v>0</v>
      </c>
      <c r="F9" s="105">
        <f t="shared" si="0"/>
        <v>0</v>
      </c>
      <c r="G9" s="105">
        <f t="shared" si="0"/>
        <v>0</v>
      </c>
      <c r="H9" s="105">
        <f t="shared" si="0"/>
        <v>0</v>
      </c>
      <c r="I9" s="106">
        <f t="shared" si="0"/>
        <v>0</v>
      </c>
      <c r="L9" s="121"/>
      <c r="M9" s="122" t="s">
        <v>126</v>
      </c>
      <c r="N9" s="122" t="s">
        <v>146</v>
      </c>
      <c r="O9" s="122" t="s">
        <v>128</v>
      </c>
      <c r="P9" s="123" t="s">
        <v>147</v>
      </c>
      <c r="R9" s="146" t="s">
        <v>141</v>
      </c>
      <c r="S9" s="163"/>
      <c r="T9" s="147">
        <f>SUM(T5:T8)</f>
        <v>100</v>
      </c>
      <c r="U9" s="162">
        <f>SUM(U5:U8)</f>
        <v>355</v>
      </c>
      <c r="V9" s="157">
        <f>T9/$T$9</f>
        <v>1</v>
      </c>
      <c r="W9" s="147"/>
      <c r="X9" s="148">
        <f t="shared" ref="X9" si="3">SUM(X5:X8)</f>
        <v>3340000</v>
      </c>
      <c r="Y9" s="149">
        <f>X9/$X$9</f>
        <v>1</v>
      </c>
    </row>
    <row r="10" spans="2:26" x14ac:dyDescent="0.2">
      <c r="B10" s="104" t="s">
        <v>37</v>
      </c>
      <c r="C10" s="105">
        <f t="shared" si="0"/>
        <v>8000</v>
      </c>
      <c r="D10" s="105">
        <f t="shared" si="0"/>
        <v>0</v>
      </c>
      <c r="E10" s="105">
        <f t="shared" si="0"/>
        <v>0</v>
      </c>
      <c r="F10" s="105">
        <f t="shared" si="0"/>
        <v>0</v>
      </c>
      <c r="G10" s="105">
        <f t="shared" si="0"/>
        <v>0</v>
      </c>
      <c r="H10" s="105">
        <f t="shared" si="0"/>
        <v>0</v>
      </c>
      <c r="I10" s="106">
        <f t="shared" si="0"/>
        <v>0</v>
      </c>
      <c r="L10" s="116" t="s">
        <v>263</v>
      </c>
      <c r="M10" s="117" t="s">
        <v>127</v>
      </c>
      <c r="N10" s="118">
        <f>N6</f>
        <v>3.75</v>
      </c>
      <c r="O10" s="117" t="s">
        <v>138</v>
      </c>
      <c r="P10" s="106">
        <f>MROUND(N7, 1000)</f>
        <v>112000</v>
      </c>
    </row>
    <row r="11" spans="2:26" ht="27.75" customHeight="1" thickBot="1" x14ac:dyDescent="0.25">
      <c r="B11" s="107" t="s">
        <v>3</v>
      </c>
      <c r="C11" s="108">
        <f t="shared" si="0"/>
        <v>3000</v>
      </c>
      <c r="D11" s="108">
        <f t="shared" si="0"/>
        <v>0</v>
      </c>
      <c r="E11" s="108">
        <f t="shared" si="0"/>
        <v>0</v>
      </c>
      <c r="F11" s="108">
        <f t="shared" si="0"/>
        <v>0</v>
      </c>
      <c r="G11" s="108">
        <f t="shared" si="0"/>
        <v>0</v>
      </c>
      <c r="H11" s="108">
        <f t="shared" si="0"/>
        <v>0</v>
      </c>
      <c r="I11" s="109">
        <f t="shared" si="0"/>
        <v>0</v>
      </c>
      <c r="L11" s="116" t="s">
        <v>264</v>
      </c>
      <c r="M11" s="117" t="s">
        <v>129</v>
      </c>
      <c r="N11" s="118">
        <v>2.5</v>
      </c>
      <c r="O11" s="117" t="s">
        <v>134</v>
      </c>
      <c r="P11" s="106">
        <f>(D7+E7)/2</f>
        <v>43000</v>
      </c>
      <c r="R11" s="3" t="s">
        <v>153</v>
      </c>
    </row>
    <row r="12" spans="2:26" ht="25.5" x14ac:dyDescent="0.2">
      <c r="L12" s="104" t="s">
        <v>31</v>
      </c>
      <c r="M12" s="117" t="s">
        <v>130</v>
      </c>
      <c r="N12" s="118">
        <v>2</v>
      </c>
      <c r="O12" s="117" t="s">
        <v>135</v>
      </c>
      <c r="P12" s="106">
        <f>D8</f>
        <v>33000</v>
      </c>
      <c r="R12" s="150" t="s">
        <v>143</v>
      </c>
      <c r="S12" s="152" t="s">
        <v>154</v>
      </c>
      <c r="T12" s="151" t="s">
        <v>160</v>
      </c>
      <c r="U12" s="151" t="s">
        <v>163</v>
      </c>
      <c r="V12" s="152" t="s">
        <v>156</v>
      </c>
      <c r="W12" s="152" t="str">
        <f>W3</f>
        <v>ADT    Max</v>
      </c>
      <c r="X12" s="152" t="s">
        <v>155</v>
      </c>
      <c r="Y12" s="153" t="s">
        <v>145</v>
      </c>
    </row>
    <row r="13" spans="2:26" ht="13.5" thickBot="1" x14ac:dyDescent="0.25">
      <c r="B13" s="29"/>
      <c r="L13" s="107" t="s">
        <v>36</v>
      </c>
      <c r="M13" s="119" t="s">
        <v>131</v>
      </c>
      <c r="N13" s="120">
        <v>1</v>
      </c>
      <c r="O13" s="119" t="s">
        <v>136</v>
      </c>
      <c r="P13" s="109">
        <f>C9</f>
        <v>14000</v>
      </c>
      <c r="R13" s="140" t="s">
        <v>142</v>
      </c>
      <c r="S13" s="197">
        <f>S5</f>
        <v>3.75</v>
      </c>
      <c r="T13" s="142">
        <f>T5/25</f>
        <v>0.4</v>
      </c>
      <c r="U13" s="161">
        <f t="shared" si="1"/>
        <v>3</v>
      </c>
      <c r="V13" s="156">
        <f>T13/$T$17</f>
        <v>0.1</v>
      </c>
      <c r="W13" s="143">
        <f>W5</f>
        <v>112000</v>
      </c>
      <c r="X13" s="143">
        <f>MROUND(T13*W13, 1000)</f>
        <v>45000</v>
      </c>
      <c r="Y13" s="144">
        <f>X13/$X$17</f>
        <v>0.33834586466165412</v>
      </c>
    </row>
    <row r="14" spans="2:26" x14ac:dyDescent="0.2">
      <c r="B14" s="29"/>
      <c r="L14" s="196" t="s">
        <v>266</v>
      </c>
      <c r="R14" s="140" t="s">
        <v>45</v>
      </c>
      <c r="S14" s="141">
        <f t="shared" ref="S14:S16" si="4">S6</f>
        <v>2.5</v>
      </c>
      <c r="T14" s="142">
        <f t="shared" ref="T14" si="5">T6/25</f>
        <v>0.8</v>
      </c>
      <c r="U14" s="161">
        <f t="shared" si="1"/>
        <v>4</v>
      </c>
      <c r="V14" s="156">
        <f>T14/$T$17</f>
        <v>0.2</v>
      </c>
      <c r="W14" s="143">
        <f t="shared" ref="W14:W16" si="6">W6</f>
        <v>43000</v>
      </c>
      <c r="X14" s="143">
        <f t="shared" ref="X14:X16" si="7">MROUND(T14*W14, 1000)</f>
        <v>34000</v>
      </c>
      <c r="Y14" s="144">
        <f>X14/$X$17</f>
        <v>0.25563909774436089</v>
      </c>
    </row>
    <row r="15" spans="2:26" x14ac:dyDescent="0.2">
      <c r="B15" s="29"/>
      <c r="K15" s="164"/>
      <c r="L15" s="196" t="s">
        <v>265</v>
      </c>
      <c r="R15" s="145" t="s">
        <v>31</v>
      </c>
      <c r="S15" s="141">
        <f t="shared" si="4"/>
        <v>2</v>
      </c>
      <c r="T15" s="142">
        <f>T7/25</f>
        <v>0.8</v>
      </c>
      <c r="U15" s="161">
        <f>S15*T15*2</f>
        <v>3.2</v>
      </c>
      <c r="V15" s="156">
        <f>T15/$T$17</f>
        <v>0.2</v>
      </c>
      <c r="W15" s="143">
        <f t="shared" si="6"/>
        <v>33000</v>
      </c>
      <c r="X15" s="143">
        <f t="shared" si="7"/>
        <v>26000</v>
      </c>
      <c r="Y15" s="144">
        <f>X15/$X$17</f>
        <v>0.19548872180451127</v>
      </c>
    </row>
    <row r="16" spans="2:26" x14ac:dyDescent="0.2">
      <c r="B16" s="29"/>
      <c r="L16" s="29"/>
      <c r="R16" s="145" t="s">
        <v>73</v>
      </c>
      <c r="S16" s="141">
        <f t="shared" si="4"/>
        <v>1</v>
      </c>
      <c r="T16" s="142">
        <f>T8/25</f>
        <v>2</v>
      </c>
      <c r="U16" s="161">
        <f>S16*T16*2</f>
        <v>4</v>
      </c>
      <c r="V16" s="156">
        <f>T16/$T$17</f>
        <v>0.5</v>
      </c>
      <c r="W16" s="143">
        <f t="shared" si="6"/>
        <v>14000</v>
      </c>
      <c r="X16" s="143">
        <f t="shared" si="7"/>
        <v>28000</v>
      </c>
      <c r="Y16" s="144">
        <f>X16/$X$17</f>
        <v>0.21052631578947367</v>
      </c>
    </row>
    <row r="17" spans="2:25" ht="13.5" thickBot="1" x14ac:dyDescent="0.25">
      <c r="L17" t="s">
        <v>37</v>
      </c>
      <c r="M17" s="112" t="s">
        <v>131</v>
      </c>
      <c r="N17" s="2">
        <v>1</v>
      </c>
      <c r="O17" s="112" t="s">
        <v>137</v>
      </c>
      <c r="P17" s="100">
        <f>C10</f>
        <v>8000</v>
      </c>
      <c r="R17" s="146" t="s">
        <v>141</v>
      </c>
      <c r="S17" s="147"/>
      <c r="T17" s="147">
        <f>SUM(T13:T16)</f>
        <v>4</v>
      </c>
      <c r="U17" s="162">
        <f>SUM(U13:U16)</f>
        <v>14.2</v>
      </c>
      <c r="V17" s="157">
        <f>T17/$T$17</f>
        <v>1</v>
      </c>
      <c r="W17" s="147"/>
      <c r="X17" s="148">
        <f>SUM(X13:X16)</f>
        <v>133000</v>
      </c>
      <c r="Y17" s="149">
        <f>X17/$X$17</f>
        <v>1</v>
      </c>
    </row>
    <row r="18" spans="2:25" x14ac:dyDescent="0.2">
      <c r="L18" t="s">
        <v>3</v>
      </c>
      <c r="M18" s="112" t="s">
        <v>132</v>
      </c>
      <c r="N18" s="112" t="s">
        <v>133</v>
      </c>
      <c r="O18" s="112" t="s">
        <v>137</v>
      </c>
      <c r="P18" s="100">
        <f>C11</f>
        <v>3000</v>
      </c>
      <c r="R18" t="s">
        <v>162</v>
      </c>
    </row>
    <row r="19" spans="2:25" ht="13.5" thickBot="1" x14ac:dyDescent="0.25">
      <c r="B19" s="29" t="s">
        <v>261</v>
      </c>
    </row>
    <row r="20" spans="2:25" ht="13.5" thickBot="1" x14ac:dyDescent="0.25">
      <c r="B20" s="169" t="s">
        <v>164</v>
      </c>
      <c r="C20" s="170" t="s">
        <v>165</v>
      </c>
      <c r="D20" s="170" t="s">
        <v>166</v>
      </c>
      <c r="E20" s="170" t="s">
        <v>167</v>
      </c>
      <c r="F20" s="170">
        <v>8</v>
      </c>
      <c r="G20" s="102">
        <v>10</v>
      </c>
      <c r="H20" s="102">
        <v>12</v>
      </c>
      <c r="I20" s="103">
        <v>14</v>
      </c>
      <c r="X20" s="5"/>
    </row>
    <row r="21" spans="2:25" x14ac:dyDescent="0.2">
      <c r="B21" s="101" t="s">
        <v>124</v>
      </c>
      <c r="C21" s="102">
        <v>1</v>
      </c>
      <c r="D21" s="102">
        <v>2</v>
      </c>
      <c r="E21" s="102">
        <v>3</v>
      </c>
      <c r="F21" s="102">
        <v>4</v>
      </c>
      <c r="G21" s="102">
        <v>5</v>
      </c>
      <c r="H21" s="102">
        <v>6</v>
      </c>
      <c r="I21" s="103">
        <v>7</v>
      </c>
    </row>
    <row r="22" spans="2:25" x14ac:dyDescent="0.2">
      <c r="B22" s="104" t="s">
        <v>94</v>
      </c>
      <c r="C22" s="105">
        <f t="shared" ref="C22:I28" si="8">C5/2</f>
        <v>0</v>
      </c>
      <c r="D22" s="105">
        <f>D5/2</f>
        <v>36500</v>
      </c>
      <c r="E22" s="105">
        <f t="shared" si="8"/>
        <v>51000</v>
      </c>
      <c r="F22" s="124">
        <f t="shared" si="8"/>
        <v>65000</v>
      </c>
      <c r="G22" s="105">
        <f t="shared" si="8"/>
        <v>77000</v>
      </c>
      <c r="H22" s="105">
        <f t="shared" si="8"/>
        <v>87500</v>
      </c>
      <c r="I22" s="106">
        <f t="shared" si="8"/>
        <v>98000</v>
      </c>
    </row>
    <row r="23" spans="2:25" x14ac:dyDescent="0.2">
      <c r="B23" s="104" t="s">
        <v>75</v>
      </c>
      <c r="C23" s="105">
        <f t="shared" si="8"/>
        <v>0</v>
      </c>
      <c r="D23" s="105">
        <f t="shared" si="8"/>
        <v>20500</v>
      </c>
      <c r="E23" s="124">
        <f t="shared" si="8"/>
        <v>29500</v>
      </c>
      <c r="F23" s="105">
        <f t="shared" si="8"/>
        <v>38500</v>
      </c>
      <c r="G23" s="105">
        <f t="shared" si="8"/>
        <v>0</v>
      </c>
      <c r="H23" s="105">
        <f t="shared" si="8"/>
        <v>0</v>
      </c>
      <c r="I23" s="106">
        <f t="shared" si="8"/>
        <v>0</v>
      </c>
    </row>
    <row r="24" spans="2:25" x14ac:dyDescent="0.2">
      <c r="B24" s="104" t="s">
        <v>45</v>
      </c>
      <c r="C24" s="105">
        <f t="shared" si="8"/>
        <v>0</v>
      </c>
      <c r="D24" s="124">
        <f t="shared" si="8"/>
        <v>17500</v>
      </c>
      <c r="E24" s="124">
        <f t="shared" si="8"/>
        <v>25500</v>
      </c>
      <c r="F24" s="105">
        <f t="shared" si="8"/>
        <v>33000</v>
      </c>
      <c r="G24" s="105">
        <f t="shared" si="8"/>
        <v>0</v>
      </c>
      <c r="H24" s="105">
        <f t="shared" si="8"/>
        <v>0</v>
      </c>
      <c r="I24" s="106">
        <f t="shared" si="8"/>
        <v>0</v>
      </c>
    </row>
    <row r="25" spans="2:25" x14ac:dyDescent="0.2">
      <c r="B25" s="104" t="s">
        <v>31</v>
      </c>
      <c r="C25" s="105">
        <f t="shared" si="8"/>
        <v>8500</v>
      </c>
      <c r="D25" s="124">
        <f t="shared" si="8"/>
        <v>16500</v>
      </c>
      <c r="E25" s="105">
        <f t="shared" si="8"/>
        <v>23500</v>
      </c>
      <c r="F25" s="105">
        <f t="shared" si="8"/>
        <v>30500</v>
      </c>
      <c r="G25" s="105">
        <f t="shared" si="8"/>
        <v>0</v>
      </c>
      <c r="H25" s="105">
        <f t="shared" si="8"/>
        <v>0</v>
      </c>
      <c r="I25" s="106">
        <f t="shared" si="8"/>
        <v>0</v>
      </c>
    </row>
    <row r="26" spans="2:25" x14ac:dyDescent="0.2">
      <c r="B26" s="104" t="s">
        <v>36</v>
      </c>
      <c r="C26" s="124">
        <f t="shared" si="8"/>
        <v>7000</v>
      </c>
      <c r="D26" s="105">
        <f t="shared" si="8"/>
        <v>13500</v>
      </c>
      <c r="E26" s="105">
        <f t="shared" si="8"/>
        <v>0</v>
      </c>
      <c r="F26" s="105">
        <f t="shared" si="8"/>
        <v>0</v>
      </c>
      <c r="G26" s="105">
        <f t="shared" si="8"/>
        <v>0</v>
      </c>
      <c r="H26" s="105">
        <f t="shared" si="8"/>
        <v>0</v>
      </c>
      <c r="I26" s="106">
        <f t="shared" si="8"/>
        <v>0</v>
      </c>
    </row>
    <row r="27" spans="2:25" ht="13.5" thickBot="1" x14ac:dyDescent="0.25">
      <c r="B27" s="104" t="s">
        <v>37</v>
      </c>
      <c r="C27" s="105">
        <f t="shared" si="8"/>
        <v>4000</v>
      </c>
      <c r="D27" s="105">
        <f t="shared" si="8"/>
        <v>0</v>
      </c>
      <c r="E27" s="105">
        <f t="shared" si="8"/>
        <v>0</v>
      </c>
      <c r="F27" s="105">
        <f t="shared" si="8"/>
        <v>0</v>
      </c>
      <c r="G27" s="105">
        <f t="shared" si="8"/>
        <v>0</v>
      </c>
      <c r="H27" s="105">
        <f t="shared" si="8"/>
        <v>0</v>
      </c>
      <c r="I27" s="106">
        <f t="shared" si="8"/>
        <v>0</v>
      </c>
      <c r="R27" s="3" t="s">
        <v>157</v>
      </c>
    </row>
    <row r="28" spans="2:25" ht="26.25" thickBot="1" x14ac:dyDescent="0.25">
      <c r="B28" s="107" t="s">
        <v>3</v>
      </c>
      <c r="C28" s="108">
        <f t="shared" si="8"/>
        <v>1500</v>
      </c>
      <c r="D28" s="108">
        <f t="shared" si="8"/>
        <v>0</v>
      </c>
      <c r="E28" s="108">
        <f t="shared" si="8"/>
        <v>0</v>
      </c>
      <c r="F28" s="108">
        <f t="shared" si="8"/>
        <v>0</v>
      </c>
      <c r="G28" s="108">
        <f t="shared" si="8"/>
        <v>0</v>
      </c>
      <c r="H28" s="108">
        <f t="shared" si="8"/>
        <v>0</v>
      </c>
      <c r="I28" s="109">
        <f t="shared" si="8"/>
        <v>0</v>
      </c>
      <c r="R28" s="158" t="s">
        <v>143</v>
      </c>
      <c r="S28" s="159" t="s">
        <v>154</v>
      </c>
      <c r="T28" s="159" t="s">
        <v>159</v>
      </c>
      <c r="U28" s="159" t="s">
        <v>161</v>
      </c>
      <c r="V28" s="159" t="s">
        <v>156</v>
      </c>
      <c r="W28" s="159" t="s">
        <v>269</v>
      </c>
      <c r="X28" s="159" t="s">
        <v>144</v>
      </c>
      <c r="Y28" s="160" t="s">
        <v>145</v>
      </c>
    </row>
    <row r="29" spans="2:25" x14ac:dyDescent="0.2">
      <c r="R29" s="140" t="s">
        <v>45</v>
      </c>
      <c r="S29" s="141">
        <v>2.5</v>
      </c>
      <c r="T29" s="142">
        <f>5*5</f>
        <v>25</v>
      </c>
      <c r="U29" s="161">
        <f>S29*T29*2</f>
        <v>125</v>
      </c>
      <c r="V29" s="156">
        <f>T29/$T$9</f>
        <v>0.25</v>
      </c>
      <c r="W29" s="143">
        <f>W14</f>
        <v>43000</v>
      </c>
      <c r="X29" s="143">
        <f>T29*W29</f>
        <v>1075000</v>
      </c>
      <c r="Y29" s="144">
        <f>X29/$X$32</f>
        <v>0.41346153846153844</v>
      </c>
    </row>
    <row r="30" spans="2:25" x14ac:dyDescent="0.2">
      <c r="D30" s="29" t="s">
        <v>267</v>
      </c>
      <c r="R30" s="145" t="s">
        <v>31</v>
      </c>
      <c r="S30" s="141">
        <v>2</v>
      </c>
      <c r="T30" s="142">
        <f>5*5</f>
        <v>25</v>
      </c>
      <c r="U30" s="161">
        <f t="shared" ref="U30:U31" si="9">S30*T30*2</f>
        <v>100</v>
      </c>
      <c r="V30" s="156">
        <f>T30/$T$9</f>
        <v>0.25</v>
      </c>
      <c r="W30" s="143">
        <f>W15</f>
        <v>33000</v>
      </c>
      <c r="X30" s="143">
        <f t="shared" ref="X30:X31" si="10">T30*W30</f>
        <v>825000</v>
      </c>
      <c r="Y30" s="144">
        <f>X30/$X$32</f>
        <v>0.31730769230769229</v>
      </c>
    </row>
    <row r="31" spans="2:25" x14ac:dyDescent="0.2">
      <c r="R31" s="145" t="s">
        <v>73</v>
      </c>
      <c r="S31" s="141">
        <v>1</v>
      </c>
      <c r="T31" s="142">
        <f>10*5</f>
        <v>50</v>
      </c>
      <c r="U31" s="161">
        <f t="shared" si="9"/>
        <v>100</v>
      </c>
      <c r="V31" s="156">
        <f>T31/$T$9</f>
        <v>0.5</v>
      </c>
      <c r="W31" s="143">
        <f>W16</f>
        <v>14000</v>
      </c>
      <c r="X31" s="143">
        <f t="shared" si="10"/>
        <v>700000</v>
      </c>
      <c r="Y31" s="144">
        <f>X31/$X$32</f>
        <v>0.26923076923076922</v>
      </c>
    </row>
    <row r="32" spans="2:25" ht="13.5" thickBot="1" x14ac:dyDescent="0.25">
      <c r="R32" s="146" t="s">
        <v>141</v>
      </c>
      <c r="S32" s="147"/>
      <c r="T32" s="147">
        <f>SUM(T29:T31)</f>
        <v>100</v>
      </c>
      <c r="U32" s="162">
        <f>SUM(U29:U31)</f>
        <v>325</v>
      </c>
      <c r="V32" s="157">
        <f>T32/$T$9</f>
        <v>1</v>
      </c>
      <c r="W32" s="147"/>
      <c r="X32" s="148">
        <f>SUM(X29:X31)</f>
        <v>2600000</v>
      </c>
      <c r="Y32" s="149">
        <f>X32/$X$32</f>
        <v>1</v>
      </c>
    </row>
    <row r="34" spans="2:38" ht="13.5" thickBot="1" x14ac:dyDescent="0.25">
      <c r="B34" s="110" t="s">
        <v>125</v>
      </c>
      <c r="R34" s="3" t="s">
        <v>153</v>
      </c>
    </row>
    <row r="35" spans="2:38" ht="25.5" x14ac:dyDescent="0.2">
      <c r="B35" s="47" t="s">
        <v>44</v>
      </c>
      <c r="C35" t="s">
        <v>117</v>
      </c>
      <c r="R35" s="158" t="s">
        <v>143</v>
      </c>
      <c r="S35" s="159" t="s">
        <v>154</v>
      </c>
      <c r="T35" s="159" t="s">
        <v>160</v>
      </c>
      <c r="U35" s="159" t="s">
        <v>163</v>
      </c>
      <c r="V35" s="159" t="s">
        <v>156</v>
      </c>
      <c r="W35" s="159" t="str">
        <f>W28</f>
        <v>ADT     Max</v>
      </c>
      <c r="X35" s="159" t="s">
        <v>155</v>
      </c>
      <c r="Y35" s="160" t="s">
        <v>145</v>
      </c>
    </row>
    <row r="36" spans="2:38" x14ac:dyDescent="0.2">
      <c r="B36" s="47" t="str">
        <f>'WFRC Cap1hr1ln V8.3'!I5</f>
        <v>Urban</v>
      </c>
      <c r="C36" s="47"/>
      <c r="D36" s="47"/>
      <c r="E36" s="47"/>
      <c r="F36" s="47"/>
      <c r="G36" s="47"/>
      <c r="H36" s="47"/>
      <c r="I36" s="47"/>
      <c r="R36" s="140" t="s">
        <v>45</v>
      </c>
      <c r="S36" s="141">
        <v>2.5</v>
      </c>
      <c r="T36" s="142">
        <f>T29/25</f>
        <v>1</v>
      </c>
      <c r="U36" s="161">
        <f t="shared" ref="U36:U38" si="11">S36*T36*2</f>
        <v>5</v>
      </c>
      <c r="V36" s="156">
        <f>T36/$T$17</f>
        <v>0.25</v>
      </c>
      <c r="W36" s="143">
        <f>W29</f>
        <v>43000</v>
      </c>
      <c r="X36" s="143">
        <f t="shared" ref="X36:X38" si="12">MROUND(T36*W36, 1000)</f>
        <v>43000</v>
      </c>
      <c r="Y36" s="144">
        <f>X36/$X$39</f>
        <v>0.41346153846153844</v>
      </c>
      <c r="AL36" s="29"/>
    </row>
    <row r="37" spans="2:38" x14ac:dyDescent="0.2">
      <c r="B37" s="47"/>
      <c r="C37" s="47" t="str">
        <f>'WFRC Cap1hr1ln V8.3'!C8</f>
        <v>1 lane</v>
      </c>
      <c r="D37" s="47" t="str">
        <f>'WFRC Cap1hr1ln V8.3'!D8</f>
        <v>2 lanes</v>
      </c>
      <c r="E37" s="47" t="str">
        <f>'WFRC Cap1hr1ln V8.3'!E8</f>
        <v>3 lanes</v>
      </c>
      <c r="F37" s="47" t="str">
        <f>'WFRC Cap1hr1ln V8.3'!F8</f>
        <v>4 lanes</v>
      </c>
      <c r="G37" s="47" t="str">
        <f>'WFRC Cap1hr1ln V8.3'!G8</f>
        <v>5 lanes</v>
      </c>
      <c r="H37" s="47" t="str">
        <f>'WFRC Cap1hr1ln V8.3'!H8</f>
        <v>6 lanes</v>
      </c>
      <c r="I37" s="47" t="str">
        <f>'WFRC Cap1hr1ln V8.3'!I8</f>
        <v>7 lanes</v>
      </c>
      <c r="R37" s="145" t="s">
        <v>31</v>
      </c>
      <c r="S37" s="141">
        <v>2</v>
      </c>
      <c r="T37" s="142">
        <f>T30/25</f>
        <v>1</v>
      </c>
      <c r="U37" s="161">
        <f t="shared" si="11"/>
        <v>4</v>
      </c>
      <c r="V37" s="156">
        <f>T37/$T$17</f>
        <v>0.25</v>
      </c>
      <c r="W37" s="143">
        <f t="shared" ref="W37:W38" si="13">W30</f>
        <v>33000</v>
      </c>
      <c r="X37" s="143">
        <f t="shared" si="12"/>
        <v>33000</v>
      </c>
      <c r="Y37" s="144">
        <f>X37/$X$39</f>
        <v>0.31730769230769229</v>
      </c>
    </row>
    <row r="38" spans="2:38" x14ac:dyDescent="0.2">
      <c r="B38" s="47" t="s">
        <v>94</v>
      </c>
      <c r="C38" s="47"/>
      <c r="D38" s="71">
        <f>'WFRC Cap1hr1ln V8.3'!D39</f>
        <v>1823.4499999999998</v>
      </c>
      <c r="E38" s="71">
        <f>'WFRC Cap1hr1ln V8.3'!E39</f>
        <v>1706.7833333333331</v>
      </c>
      <c r="F38" s="71">
        <f>'WFRC Cap1hr1ln V8.3'!F39</f>
        <v>1618.9809999999998</v>
      </c>
      <c r="G38" s="71">
        <f>'WFRC Cap1hr1ln V8.3'!G39</f>
        <v>1539.7774999999999</v>
      </c>
      <c r="H38" s="71">
        <f>'WFRC Cap1hr1ln V8.3'!H39</f>
        <v>1457.5061666666668</v>
      </c>
      <c r="I38" s="71">
        <f>'WFRC Cap1hr1ln V8.3'!I39</f>
        <v>1396.636</v>
      </c>
      <c r="R38" s="145" t="s">
        <v>73</v>
      </c>
      <c r="S38" s="141">
        <v>1</v>
      </c>
      <c r="T38" s="142">
        <f>T31/25</f>
        <v>2</v>
      </c>
      <c r="U38" s="161">
        <f t="shared" si="11"/>
        <v>4</v>
      </c>
      <c r="V38" s="156">
        <f>T38/$T$17</f>
        <v>0.5</v>
      </c>
      <c r="W38" s="143">
        <f t="shared" si="13"/>
        <v>14000</v>
      </c>
      <c r="X38" s="143">
        <f t="shared" si="12"/>
        <v>28000</v>
      </c>
      <c r="Y38" s="144">
        <f>X38/$X$39</f>
        <v>0.26923076923076922</v>
      </c>
      <c r="AL38" s="29"/>
    </row>
    <row r="39" spans="2:38" ht="13.5" thickBot="1" x14ac:dyDescent="0.25">
      <c r="B39" s="47" t="s">
        <v>75</v>
      </c>
      <c r="C39" s="47"/>
      <c r="D39" s="71">
        <f>'WFRC Cap1hr1ln V8.3'!D18</f>
        <v>1021.44</v>
      </c>
      <c r="E39" s="71">
        <f>'WFRC Cap1hr1ln V8.3'!E18</f>
        <v>989.5200000000001</v>
      </c>
      <c r="F39" s="71">
        <f>'WFRC Cap1hr1ln V8.3'!F18</f>
        <v>968.24000000000012</v>
      </c>
      <c r="G39" s="71"/>
      <c r="H39" s="71"/>
      <c r="I39" s="71"/>
      <c r="R39" s="146" t="s">
        <v>141</v>
      </c>
      <c r="S39" s="147"/>
      <c r="T39" s="147">
        <f>SUM(T36:T38)</f>
        <v>4</v>
      </c>
      <c r="U39" s="162">
        <f>SUM(U36:U38)</f>
        <v>13</v>
      </c>
      <c r="V39" s="157">
        <f>T39/$T$17</f>
        <v>1</v>
      </c>
      <c r="W39" s="147"/>
      <c r="X39" s="148">
        <f>SUM(X36:X38)</f>
        <v>104000</v>
      </c>
      <c r="Y39" s="149">
        <f>X39/$X$39</f>
        <v>1</v>
      </c>
    </row>
    <row r="40" spans="2:38" x14ac:dyDescent="0.2">
      <c r="B40" s="47" t="str">
        <f>'WFRC Cap1hr1ln V8.3'!B9</f>
        <v>Principal Arterial</v>
      </c>
      <c r="C40" s="47"/>
      <c r="D40" s="71">
        <f>'WFRC Cap1hr1ln V8.3'!D9</f>
        <v>882.75329999999985</v>
      </c>
      <c r="E40" s="71">
        <f>'WFRC Cap1hr1ln V8.3'!E9</f>
        <v>845.58474000000001</v>
      </c>
      <c r="F40" s="71">
        <f>'WFRC Cap1hr1ln V8.3'!F9</f>
        <v>825.96799999999996</v>
      </c>
      <c r="G40" s="47"/>
      <c r="H40" s="47"/>
      <c r="I40" s="47"/>
      <c r="R40" t="s">
        <v>162</v>
      </c>
      <c r="AL40" s="29"/>
    </row>
    <row r="41" spans="2:38" x14ac:dyDescent="0.2">
      <c r="B41" s="47" t="str">
        <f>'WFRC Cap1hr1ln V8.3'!B10</f>
        <v>Minor Arterial</v>
      </c>
      <c r="C41" s="71">
        <f>'WFRC Cap1hr1ln V8.3'!C10</f>
        <v>849.072</v>
      </c>
      <c r="D41" s="71">
        <f>'WFRC Cap1hr1ln V8.3'!D10</f>
        <v>814.84919999999988</v>
      </c>
      <c r="E41" s="71">
        <f>'WFRC Cap1hr1ln V8.3'!E10</f>
        <v>780.53976</v>
      </c>
      <c r="F41" s="71">
        <f>'WFRC Cap1hr1ln V8.3'!F10</f>
        <v>762.4319999999999</v>
      </c>
      <c r="G41" s="47"/>
      <c r="H41" s="47"/>
      <c r="I41" s="47"/>
    </row>
    <row r="42" spans="2:38" x14ac:dyDescent="0.2">
      <c r="B42" s="47" t="str">
        <f>'WFRC Cap1hr1ln V8.3'!B11</f>
        <v>Major Collector</v>
      </c>
      <c r="C42" s="71">
        <f>'WFRC Cap1hr1ln V8.3'!C11</f>
        <v>710.6</v>
      </c>
      <c r="D42" s="71">
        <f>'WFRC Cap1hr1ln V8.3'!D11</f>
        <v>675.06999999999994</v>
      </c>
      <c r="E42" s="47"/>
      <c r="F42" s="47"/>
      <c r="G42" s="47"/>
      <c r="H42" s="47"/>
      <c r="I42" s="47"/>
      <c r="AL42" s="29"/>
    </row>
    <row r="43" spans="2:38" x14ac:dyDescent="0.2">
      <c r="B43" s="47" t="str">
        <f>'WFRC Cap1hr1ln V8.3'!B12</f>
        <v>Minor Collector</v>
      </c>
      <c r="C43" s="111">
        <f>'WFRC Cap1hr1ln V8.3'!C12*0.8</f>
        <v>399</v>
      </c>
      <c r="D43" s="71"/>
      <c r="E43" s="47"/>
      <c r="F43" s="47"/>
      <c r="G43" s="47"/>
      <c r="H43" s="47"/>
      <c r="I43" s="47"/>
    </row>
    <row r="44" spans="2:38" x14ac:dyDescent="0.2">
      <c r="B44" s="47" t="str">
        <f>'WFRC Cap1hr1ln V8.3'!B13</f>
        <v>Local</v>
      </c>
      <c r="C44" s="111">
        <v>150</v>
      </c>
      <c r="D44" s="71"/>
      <c r="E44" s="47"/>
      <c r="F44" s="47"/>
      <c r="G44" s="47"/>
      <c r="H44" s="47"/>
      <c r="I44" s="47"/>
      <c r="AL44" s="29"/>
    </row>
    <row r="45" spans="2:38" ht="13.5" thickBot="1" x14ac:dyDescent="0.25">
      <c r="R45" s="3" t="s">
        <v>258</v>
      </c>
    </row>
    <row r="46" spans="2:38" ht="25.5" x14ac:dyDescent="0.2">
      <c r="R46" s="150" t="s">
        <v>143</v>
      </c>
      <c r="S46" s="152" t="s">
        <v>154</v>
      </c>
      <c r="T46" s="151" t="s">
        <v>159</v>
      </c>
      <c r="U46" s="151" t="s">
        <v>161</v>
      </c>
      <c r="V46" s="152" t="s">
        <v>156</v>
      </c>
      <c r="W46" s="152" t="s">
        <v>147</v>
      </c>
      <c r="X46" s="152" t="s">
        <v>144</v>
      </c>
      <c r="Y46" s="153" t="s">
        <v>145</v>
      </c>
      <c r="AL46" s="29"/>
    </row>
    <row r="47" spans="2:38" x14ac:dyDescent="0.2">
      <c r="B47" t="s">
        <v>118</v>
      </c>
      <c r="R47" s="165"/>
      <c r="S47" s="166"/>
      <c r="T47" s="167"/>
      <c r="U47" s="167"/>
      <c r="V47" s="166"/>
      <c r="W47" s="166"/>
      <c r="X47" s="166"/>
      <c r="Y47" s="168"/>
    </row>
    <row r="48" spans="2:38" x14ac:dyDescent="0.2">
      <c r="C48">
        <v>1</v>
      </c>
      <c r="D48">
        <v>2</v>
      </c>
      <c r="E48">
        <v>3</v>
      </c>
      <c r="F48">
        <v>4</v>
      </c>
      <c r="G48">
        <v>5</v>
      </c>
      <c r="H48">
        <v>6</v>
      </c>
      <c r="I48">
        <v>7</v>
      </c>
      <c r="R48" s="140" t="s">
        <v>142</v>
      </c>
      <c r="S48" s="141">
        <v>3</v>
      </c>
      <c r="T48" s="142">
        <f>2*5</f>
        <v>10</v>
      </c>
      <c r="U48" s="161">
        <f>S48*T48*2</f>
        <v>60</v>
      </c>
      <c r="V48" s="156">
        <f>T48/$T$9</f>
        <v>0.1</v>
      </c>
      <c r="W48" s="143">
        <v>90000</v>
      </c>
      <c r="X48" s="143">
        <f>T48*W48</f>
        <v>900000</v>
      </c>
      <c r="Y48" s="144">
        <f>X48/$X$9</f>
        <v>0.26946107784431139</v>
      </c>
      <c r="AL48" s="29"/>
    </row>
    <row r="49" spans="2:25" x14ac:dyDescent="0.2">
      <c r="B49" t="s">
        <v>94</v>
      </c>
      <c r="C49" s="4">
        <f t="shared" ref="C49:I55" si="14">C38*C$48</f>
        <v>0</v>
      </c>
      <c r="D49" s="4">
        <f t="shared" si="14"/>
        <v>3646.8999999999996</v>
      </c>
      <c r="E49" s="4">
        <f t="shared" si="14"/>
        <v>5120.3499999999995</v>
      </c>
      <c r="F49" s="4">
        <f t="shared" si="14"/>
        <v>6475.9239999999991</v>
      </c>
      <c r="G49" s="4">
        <f t="shared" si="14"/>
        <v>7698.8874999999998</v>
      </c>
      <c r="H49" s="4">
        <f t="shared" si="14"/>
        <v>8745.0370000000003</v>
      </c>
      <c r="I49" s="4">
        <f t="shared" si="14"/>
        <v>9776.4519999999993</v>
      </c>
      <c r="R49" s="140" t="s">
        <v>45</v>
      </c>
      <c r="S49" s="141">
        <v>2.5</v>
      </c>
      <c r="T49" s="142">
        <f>4*5</f>
        <v>20</v>
      </c>
      <c r="U49" s="161">
        <f t="shared" ref="U49:U50" si="15">S49*T49*2</f>
        <v>100</v>
      </c>
      <c r="V49" s="156">
        <f>T49/$T$9</f>
        <v>0.2</v>
      </c>
      <c r="W49" s="143">
        <v>45000</v>
      </c>
      <c r="X49" s="143">
        <f t="shared" ref="X49:X50" si="16">T49*W49</f>
        <v>900000</v>
      </c>
      <c r="Y49" s="144">
        <f>X49/$X$9</f>
        <v>0.26946107784431139</v>
      </c>
    </row>
    <row r="50" spans="2:25" x14ac:dyDescent="0.2">
      <c r="B50" t="s">
        <v>75</v>
      </c>
      <c r="C50" s="4">
        <f t="shared" si="14"/>
        <v>0</v>
      </c>
      <c r="D50" s="4">
        <f t="shared" si="14"/>
        <v>2042.88</v>
      </c>
      <c r="E50" s="4">
        <f t="shared" si="14"/>
        <v>2968.5600000000004</v>
      </c>
      <c r="F50" s="4">
        <f t="shared" si="14"/>
        <v>3872.9600000000005</v>
      </c>
      <c r="G50" s="4">
        <f t="shared" si="14"/>
        <v>0</v>
      </c>
      <c r="H50" s="4">
        <f t="shared" si="14"/>
        <v>0</v>
      </c>
      <c r="I50" s="4">
        <f t="shared" si="14"/>
        <v>0</v>
      </c>
      <c r="R50" s="145" t="s">
        <v>31</v>
      </c>
      <c r="S50" s="141">
        <v>2</v>
      </c>
      <c r="T50" s="142">
        <f>4*5</f>
        <v>20</v>
      </c>
      <c r="U50" s="161">
        <f t="shared" si="15"/>
        <v>80</v>
      </c>
      <c r="V50" s="156">
        <f>T50/$T$9</f>
        <v>0.2</v>
      </c>
      <c r="W50" s="143">
        <v>33000</v>
      </c>
      <c r="X50" s="143">
        <f t="shared" si="16"/>
        <v>660000</v>
      </c>
      <c r="Y50" s="144">
        <f>X50/$X$9</f>
        <v>0.19760479041916168</v>
      </c>
    </row>
    <row r="51" spans="2:25" ht="13.5" thickBot="1" x14ac:dyDescent="0.25">
      <c r="B51" t="s">
        <v>45</v>
      </c>
      <c r="C51" s="4">
        <f t="shared" si="14"/>
        <v>0</v>
      </c>
      <c r="D51" s="4">
        <f t="shared" si="14"/>
        <v>1765.5065999999997</v>
      </c>
      <c r="E51" s="4">
        <f t="shared" si="14"/>
        <v>2536.7542199999998</v>
      </c>
      <c r="F51" s="4">
        <f t="shared" si="14"/>
        <v>3303.8719999999998</v>
      </c>
      <c r="G51" s="4">
        <f t="shared" si="14"/>
        <v>0</v>
      </c>
      <c r="H51" s="4">
        <f t="shared" si="14"/>
        <v>0</v>
      </c>
      <c r="I51" s="4">
        <f t="shared" si="14"/>
        <v>0</v>
      </c>
      <c r="R51" s="146" t="s">
        <v>141</v>
      </c>
      <c r="S51" s="163"/>
      <c r="T51" s="147">
        <f>SUM(T48:T50)</f>
        <v>50</v>
      </c>
      <c r="U51" s="162">
        <f>SUM(U48:U50)</f>
        <v>240</v>
      </c>
      <c r="V51" s="157">
        <f>T51/$T$51</f>
        <v>1</v>
      </c>
      <c r="W51" s="147"/>
      <c r="X51" s="148">
        <f>SUM(X48:X50)</f>
        <v>2460000</v>
      </c>
      <c r="Y51" s="149">
        <f>X51/$X$9</f>
        <v>0.73652694610778446</v>
      </c>
    </row>
    <row r="52" spans="2:25" x14ac:dyDescent="0.2">
      <c r="B52" t="s">
        <v>31</v>
      </c>
      <c r="C52" s="4">
        <f t="shared" si="14"/>
        <v>849.072</v>
      </c>
      <c r="D52" s="4">
        <f t="shared" si="14"/>
        <v>1629.6983999999998</v>
      </c>
      <c r="E52" s="4">
        <f t="shared" si="14"/>
        <v>2341.6192799999999</v>
      </c>
      <c r="F52" s="4">
        <f t="shared" si="14"/>
        <v>3049.7279999999996</v>
      </c>
      <c r="G52" s="4">
        <f t="shared" si="14"/>
        <v>0</v>
      </c>
      <c r="H52" s="4">
        <f t="shared" si="14"/>
        <v>0</v>
      </c>
      <c r="I52" s="4">
        <f t="shared" si="14"/>
        <v>0</v>
      </c>
    </row>
    <row r="53" spans="2:25" ht="13.5" thickBot="1" x14ac:dyDescent="0.25">
      <c r="B53" t="s">
        <v>36</v>
      </c>
      <c r="C53" s="4">
        <f t="shared" si="14"/>
        <v>710.6</v>
      </c>
      <c r="D53" s="4">
        <f t="shared" si="14"/>
        <v>1350.1399999999999</v>
      </c>
      <c r="E53" s="4">
        <f t="shared" si="14"/>
        <v>0</v>
      </c>
      <c r="F53" s="4">
        <f t="shared" si="14"/>
        <v>0</v>
      </c>
      <c r="G53" s="4">
        <f t="shared" si="14"/>
        <v>0</v>
      </c>
      <c r="H53" s="4">
        <f t="shared" si="14"/>
        <v>0</v>
      </c>
      <c r="I53" s="4">
        <f t="shared" si="14"/>
        <v>0</v>
      </c>
      <c r="R53" s="3" t="s">
        <v>153</v>
      </c>
    </row>
    <row r="54" spans="2:25" ht="25.5" x14ac:dyDescent="0.2">
      <c r="B54" t="s">
        <v>37</v>
      </c>
      <c r="C54" s="4">
        <f t="shared" si="14"/>
        <v>399</v>
      </c>
      <c r="D54" s="4">
        <f t="shared" si="14"/>
        <v>0</v>
      </c>
      <c r="E54" s="4">
        <f t="shared" si="14"/>
        <v>0</v>
      </c>
      <c r="F54" s="4">
        <f t="shared" si="14"/>
        <v>0</v>
      </c>
      <c r="G54" s="4">
        <f t="shared" si="14"/>
        <v>0</v>
      </c>
      <c r="H54" s="4">
        <f t="shared" si="14"/>
        <v>0</v>
      </c>
      <c r="I54" s="4">
        <f t="shared" si="14"/>
        <v>0</v>
      </c>
      <c r="R54" s="150" t="s">
        <v>143</v>
      </c>
      <c r="S54" s="152" t="s">
        <v>154</v>
      </c>
      <c r="T54" s="151" t="s">
        <v>160</v>
      </c>
      <c r="U54" s="151" t="s">
        <v>163</v>
      </c>
      <c r="V54" s="152" t="s">
        <v>156</v>
      </c>
      <c r="W54" s="152" t="s">
        <v>147</v>
      </c>
      <c r="X54" s="152" t="s">
        <v>155</v>
      </c>
      <c r="Y54" s="153" t="s">
        <v>145</v>
      </c>
    </row>
    <row r="55" spans="2:25" x14ac:dyDescent="0.2">
      <c r="B55" t="s">
        <v>3</v>
      </c>
      <c r="C55" s="4">
        <f t="shared" si="14"/>
        <v>150</v>
      </c>
      <c r="D55" s="4">
        <f t="shared" si="14"/>
        <v>0</v>
      </c>
      <c r="E55" s="4">
        <f t="shared" si="14"/>
        <v>0</v>
      </c>
      <c r="F55" s="4">
        <f t="shared" si="14"/>
        <v>0</v>
      </c>
      <c r="G55" s="4">
        <f t="shared" si="14"/>
        <v>0</v>
      </c>
      <c r="H55" s="4">
        <f t="shared" si="14"/>
        <v>0</v>
      </c>
      <c r="I55" s="4">
        <f t="shared" si="14"/>
        <v>0</v>
      </c>
      <c r="R55" s="140" t="s">
        <v>142</v>
      </c>
      <c r="S55" s="141">
        <v>3</v>
      </c>
      <c r="T55" s="142">
        <f>T48/25</f>
        <v>0.4</v>
      </c>
      <c r="U55" s="161">
        <f>S55*T55*2</f>
        <v>2.4000000000000004</v>
      </c>
      <c r="V55" s="156">
        <f>T55/$T$17</f>
        <v>0.1</v>
      </c>
      <c r="W55" s="143">
        <v>90000</v>
      </c>
      <c r="X55" s="143">
        <f>T55*W55</f>
        <v>36000</v>
      </c>
      <c r="Y55" s="144">
        <f>X55/$X$17</f>
        <v>0.27067669172932329</v>
      </c>
    </row>
    <row r="56" spans="2:25" x14ac:dyDescent="0.2">
      <c r="R56" s="140" t="s">
        <v>45</v>
      </c>
      <c r="S56" s="141">
        <v>2.5</v>
      </c>
      <c r="T56" s="142">
        <f>T49/25</f>
        <v>0.8</v>
      </c>
      <c r="U56" s="161">
        <f>S56*T56*2</f>
        <v>4</v>
      </c>
      <c r="V56" s="156">
        <f>T56/$T$17</f>
        <v>0.2</v>
      </c>
      <c r="W56" s="143">
        <v>45000</v>
      </c>
      <c r="X56" s="143">
        <f>T56*W56</f>
        <v>36000</v>
      </c>
      <c r="Y56" s="144">
        <f>X56/$X$17</f>
        <v>0.27067669172932329</v>
      </c>
    </row>
    <row r="57" spans="2:25" x14ac:dyDescent="0.2">
      <c r="B57" t="s">
        <v>122</v>
      </c>
      <c r="H57">
        <v>0.8</v>
      </c>
      <c r="R57" s="145" t="s">
        <v>31</v>
      </c>
      <c r="S57" s="141">
        <v>2</v>
      </c>
      <c r="T57" s="142">
        <f>T50/25</f>
        <v>0.8</v>
      </c>
      <c r="U57" s="161">
        <f>S57*T57*2</f>
        <v>3.2</v>
      </c>
      <c r="V57" s="156">
        <f>T57/$T$17</f>
        <v>0.2</v>
      </c>
      <c r="W57" s="143">
        <v>33000</v>
      </c>
      <c r="X57" s="143">
        <f>T57*W57</f>
        <v>26400</v>
      </c>
      <c r="Y57" s="144">
        <f>X57/$X$17</f>
        <v>0.19849624060150375</v>
      </c>
    </row>
    <row r="58" spans="2:25" ht="13.5" thickBot="1" x14ac:dyDescent="0.25">
      <c r="C58">
        <v>1</v>
      </c>
      <c r="D58">
        <v>2</v>
      </c>
      <c r="E58">
        <v>3</v>
      </c>
      <c r="F58">
        <v>4</v>
      </c>
      <c r="G58">
        <v>5</v>
      </c>
      <c r="H58">
        <v>6</v>
      </c>
      <c r="I58">
        <v>7</v>
      </c>
      <c r="R58" s="146" t="s">
        <v>141</v>
      </c>
      <c r="S58" s="147"/>
      <c r="T58" s="147">
        <f>SUM(T55:T57)</f>
        <v>2</v>
      </c>
      <c r="U58" s="162">
        <f>SUM(U55:U57)</f>
        <v>9.6000000000000014</v>
      </c>
      <c r="V58" s="157">
        <f>T58/$T$58</f>
        <v>1</v>
      </c>
      <c r="W58" s="147"/>
      <c r="X58" s="148">
        <f>SUM(X55:X57)</f>
        <v>98400</v>
      </c>
      <c r="Y58" s="149">
        <f>X58/$X$17</f>
        <v>0.73984962406015042</v>
      </c>
    </row>
    <row r="59" spans="2:25" x14ac:dyDescent="0.2">
      <c r="B59" t="s">
        <v>94</v>
      </c>
      <c r="C59" s="4">
        <f t="shared" ref="C59:I65" si="17">C49*$H$57</f>
        <v>0</v>
      </c>
      <c r="D59" s="4">
        <f>D49*$H$57</f>
        <v>2917.52</v>
      </c>
      <c r="E59" s="4">
        <f t="shared" si="17"/>
        <v>4096.28</v>
      </c>
      <c r="F59" s="4">
        <f t="shared" si="17"/>
        <v>5180.7392</v>
      </c>
      <c r="G59" s="4">
        <f t="shared" si="17"/>
        <v>6159.1100000000006</v>
      </c>
      <c r="H59" s="4">
        <f t="shared" si="17"/>
        <v>6996.0296000000008</v>
      </c>
      <c r="I59" s="4">
        <f t="shared" si="17"/>
        <v>7821.1615999999995</v>
      </c>
      <c r="R59" t="s">
        <v>162</v>
      </c>
    </row>
    <row r="60" spans="2:25" x14ac:dyDescent="0.2">
      <c r="B60" t="s">
        <v>75</v>
      </c>
      <c r="C60" s="4">
        <f t="shared" si="17"/>
        <v>0</v>
      </c>
      <c r="D60" s="4">
        <f t="shared" si="17"/>
        <v>1634.3040000000001</v>
      </c>
      <c r="E60" s="4">
        <f t="shared" si="17"/>
        <v>2374.8480000000004</v>
      </c>
      <c r="F60" s="4">
        <f t="shared" si="17"/>
        <v>3098.3680000000004</v>
      </c>
      <c r="G60" s="4">
        <f t="shared" si="17"/>
        <v>0</v>
      </c>
      <c r="H60" s="4">
        <f t="shared" si="17"/>
        <v>0</v>
      </c>
      <c r="I60" s="4">
        <f t="shared" si="17"/>
        <v>0</v>
      </c>
    </row>
    <row r="61" spans="2:25" x14ac:dyDescent="0.2">
      <c r="B61" t="s">
        <v>45</v>
      </c>
      <c r="C61" s="4">
        <f t="shared" si="17"/>
        <v>0</v>
      </c>
      <c r="D61" s="4">
        <f t="shared" si="17"/>
        <v>1412.4052799999999</v>
      </c>
      <c r="E61" s="4">
        <f t="shared" si="17"/>
        <v>2029.403376</v>
      </c>
      <c r="F61" s="4">
        <f t="shared" si="17"/>
        <v>2643.0976000000001</v>
      </c>
      <c r="G61" s="4">
        <f t="shared" si="17"/>
        <v>0</v>
      </c>
      <c r="H61" s="4">
        <f t="shared" si="17"/>
        <v>0</v>
      </c>
      <c r="I61" s="4">
        <f t="shared" si="17"/>
        <v>0</v>
      </c>
    </row>
    <row r="62" spans="2:25" x14ac:dyDescent="0.2">
      <c r="B62" t="s">
        <v>31</v>
      </c>
      <c r="C62" s="4">
        <f t="shared" si="17"/>
        <v>679.25760000000002</v>
      </c>
      <c r="D62" s="4">
        <f t="shared" si="17"/>
        <v>1303.7587199999998</v>
      </c>
      <c r="E62" s="4">
        <f t="shared" si="17"/>
        <v>1873.2954239999999</v>
      </c>
      <c r="F62" s="4">
        <f t="shared" si="17"/>
        <v>2439.7823999999996</v>
      </c>
      <c r="G62" s="4">
        <f t="shared" si="17"/>
        <v>0</v>
      </c>
      <c r="H62" s="4">
        <f t="shared" si="17"/>
        <v>0</v>
      </c>
      <c r="I62" s="4">
        <f t="shared" si="17"/>
        <v>0</v>
      </c>
    </row>
    <row r="63" spans="2:25" x14ac:dyDescent="0.2">
      <c r="B63" t="s">
        <v>36</v>
      </c>
      <c r="C63" s="4">
        <f t="shared" si="17"/>
        <v>568.48</v>
      </c>
      <c r="D63" s="4">
        <f t="shared" si="17"/>
        <v>1080.1119999999999</v>
      </c>
      <c r="E63" s="4">
        <f t="shared" si="17"/>
        <v>0</v>
      </c>
      <c r="F63" s="4">
        <f t="shared" si="17"/>
        <v>0</v>
      </c>
      <c r="G63" s="4">
        <f t="shared" si="17"/>
        <v>0</v>
      </c>
      <c r="H63" s="4">
        <f t="shared" si="17"/>
        <v>0</v>
      </c>
      <c r="I63" s="4">
        <f t="shared" si="17"/>
        <v>0</v>
      </c>
    </row>
    <row r="64" spans="2:25" x14ac:dyDescent="0.2">
      <c r="B64" t="s">
        <v>37</v>
      </c>
      <c r="C64" s="4">
        <f t="shared" si="17"/>
        <v>319.20000000000005</v>
      </c>
      <c r="D64" s="4">
        <f t="shared" si="17"/>
        <v>0</v>
      </c>
      <c r="E64" s="4">
        <f t="shared" si="17"/>
        <v>0</v>
      </c>
      <c r="F64" s="4">
        <f t="shared" si="17"/>
        <v>0</v>
      </c>
      <c r="G64" s="4">
        <f t="shared" si="17"/>
        <v>0</v>
      </c>
      <c r="H64" s="4">
        <f t="shared" si="17"/>
        <v>0</v>
      </c>
      <c r="I64" s="4">
        <f t="shared" si="17"/>
        <v>0</v>
      </c>
    </row>
    <row r="65" spans="2:9" x14ac:dyDescent="0.2">
      <c r="B65" t="s">
        <v>3</v>
      </c>
      <c r="C65" s="4">
        <f t="shared" si="17"/>
        <v>120</v>
      </c>
      <c r="D65" s="4">
        <f t="shared" si="17"/>
        <v>0</v>
      </c>
      <c r="E65" s="4">
        <f t="shared" si="17"/>
        <v>0</v>
      </c>
      <c r="F65" s="4">
        <f t="shared" si="17"/>
        <v>0</v>
      </c>
      <c r="G65" s="4">
        <f t="shared" si="17"/>
        <v>0</v>
      </c>
      <c r="H65" s="4">
        <f t="shared" si="17"/>
        <v>0</v>
      </c>
      <c r="I65" s="4">
        <f t="shared" si="17"/>
        <v>0</v>
      </c>
    </row>
    <row r="67" spans="2:9" x14ac:dyDescent="0.2">
      <c r="B67" t="s">
        <v>119</v>
      </c>
    </row>
    <row r="68" spans="2:9" x14ac:dyDescent="0.2">
      <c r="C68">
        <v>1</v>
      </c>
      <c r="D68">
        <v>2</v>
      </c>
      <c r="E68">
        <v>3</v>
      </c>
      <c r="F68">
        <v>4</v>
      </c>
      <c r="G68">
        <v>5</v>
      </c>
      <c r="H68">
        <v>6</v>
      </c>
      <c r="I68">
        <v>7</v>
      </c>
    </row>
    <row r="69" spans="2:9" x14ac:dyDescent="0.2">
      <c r="B69" t="s">
        <v>94</v>
      </c>
      <c r="C69" s="4">
        <f>C59+C49</f>
        <v>0</v>
      </c>
      <c r="D69" s="4">
        <f>D59+D49</f>
        <v>6564.42</v>
      </c>
      <c r="E69" s="4">
        <f t="shared" ref="E69:I69" si="18">E59+E49</f>
        <v>9216.6299999999992</v>
      </c>
      <c r="F69" s="4">
        <f t="shared" si="18"/>
        <v>11656.663199999999</v>
      </c>
      <c r="G69" s="4">
        <f t="shared" si="18"/>
        <v>13857.997500000001</v>
      </c>
      <c r="H69" s="4">
        <f t="shared" si="18"/>
        <v>15741.066600000002</v>
      </c>
      <c r="I69" s="4">
        <f t="shared" si="18"/>
        <v>17597.613599999997</v>
      </c>
    </row>
    <row r="70" spans="2:9" x14ac:dyDescent="0.2">
      <c r="B70" t="s">
        <v>75</v>
      </c>
      <c r="C70" s="4">
        <f t="shared" ref="C70:I75" si="19">C60+C50</f>
        <v>0</v>
      </c>
      <c r="D70" s="4">
        <f t="shared" si="19"/>
        <v>3677.1840000000002</v>
      </c>
      <c r="E70" s="4">
        <f t="shared" si="19"/>
        <v>5343.4080000000013</v>
      </c>
      <c r="F70" s="4">
        <f t="shared" si="19"/>
        <v>6971.3280000000013</v>
      </c>
      <c r="G70" s="4">
        <f t="shared" si="19"/>
        <v>0</v>
      </c>
      <c r="H70" s="4">
        <f t="shared" si="19"/>
        <v>0</v>
      </c>
      <c r="I70" s="4">
        <f t="shared" si="19"/>
        <v>0</v>
      </c>
    </row>
    <row r="71" spans="2:9" x14ac:dyDescent="0.2">
      <c r="B71" t="s">
        <v>45</v>
      </c>
      <c r="C71" s="4">
        <f t="shared" si="19"/>
        <v>0</v>
      </c>
      <c r="D71" s="4">
        <f>D61+D51</f>
        <v>3177.9118799999997</v>
      </c>
      <c r="E71" s="4">
        <f t="shared" si="19"/>
        <v>4566.157596</v>
      </c>
      <c r="F71" s="4">
        <f t="shared" si="19"/>
        <v>5946.9696000000004</v>
      </c>
      <c r="G71" s="4">
        <f t="shared" si="19"/>
        <v>0</v>
      </c>
      <c r="H71" s="4">
        <f t="shared" si="19"/>
        <v>0</v>
      </c>
      <c r="I71" s="4">
        <f t="shared" si="19"/>
        <v>0</v>
      </c>
    </row>
    <row r="72" spans="2:9" x14ac:dyDescent="0.2">
      <c r="B72" t="s">
        <v>31</v>
      </c>
      <c r="C72" s="4">
        <f t="shared" si="19"/>
        <v>1528.3296</v>
      </c>
      <c r="D72" s="4">
        <f t="shared" si="19"/>
        <v>2933.4571199999996</v>
      </c>
      <c r="E72" s="4">
        <f t="shared" si="19"/>
        <v>4214.9147039999998</v>
      </c>
      <c r="F72" s="4">
        <f t="shared" si="19"/>
        <v>5489.5103999999992</v>
      </c>
      <c r="G72" s="4">
        <f t="shared" si="19"/>
        <v>0</v>
      </c>
      <c r="H72" s="4">
        <f t="shared" si="19"/>
        <v>0</v>
      </c>
      <c r="I72" s="4">
        <f t="shared" si="19"/>
        <v>0</v>
      </c>
    </row>
    <row r="73" spans="2:9" x14ac:dyDescent="0.2">
      <c r="B73" t="s">
        <v>36</v>
      </c>
      <c r="C73" s="4">
        <f t="shared" si="19"/>
        <v>1279.08</v>
      </c>
      <c r="D73" s="4">
        <f t="shared" si="19"/>
        <v>2430.2519999999995</v>
      </c>
      <c r="E73" s="4">
        <f t="shared" si="19"/>
        <v>0</v>
      </c>
      <c r="F73" s="4">
        <f t="shared" si="19"/>
        <v>0</v>
      </c>
      <c r="G73" s="4">
        <f t="shared" si="19"/>
        <v>0</v>
      </c>
      <c r="H73" s="4">
        <f t="shared" si="19"/>
        <v>0</v>
      </c>
      <c r="I73" s="4">
        <f t="shared" si="19"/>
        <v>0</v>
      </c>
    </row>
    <row r="74" spans="2:9" x14ac:dyDescent="0.2">
      <c r="B74" t="s">
        <v>37</v>
      </c>
      <c r="C74" s="4">
        <f t="shared" si="19"/>
        <v>718.2</v>
      </c>
      <c r="D74" s="4">
        <f t="shared" si="19"/>
        <v>0</v>
      </c>
      <c r="E74" s="4">
        <f t="shared" si="19"/>
        <v>0</v>
      </c>
      <c r="F74" s="4">
        <f t="shared" si="19"/>
        <v>0</v>
      </c>
      <c r="G74" s="4">
        <f t="shared" si="19"/>
        <v>0</v>
      </c>
      <c r="H74" s="4">
        <f t="shared" si="19"/>
        <v>0</v>
      </c>
      <c r="I74" s="4">
        <f t="shared" si="19"/>
        <v>0</v>
      </c>
    </row>
    <row r="75" spans="2:9" x14ac:dyDescent="0.2">
      <c r="B75" t="s">
        <v>3</v>
      </c>
      <c r="C75" s="4">
        <f t="shared" si="19"/>
        <v>270</v>
      </c>
      <c r="D75" s="4">
        <f t="shared" si="19"/>
        <v>0</v>
      </c>
      <c r="E75" s="4">
        <f t="shared" si="19"/>
        <v>0</v>
      </c>
      <c r="F75" s="4">
        <f t="shared" si="19"/>
        <v>0</v>
      </c>
      <c r="G75" s="4">
        <f t="shared" si="19"/>
        <v>0</v>
      </c>
      <c r="H75" s="4">
        <f t="shared" si="19"/>
        <v>0</v>
      </c>
      <c r="I75" s="4">
        <f t="shared" si="19"/>
        <v>0</v>
      </c>
    </row>
    <row r="78" spans="2:9" x14ac:dyDescent="0.2">
      <c r="B78" t="s">
        <v>120</v>
      </c>
      <c r="H78">
        <v>0.8</v>
      </c>
    </row>
    <row r="79" spans="2:9" x14ac:dyDescent="0.2">
      <c r="C79">
        <v>1</v>
      </c>
      <c r="D79">
        <v>2</v>
      </c>
      <c r="E79">
        <v>3</v>
      </c>
      <c r="F79">
        <v>4</v>
      </c>
      <c r="G79">
        <v>5</v>
      </c>
      <c r="H79">
        <v>6</v>
      </c>
      <c r="I79">
        <v>7</v>
      </c>
    </row>
    <row r="80" spans="2:9" x14ac:dyDescent="0.2">
      <c r="B80" t="s">
        <v>94</v>
      </c>
      <c r="C80" s="30" t="e">
        <f>C49/C69</f>
        <v>#DIV/0!</v>
      </c>
      <c r="D80" s="30">
        <f t="shared" ref="D80:I80" si="20">D49/D69</f>
        <v>0.55555555555555547</v>
      </c>
      <c r="E80" s="30">
        <f t="shared" si="20"/>
        <v>0.55555555555555558</v>
      </c>
      <c r="F80" s="30">
        <f t="shared" si="20"/>
        <v>0.55555555555555547</v>
      </c>
      <c r="G80" s="30">
        <f t="shared" si="20"/>
        <v>0.55555555555555547</v>
      </c>
      <c r="H80" s="30">
        <f t="shared" si="20"/>
        <v>0.55555555555555547</v>
      </c>
      <c r="I80" s="30">
        <f t="shared" si="20"/>
        <v>0.55555555555555558</v>
      </c>
    </row>
    <row r="81" spans="2:9" x14ac:dyDescent="0.2">
      <c r="B81" t="s">
        <v>75</v>
      </c>
      <c r="C81" s="30" t="e">
        <f t="shared" ref="C81:I86" si="21">C50/C70</f>
        <v>#DIV/0!</v>
      </c>
      <c r="D81" s="30">
        <f t="shared" si="21"/>
        <v>0.55555555555555558</v>
      </c>
      <c r="E81" s="30">
        <f t="shared" si="21"/>
        <v>0.55555555555555547</v>
      </c>
      <c r="F81" s="30">
        <f t="shared" si="21"/>
        <v>0.55555555555555547</v>
      </c>
      <c r="G81" s="30" t="e">
        <f t="shared" si="21"/>
        <v>#DIV/0!</v>
      </c>
      <c r="H81" s="30" t="e">
        <f t="shared" si="21"/>
        <v>#DIV/0!</v>
      </c>
      <c r="I81" s="30" t="e">
        <f t="shared" si="21"/>
        <v>#DIV/0!</v>
      </c>
    </row>
    <row r="82" spans="2:9" x14ac:dyDescent="0.2">
      <c r="B82" t="s">
        <v>45</v>
      </c>
      <c r="C82" s="30" t="e">
        <f t="shared" si="21"/>
        <v>#DIV/0!</v>
      </c>
      <c r="D82" s="30">
        <f t="shared" si="21"/>
        <v>0.55555555555555547</v>
      </c>
      <c r="E82" s="30">
        <f t="shared" si="21"/>
        <v>0.55555555555555547</v>
      </c>
      <c r="F82" s="30">
        <f t="shared" si="21"/>
        <v>0.55555555555555547</v>
      </c>
      <c r="G82" s="30" t="e">
        <f t="shared" si="21"/>
        <v>#DIV/0!</v>
      </c>
      <c r="H82" s="30" t="e">
        <f t="shared" si="21"/>
        <v>#DIV/0!</v>
      </c>
      <c r="I82" s="30" t="e">
        <f t="shared" si="21"/>
        <v>#DIV/0!</v>
      </c>
    </row>
    <row r="83" spans="2:9" x14ac:dyDescent="0.2">
      <c r="B83" t="s">
        <v>31</v>
      </c>
      <c r="C83" s="30">
        <f t="shared" si="21"/>
        <v>0.55555555555555558</v>
      </c>
      <c r="D83" s="30">
        <f t="shared" si="21"/>
        <v>0.55555555555555558</v>
      </c>
      <c r="E83" s="30">
        <f t="shared" si="21"/>
        <v>0.55555555555555558</v>
      </c>
      <c r="F83" s="30">
        <f t="shared" si="21"/>
        <v>0.55555555555555558</v>
      </c>
      <c r="G83" s="30" t="e">
        <f t="shared" si="21"/>
        <v>#DIV/0!</v>
      </c>
      <c r="H83" s="30" t="e">
        <f t="shared" si="21"/>
        <v>#DIV/0!</v>
      </c>
      <c r="I83" s="30" t="e">
        <f t="shared" si="21"/>
        <v>#DIV/0!</v>
      </c>
    </row>
    <row r="84" spans="2:9" x14ac:dyDescent="0.2">
      <c r="B84" t="s">
        <v>36</v>
      </c>
      <c r="C84" s="30">
        <f t="shared" si="21"/>
        <v>0.55555555555555558</v>
      </c>
      <c r="D84" s="30">
        <f t="shared" si="21"/>
        <v>0.55555555555555558</v>
      </c>
      <c r="E84" s="30" t="e">
        <f t="shared" si="21"/>
        <v>#DIV/0!</v>
      </c>
      <c r="F84" s="30" t="e">
        <f t="shared" si="21"/>
        <v>#DIV/0!</v>
      </c>
      <c r="G84" s="30" t="e">
        <f t="shared" si="21"/>
        <v>#DIV/0!</v>
      </c>
      <c r="H84" s="30" t="e">
        <f t="shared" si="21"/>
        <v>#DIV/0!</v>
      </c>
      <c r="I84" s="30" t="e">
        <f t="shared" si="21"/>
        <v>#DIV/0!</v>
      </c>
    </row>
    <row r="85" spans="2:9" x14ac:dyDescent="0.2">
      <c r="B85" t="s">
        <v>37</v>
      </c>
      <c r="C85" s="30">
        <f t="shared" si="21"/>
        <v>0.55555555555555547</v>
      </c>
      <c r="D85" s="30" t="e">
        <f t="shared" si="21"/>
        <v>#DIV/0!</v>
      </c>
      <c r="E85" s="30" t="e">
        <f t="shared" si="21"/>
        <v>#DIV/0!</v>
      </c>
      <c r="F85" s="30" t="e">
        <f t="shared" si="21"/>
        <v>#DIV/0!</v>
      </c>
      <c r="G85" s="30" t="e">
        <f t="shared" si="21"/>
        <v>#DIV/0!</v>
      </c>
      <c r="H85" s="30" t="e">
        <f t="shared" si="21"/>
        <v>#DIV/0!</v>
      </c>
      <c r="I85" s="30" t="e">
        <f t="shared" si="21"/>
        <v>#DIV/0!</v>
      </c>
    </row>
    <row r="86" spans="2:9" x14ac:dyDescent="0.2">
      <c r="B86" t="s">
        <v>3</v>
      </c>
      <c r="C86" s="30">
        <f t="shared" si="21"/>
        <v>0.55555555555555558</v>
      </c>
      <c r="D86" s="30" t="e">
        <f t="shared" si="21"/>
        <v>#DIV/0!</v>
      </c>
      <c r="E86" s="30" t="e">
        <f t="shared" si="21"/>
        <v>#DIV/0!</v>
      </c>
      <c r="F86" s="30" t="e">
        <f t="shared" si="21"/>
        <v>#DIV/0!</v>
      </c>
      <c r="G86" s="30" t="e">
        <f t="shared" si="21"/>
        <v>#DIV/0!</v>
      </c>
      <c r="H86" s="30" t="e">
        <f t="shared" si="21"/>
        <v>#DIV/0!</v>
      </c>
      <c r="I86" s="30" t="e">
        <f t="shared" si="21"/>
        <v>#DIV/0!</v>
      </c>
    </row>
    <row r="88" spans="2:9" x14ac:dyDescent="0.2">
      <c r="I88" s="5"/>
    </row>
    <row r="90" spans="2:9" x14ac:dyDescent="0.2">
      <c r="B90" t="s">
        <v>121</v>
      </c>
    </row>
    <row r="91" spans="2:9" x14ac:dyDescent="0.2">
      <c r="C91">
        <v>0.09</v>
      </c>
    </row>
    <row r="92" spans="2:9" x14ac:dyDescent="0.2">
      <c r="C92" s="2">
        <v>1</v>
      </c>
      <c r="D92" s="2">
        <v>2</v>
      </c>
      <c r="E92" s="2">
        <v>3</v>
      </c>
      <c r="F92" s="2">
        <v>4</v>
      </c>
      <c r="G92" s="2">
        <v>5</v>
      </c>
      <c r="H92" s="2">
        <v>6</v>
      </c>
      <c r="I92" s="2">
        <v>7</v>
      </c>
    </row>
    <row r="93" spans="2:9" x14ac:dyDescent="0.2">
      <c r="B93" t="s">
        <v>94</v>
      </c>
      <c r="C93" s="4">
        <f t="shared" ref="C93:I99" si="22">MROUND(C69/$C$91, 1000)</f>
        <v>0</v>
      </c>
      <c r="D93" s="4">
        <f>MROUND(D69/$C$91, 1000)</f>
        <v>73000</v>
      </c>
      <c r="E93" s="4">
        <f t="shared" si="22"/>
        <v>102000</v>
      </c>
      <c r="F93" s="4">
        <f t="shared" si="22"/>
        <v>130000</v>
      </c>
      <c r="G93" s="4">
        <f t="shared" si="22"/>
        <v>154000</v>
      </c>
      <c r="H93" s="4">
        <f t="shared" si="22"/>
        <v>175000</v>
      </c>
      <c r="I93" s="4">
        <f t="shared" si="22"/>
        <v>196000</v>
      </c>
    </row>
    <row r="94" spans="2:9" x14ac:dyDescent="0.2">
      <c r="B94" t="s">
        <v>75</v>
      </c>
      <c r="C94" s="4">
        <f t="shared" si="22"/>
        <v>0</v>
      </c>
      <c r="D94" s="4">
        <f t="shared" si="22"/>
        <v>41000</v>
      </c>
      <c r="E94" s="4">
        <f t="shared" si="22"/>
        <v>59000</v>
      </c>
      <c r="F94" s="4">
        <f t="shared" si="22"/>
        <v>77000</v>
      </c>
      <c r="G94" s="4">
        <f t="shared" si="22"/>
        <v>0</v>
      </c>
      <c r="H94" s="4">
        <f t="shared" si="22"/>
        <v>0</v>
      </c>
      <c r="I94" s="4">
        <f t="shared" si="22"/>
        <v>0</v>
      </c>
    </row>
    <row r="95" spans="2:9" x14ac:dyDescent="0.2">
      <c r="B95" t="s">
        <v>45</v>
      </c>
      <c r="C95" s="4">
        <f t="shared" si="22"/>
        <v>0</v>
      </c>
      <c r="D95" s="4">
        <f t="shared" si="22"/>
        <v>35000</v>
      </c>
      <c r="E95" s="4">
        <f t="shared" si="22"/>
        <v>51000</v>
      </c>
      <c r="F95" s="4">
        <f t="shared" si="22"/>
        <v>66000</v>
      </c>
      <c r="G95" s="4">
        <f t="shared" si="22"/>
        <v>0</v>
      </c>
      <c r="H95" s="4">
        <f t="shared" si="22"/>
        <v>0</v>
      </c>
      <c r="I95" s="4">
        <f t="shared" si="22"/>
        <v>0</v>
      </c>
    </row>
    <row r="96" spans="2:9" x14ac:dyDescent="0.2">
      <c r="B96" t="s">
        <v>31</v>
      </c>
      <c r="C96" s="4">
        <f t="shared" si="22"/>
        <v>17000</v>
      </c>
      <c r="D96" s="4">
        <f t="shared" si="22"/>
        <v>33000</v>
      </c>
      <c r="E96" s="4">
        <f t="shared" si="22"/>
        <v>47000</v>
      </c>
      <c r="F96" s="4">
        <f t="shared" si="22"/>
        <v>61000</v>
      </c>
      <c r="G96" s="4">
        <f t="shared" si="22"/>
        <v>0</v>
      </c>
      <c r="H96" s="4">
        <f t="shared" si="22"/>
        <v>0</v>
      </c>
      <c r="I96" s="4">
        <f t="shared" si="22"/>
        <v>0</v>
      </c>
    </row>
    <row r="97" spans="2:9" x14ac:dyDescent="0.2">
      <c r="B97" t="s">
        <v>36</v>
      </c>
      <c r="C97" s="4">
        <f t="shared" si="22"/>
        <v>14000</v>
      </c>
      <c r="D97" s="4">
        <f t="shared" si="22"/>
        <v>27000</v>
      </c>
      <c r="E97" s="4">
        <f t="shared" si="22"/>
        <v>0</v>
      </c>
      <c r="F97" s="4">
        <f t="shared" si="22"/>
        <v>0</v>
      </c>
      <c r="G97" s="4">
        <f t="shared" si="22"/>
        <v>0</v>
      </c>
      <c r="H97" s="4">
        <f t="shared" si="22"/>
        <v>0</v>
      </c>
      <c r="I97" s="4">
        <f t="shared" si="22"/>
        <v>0</v>
      </c>
    </row>
    <row r="98" spans="2:9" x14ac:dyDescent="0.2">
      <c r="B98" t="s">
        <v>37</v>
      </c>
      <c r="C98" s="4">
        <f t="shared" si="22"/>
        <v>8000</v>
      </c>
      <c r="D98" s="4">
        <f t="shared" si="22"/>
        <v>0</v>
      </c>
      <c r="E98" s="4">
        <f t="shared" si="22"/>
        <v>0</v>
      </c>
      <c r="F98" s="4">
        <f t="shared" si="22"/>
        <v>0</v>
      </c>
      <c r="G98" s="4">
        <f t="shared" si="22"/>
        <v>0</v>
      </c>
      <c r="H98" s="4">
        <f t="shared" si="22"/>
        <v>0</v>
      </c>
      <c r="I98" s="4">
        <f t="shared" si="22"/>
        <v>0</v>
      </c>
    </row>
    <row r="99" spans="2:9" x14ac:dyDescent="0.2">
      <c r="B99" t="s">
        <v>3</v>
      </c>
      <c r="C99" s="4">
        <f t="shared" si="22"/>
        <v>3000</v>
      </c>
      <c r="D99" s="4">
        <f t="shared" si="22"/>
        <v>0</v>
      </c>
      <c r="E99" s="4">
        <f t="shared" si="22"/>
        <v>0</v>
      </c>
      <c r="F99" s="4">
        <f t="shared" si="22"/>
        <v>0</v>
      </c>
      <c r="G99" s="4">
        <f t="shared" si="22"/>
        <v>0</v>
      </c>
      <c r="H99" s="4">
        <f t="shared" si="22"/>
        <v>0</v>
      </c>
      <c r="I99" s="4">
        <f t="shared" si="22"/>
        <v>0</v>
      </c>
    </row>
    <row r="102" spans="2:9" x14ac:dyDescent="0.2">
      <c r="B102" t="s">
        <v>123</v>
      </c>
    </row>
  </sheetData>
  <pageMargins left="0.7" right="0.7" top="0.75" bottom="0.75" header="0.3" footer="0.3"/>
  <pageSetup orientation="portrait" horizontalDpi="4294967292" verticalDpi="12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7DC9E-92AA-4DD0-8595-1071A3BB09D9}">
  <sheetPr>
    <tabColor rgb="FFC00000"/>
  </sheetPr>
  <dimension ref="B2:AJ57"/>
  <sheetViews>
    <sheetView showGridLines="0" topLeftCell="A219" zoomScale="120" zoomScaleNormal="120" workbookViewId="0">
      <selection activeCell="Z185" sqref="Z185"/>
    </sheetView>
  </sheetViews>
  <sheetFormatPr defaultColWidth="8.85546875" defaultRowHeight="12.75" x14ac:dyDescent="0.2"/>
  <cols>
    <col min="2" max="2" width="19.7109375" customWidth="1"/>
    <col min="3" max="25" width="5.140625" customWidth="1"/>
    <col min="29" max="30" width="4.140625" customWidth="1"/>
    <col min="31" max="35" width="7" customWidth="1"/>
  </cols>
  <sheetData>
    <row r="2" spans="2:36" ht="95.25" customHeight="1" x14ac:dyDescent="0.2"/>
    <row r="4" spans="2:36" ht="13.5" thickBot="1" x14ac:dyDescent="0.25">
      <c r="B4" s="3" t="s">
        <v>337</v>
      </c>
      <c r="C4" s="2"/>
      <c r="D4" s="2"/>
      <c r="E4" s="2"/>
      <c r="F4" s="2"/>
      <c r="G4" s="2"/>
      <c r="H4" s="2"/>
      <c r="I4" s="2"/>
      <c r="J4" s="2"/>
      <c r="K4" s="2"/>
      <c r="L4" s="2"/>
      <c r="M4" s="2"/>
      <c r="N4" s="2"/>
      <c r="O4" s="2"/>
      <c r="P4" s="2"/>
      <c r="AA4" s="29"/>
      <c r="AH4" s="2"/>
    </row>
    <row r="5" spans="2:36" x14ac:dyDescent="0.2">
      <c r="B5" s="173" t="s">
        <v>287</v>
      </c>
      <c r="C5" s="174">
        <v>0</v>
      </c>
      <c r="D5" s="174">
        <v>0.5</v>
      </c>
      <c r="E5" s="174">
        <v>1</v>
      </c>
      <c r="F5" s="174">
        <v>1.5</v>
      </c>
      <c r="G5" s="174">
        <v>2</v>
      </c>
      <c r="H5" s="174">
        <v>2.5</v>
      </c>
      <c r="I5" s="174">
        <v>3</v>
      </c>
      <c r="J5" s="174">
        <v>3.5</v>
      </c>
      <c r="K5" s="174">
        <v>4</v>
      </c>
      <c r="L5" s="174">
        <v>4.5</v>
      </c>
      <c r="M5" s="174">
        <v>5</v>
      </c>
      <c r="N5" s="174">
        <v>5.5</v>
      </c>
      <c r="O5" s="175">
        <v>6</v>
      </c>
      <c r="P5" s="115"/>
      <c r="Q5" s="1"/>
      <c r="R5" s="1"/>
      <c r="S5" s="1"/>
      <c r="AA5" s="29"/>
      <c r="AB5" s="1"/>
      <c r="AC5" s="1"/>
      <c r="AD5" s="1"/>
      <c r="AE5" s="1"/>
      <c r="AF5" s="1"/>
      <c r="AG5" s="1"/>
      <c r="AH5" s="1"/>
      <c r="AI5" s="115"/>
      <c r="AJ5" s="1"/>
    </row>
    <row r="6" spans="2:36" x14ac:dyDescent="0.2">
      <c r="B6" s="176" t="s">
        <v>172</v>
      </c>
      <c r="C6" s="177">
        <v>1</v>
      </c>
      <c r="D6" s="177">
        <v>2</v>
      </c>
      <c r="E6" s="177">
        <v>3</v>
      </c>
      <c r="F6" s="177">
        <v>4</v>
      </c>
      <c r="G6" s="177">
        <v>5</v>
      </c>
      <c r="H6" s="177">
        <v>6</v>
      </c>
      <c r="I6" s="177">
        <v>7</v>
      </c>
      <c r="J6" s="177">
        <v>8</v>
      </c>
      <c r="K6" s="177">
        <v>9</v>
      </c>
      <c r="L6" s="177">
        <v>10</v>
      </c>
      <c r="M6" s="178" t="s">
        <v>173</v>
      </c>
      <c r="N6" s="177">
        <v>2</v>
      </c>
      <c r="O6" s="179">
        <v>3</v>
      </c>
      <c r="P6" s="2"/>
      <c r="Q6" s="245"/>
      <c r="R6" t="s">
        <v>288</v>
      </c>
      <c r="V6" s="246"/>
      <c r="W6" t="s">
        <v>31</v>
      </c>
      <c r="AA6" s="1"/>
      <c r="AB6" s="1"/>
      <c r="AC6" s="1"/>
      <c r="AD6" s="1"/>
      <c r="AE6" s="1"/>
      <c r="AF6" s="1"/>
      <c r="AG6" s="1"/>
      <c r="AH6" s="1"/>
      <c r="AI6" s="115"/>
      <c r="AJ6" s="1"/>
    </row>
    <row r="7" spans="2:36" ht="13.5" thickBot="1" x14ac:dyDescent="0.25">
      <c r="B7" s="180" t="s">
        <v>143</v>
      </c>
      <c r="C7" s="181" t="s">
        <v>168</v>
      </c>
      <c r="D7" s="182" t="s">
        <v>169</v>
      </c>
      <c r="E7" s="183" t="s">
        <v>171</v>
      </c>
      <c r="F7" s="182" t="s">
        <v>169</v>
      </c>
      <c r="G7" s="184" t="s">
        <v>170</v>
      </c>
      <c r="H7" s="182" t="s">
        <v>169</v>
      </c>
      <c r="I7" s="183" t="s">
        <v>171</v>
      </c>
      <c r="J7" s="182" t="s">
        <v>169</v>
      </c>
      <c r="K7" s="184" t="s">
        <v>170</v>
      </c>
      <c r="L7" s="182" t="s">
        <v>169</v>
      </c>
      <c r="M7" s="181" t="s">
        <v>168</v>
      </c>
      <c r="N7" s="182" t="s">
        <v>169</v>
      </c>
      <c r="O7" s="185" t="s">
        <v>174</v>
      </c>
      <c r="P7" s="115"/>
      <c r="Q7" s="247"/>
      <c r="R7" t="s">
        <v>45</v>
      </c>
      <c r="V7" s="248"/>
      <c r="W7" t="s">
        <v>73</v>
      </c>
      <c r="AC7" s="3" t="s">
        <v>338</v>
      </c>
      <c r="AI7" s="2"/>
    </row>
    <row r="8" spans="2:36" x14ac:dyDescent="0.2">
      <c r="C8" s="2"/>
      <c r="D8" s="2"/>
      <c r="E8" s="2"/>
      <c r="F8" s="2"/>
      <c r="G8" s="2"/>
      <c r="H8" s="2"/>
      <c r="I8" s="2"/>
      <c r="J8" s="2"/>
      <c r="K8" s="2"/>
      <c r="L8" s="2"/>
      <c r="M8" s="2"/>
      <c r="N8" s="2"/>
      <c r="O8" s="2"/>
      <c r="P8" s="2"/>
      <c r="AC8" s="132"/>
      <c r="AD8" s="133"/>
      <c r="AE8" s="129" t="s">
        <v>140</v>
      </c>
      <c r="AF8" s="129" t="s">
        <v>140</v>
      </c>
      <c r="AG8" s="129" t="s">
        <v>140</v>
      </c>
      <c r="AH8" s="130" t="s">
        <v>140</v>
      </c>
      <c r="AI8" s="112" t="s">
        <v>141</v>
      </c>
    </row>
    <row r="9" spans="2:36" ht="13.5" thickBot="1" x14ac:dyDescent="0.25">
      <c r="B9" s="3" t="s">
        <v>339</v>
      </c>
      <c r="C9" s="2"/>
      <c r="D9" s="2"/>
      <c r="E9" s="2"/>
      <c r="F9" s="2"/>
      <c r="G9" s="2"/>
      <c r="H9" s="2"/>
      <c r="I9" s="2"/>
      <c r="J9" s="2"/>
      <c r="K9" s="2"/>
      <c r="L9" s="2"/>
      <c r="M9" s="2"/>
      <c r="N9" s="2"/>
      <c r="O9" s="2"/>
      <c r="P9" s="2"/>
      <c r="AC9" s="134"/>
      <c r="AD9" s="135"/>
      <c r="AE9" s="126" t="s">
        <v>148</v>
      </c>
      <c r="AF9" s="126" t="s">
        <v>149</v>
      </c>
      <c r="AG9" s="126" t="s">
        <v>150</v>
      </c>
      <c r="AH9" s="131" t="s">
        <v>151</v>
      </c>
      <c r="AI9" s="2"/>
    </row>
    <row r="10" spans="2:36" x14ac:dyDescent="0.2">
      <c r="B10" s="173" t="s">
        <v>287</v>
      </c>
      <c r="C10" s="174">
        <v>0</v>
      </c>
      <c r="D10" s="174">
        <v>0.5</v>
      </c>
      <c r="E10" s="174">
        <v>1</v>
      </c>
      <c r="F10" s="174">
        <v>1.5</v>
      </c>
      <c r="G10" s="174">
        <v>2</v>
      </c>
      <c r="H10" s="174">
        <v>2.5</v>
      </c>
      <c r="I10" s="174">
        <v>3</v>
      </c>
      <c r="J10" s="174">
        <v>3.5</v>
      </c>
      <c r="K10" s="174">
        <v>4</v>
      </c>
      <c r="L10" s="174">
        <v>4.5</v>
      </c>
      <c r="M10" s="174">
        <v>5</v>
      </c>
      <c r="N10" s="174">
        <v>5.5</v>
      </c>
      <c r="O10" s="174">
        <v>6</v>
      </c>
      <c r="P10" s="174">
        <v>6.5</v>
      </c>
      <c r="Q10" s="174">
        <v>7</v>
      </c>
      <c r="R10" s="174">
        <v>7.5</v>
      </c>
      <c r="S10" s="175">
        <v>8</v>
      </c>
      <c r="U10" s="178" t="s">
        <v>173</v>
      </c>
      <c r="V10" t="s">
        <v>289</v>
      </c>
      <c r="AC10" s="125" t="s">
        <v>139</v>
      </c>
      <c r="AD10" s="126" t="s">
        <v>148</v>
      </c>
      <c r="AE10" s="2">
        <v>1</v>
      </c>
      <c r="AF10" s="2">
        <v>2</v>
      </c>
      <c r="AG10" s="2">
        <v>2</v>
      </c>
      <c r="AH10" s="113">
        <v>5</v>
      </c>
      <c r="AI10" s="2">
        <f>SUM(AE10:AH10)</f>
        <v>10</v>
      </c>
    </row>
    <row r="11" spans="2:36" x14ac:dyDescent="0.2">
      <c r="B11" s="176" t="s">
        <v>172</v>
      </c>
      <c r="C11" s="177">
        <v>1</v>
      </c>
      <c r="D11" s="177">
        <v>2</v>
      </c>
      <c r="E11" s="177">
        <v>3</v>
      </c>
      <c r="F11" s="177">
        <v>4</v>
      </c>
      <c r="G11" s="177">
        <v>5</v>
      </c>
      <c r="H11" s="177">
        <v>6</v>
      </c>
      <c r="I11" s="177">
        <v>7</v>
      </c>
      <c r="J11" s="177">
        <v>8</v>
      </c>
      <c r="K11" s="177">
        <v>9</v>
      </c>
      <c r="L11" s="177">
        <v>10</v>
      </c>
      <c r="M11" s="177">
        <v>11</v>
      </c>
      <c r="N11" s="177">
        <v>12</v>
      </c>
      <c r="O11" s="177">
        <v>13</v>
      </c>
      <c r="P11" s="177">
        <v>14</v>
      </c>
      <c r="Q11" s="178" t="s">
        <v>173</v>
      </c>
      <c r="R11" s="177">
        <v>2</v>
      </c>
      <c r="S11" s="186">
        <v>3</v>
      </c>
      <c r="AC11" s="125" t="s">
        <v>139</v>
      </c>
      <c r="AD11" s="126" t="s">
        <v>149</v>
      </c>
      <c r="AE11" s="2">
        <v>2</v>
      </c>
      <c r="AF11" s="2">
        <v>4</v>
      </c>
      <c r="AG11" s="2">
        <v>4</v>
      </c>
      <c r="AH11" s="113">
        <v>10</v>
      </c>
      <c r="AI11" s="2">
        <f>SUM(AE11:AH11)</f>
        <v>20</v>
      </c>
    </row>
    <row r="12" spans="2:36" ht="13.5" thickBot="1" x14ac:dyDescent="0.25">
      <c r="B12" s="180" t="s">
        <v>143</v>
      </c>
      <c r="C12" s="181" t="s">
        <v>168</v>
      </c>
      <c r="D12" s="182" t="s">
        <v>169</v>
      </c>
      <c r="E12" s="184" t="s">
        <v>170</v>
      </c>
      <c r="F12" s="182" t="s">
        <v>169</v>
      </c>
      <c r="G12" s="182" t="s">
        <v>169</v>
      </c>
      <c r="H12" s="183" t="s">
        <v>171</v>
      </c>
      <c r="I12" s="182" t="s">
        <v>169</v>
      </c>
      <c r="J12" s="182" t="s">
        <v>169</v>
      </c>
      <c r="K12" s="184" t="s">
        <v>170</v>
      </c>
      <c r="L12" s="182" t="s">
        <v>169</v>
      </c>
      <c r="M12" s="182" t="s">
        <v>169</v>
      </c>
      <c r="N12" s="183" t="s">
        <v>171</v>
      </c>
      <c r="O12" s="182" t="s">
        <v>169</v>
      </c>
      <c r="P12" s="182" t="s">
        <v>169</v>
      </c>
      <c r="Q12" s="181" t="s">
        <v>168</v>
      </c>
      <c r="R12" s="182" t="s">
        <v>169</v>
      </c>
      <c r="S12" s="187" t="s">
        <v>174</v>
      </c>
      <c r="AC12" s="125" t="s">
        <v>139</v>
      </c>
      <c r="AD12" s="126" t="s">
        <v>150</v>
      </c>
      <c r="AE12" s="2">
        <v>2</v>
      </c>
      <c r="AF12" s="2">
        <v>4</v>
      </c>
      <c r="AG12" s="2">
        <v>4</v>
      </c>
      <c r="AH12" s="113">
        <v>10</v>
      </c>
      <c r="AI12" s="2">
        <f>SUM(AE12:AH12)</f>
        <v>20</v>
      </c>
    </row>
    <row r="13" spans="2:36" x14ac:dyDescent="0.2">
      <c r="C13" s="2"/>
      <c r="D13" s="2"/>
      <c r="E13" s="2"/>
      <c r="F13" s="2"/>
      <c r="G13" s="2"/>
      <c r="H13" s="2"/>
      <c r="I13" s="2"/>
      <c r="J13" s="2"/>
      <c r="K13" s="2"/>
      <c r="L13" s="2"/>
      <c r="M13" s="2"/>
      <c r="N13" s="2"/>
      <c r="O13" s="2"/>
      <c r="P13" s="2"/>
      <c r="AC13" s="127" t="s">
        <v>139</v>
      </c>
      <c r="AD13" s="128" t="s">
        <v>151</v>
      </c>
      <c r="AE13" s="114">
        <v>5</v>
      </c>
      <c r="AF13" s="114">
        <v>10</v>
      </c>
      <c r="AG13" s="114">
        <v>10</v>
      </c>
      <c r="AH13" s="154">
        <v>25</v>
      </c>
      <c r="AI13" s="2">
        <f>SUM(AE13:AH13)</f>
        <v>50</v>
      </c>
    </row>
    <row r="14" spans="2:36" ht="13.5" thickBot="1" x14ac:dyDescent="0.25">
      <c r="B14" s="3" t="s">
        <v>290</v>
      </c>
      <c r="C14" s="2"/>
      <c r="D14" s="2"/>
      <c r="E14" s="2"/>
      <c r="F14" s="2"/>
      <c r="G14" s="2"/>
      <c r="H14" s="2"/>
      <c r="I14" s="2"/>
      <c r="J14" s="2"/>
      <c r="K14" s="2"/>
      <c r="L14" s="2"/>
      <c r="M14" s="2"/>
      <c r="N14" s="2"/>
      <c r="O14" s="2"/>
      <c r="P14" s="2"/>
      <c r="AC14" t="s">
        <v>141</v>
      </c>
      <c r="AE14" s="2">
        <f>SUM(AE10:AE13)</f>
        <v>10</v>
      </c>
      <c r="AF14" s="2">
        <f>SUM(AF10:AF13)</f>
        <v>20</v>
      </c>
      <c r="AG14" s="2">
        <f>SUM(AG10:AG13)</f>
        <v>20</v>
      </c>
      <c r="AH14" s="2">
        <f>SUM(AH10:AH13)</f>
        <v>50</v>
      </c>
      <c r="AI14" s="155">
        <f>SUM(AE10:AH13)</f>
        <v>100</v>
      </c>
    </row>
    <row r="15" spans="2:36" x14ac:dyDescent="0.2">
      <c r="B15" s="173" t="s">
        <v>287</v>
      </c>
      <c r="C15" s="174">
        <v>0</v>
      </c>
      <c r="D15" s="174">
        <v>0.5</v>
      </c>
      <c r="E15" s="174">
        <v>1</v>
      </c>
      <c r="F15" s="174">
        <v>1.5</v>
      </c>
      <c r="G15" s="174">
        <v>2</v>
      </c>
      <c r="H15" s="174">
        <v>2.5</v>
      </c>
      <c r="I15" s="174">
        <v>3</v>
      </c>
      <c r="J15" s="174">
        <v>3.5</v>
      </c>
      <c r="K15" s="174">
        <v>4</v>
      </c>
      <c r="L15" s="174">
        <v>4.5</v>
      </c>
      <c r="M15" s="174">
        <v>5</v>
      </c>
      <c r="N15" s="174">
        <v>5.5</v>
      </c>
      <c r="O15" s="174">
        <v>6</v>
      </c>
      <c r="P15" s="174">
        <v>6.5</v>
      </c>
      <c r="Q15" s="174">
        <v>7</v>
      </c>
      <c r="R15" s="174">
        <v>7.5</v>
      </c>
      <c r="S15" s="174">
        <v>8</v>
      </c>
      <c r="T15" s="174">
        <v>8.5</v>
      </c>
      <c r="U15" s="174">
        <v>9</v>
      </c>
      <c r="V15" s="174">
        <v>9.5</v>
      </c>
      <c r="W15" s="305">
        <v>10</v>
      </c>
      <c r="X15" s="305">
        <v>10.5</v>
      </c>
      <c r="Y15" s="306">
        <v>11</v>
      </c>
      <c r="AD15" s="136"/>
      <c r="AE15" s="137"/>
      <c r="AF15" s="137"/>
      <c r="AG15" s="137"/>
      <c r="AH15" s="138"/>
      <c r="AI15" s="139"/>
    </row>
    <row r="16" spans="2:36" x14ac:dyDescent="0.2">
      <c r="B16" s="176" t="s">
        <v>172</v>
      </c>
      <c r="C16" s="177">
        <v>1</v>
      </c>
      <c r="D16" s="177">
        <v>2</v>
      </c>
      <c r="E16" s="177">
        <v>3</v>
      </c>
      <c r="F16" s="177">
        <v>4</v>
      </c>
      <c r="G16" s="177">
        <v>5</v>
      </c>
      <c r="H16" s="177">
        <v>6</v>
      </c>
      <c r="I16" s="177">
        <v>7</v>
      </c>
      <c r="J16" s="177">
        <v>8</v>
      </c>
      <c r="K16" s="177">
        <v>9</v>
      </c>
      <c r="L16" s="177">
        <v>10</v>
      </c>
      <c r="M16" s="177">
        <v>11</v>
      </c>
      <c r="N16" s="177">
        <v>12</v>
      </c>
      <c r="O16" s="177">
        <v>13</v>
      </c>
      <c r="P16" s="177">
        <v>14</v>
      </c>
      <c r="Q16" s="177">
        <v>15</v>
      </c>
      <c r="R16" s="177">
        <v>16</v>
      </c>
      <c r="S16" s="177">
        <v>17</v>
      </c>
      <c r="T16" s="177">
        <v>18</v>
      </c>
      <c r="U16" s="177">
        <v>19</v>
      </c>
      <c r="V16" s="177">
        <v>20</v>
      </c>
      <c r="W16" s="178" t="s">
        <v>173</v>
      </c>
      <c r="X16" s="177">
        <v>2</v>
      </c>
      <c r="Y16" s="186">
        <v>3</v>
      </c>
      <c r="AI16" s="2"/>
    </row>
    <row r="17" spans="2:35" ht="13.5" thickBot="1" x14ac:dyDescent="0.25">
      <c r="B17" s="180" t="s">
        <v>143</v>
      </c>
      <c r="C17" s="181" t="s">
        <v>168</v>
      </c>
      <c r="D17" s="182" t="s">
        <v>169</v>
      </c>
      <c r="E17" s="182" t="s">
        <v>169</v>
      </c>
      <c r="F17" s="183" t="s">
        <v>171</v>
      </c>
      <c r="G17" s="182" t="s">
        <v>169</v>
      </c>
      <c r="H17" s="182" t="s">
        <v>169</v>
      </c>
      <c r="I17" s="184" t="s">
        <v>170</v>
      </c>
      <c r="J17" s="182" t="s">
        <v>169</v>
      </c>
      <c r="K17" s="182" t="s">
        <v>169</v>
      </c>
      <c r="L17" s="183" t="s">
        <v>171</v>
      </c>
      <c r="M17" s="182" t="s">
        <v>169</v>
      </c>
      <c r="N17" s="182" t="s">
        <v>169</v>
      </c>
      <c r="O17" s="184" t="s">
        <v>170</v>
      </c>
      <c r="P17" s="182" t="s">
        <v>169</v>
      </c>
      <c r="Q17" s="182" t="s">
        <v>169</v>
      </c>
      <c r="R17" s="183" t="s">
        <v>171</v>
      </c>
      <c r="S17" s="182" t="s">
        <v>169</v>
      </c>
      <c r="T17" s="182" t="s">
        <v>169</v>
      </c>
      <c r="U17" s="184" t="s">
        <v>170</v>
      </c>
      <c r="V17" s="182" t="s">
        <v>169</v>
      </c>
      <c r="W17" s="181" t="s">
        <v>168</v>
      </c>
      <c r="X17" s="182" t="s">
        <v>169</v>
      </c>
      <c r="Y17" s="249" t="s">
        <v>174</v>
      </c>
      <c r="AC17" s="3" t="s">
        <v>152</v>
      </c>
      <c r="AI17" s="2"/>
    </row>
    <row r="18" spans="2:35" x14ac:dyDescent="0.2">
      <c r="C18" s="2"/>
      <c r="D18" s="2"/>
      <c r="E18" s="2"/>
      <c r="F18" s="2"/>
      <c r="G18" s="2"/>
      <c r="H18" s="2"/>
      <c r="I18" s="2"/>
      <c r="J18" s="2"/>
      <c r="K18" s="2"/>
      <c r="L18" s="2"/>
      <c r="M18" s="2"/>
      <c r="N18" s="2"/>
      <c r="O18" s="2"/>
      <c r="P18" s="2"/>
      <c r="AC18" s="132"/>
      <c r="AD18" s="133"/>
      <c r="AE18" s="129" t="s">
        <v>140</v>
      </c>
      <c r="AF18" s="129" t="s">
        <v>140</v>
      </c>
      <c r="AG18" s="129" t="s">
        <v>140</v>
      </c>
      <c r="AH18" s="130" t="s">
        <v>140</v>
      </c>
      <c r="AI18" s="112" t="s">
        <v>141</v>
      </c>
    </row>
    <row r="19" spans="2:35" x14ac:dyDescent="0.2">
      <c r="AC19" s="134"/>
      <c r="AD19" s="135"/>
      <c r="AE19" s="126" t="s">
        <v>148</v>
      </c>
      <c r="AF19" s="126" t="s">
        <v>149</v>
      </c>
      <c r="AG19" s="126" t="s">
        <v>150</v>
      </c>
      <c r="AH19" s="131" t="s">
        <v>151</v>
      </c>
      <c r="AI19" s="2"/>
    </row>
    <row r="20" spans="2:35" x14ac:dyDescent="0.2">
      <c r="AC20" s="125" t="s">
        <v>139</v>
      </c>
      <c r="AD20" s="126" t="s">
        <v>148</v>
      </c>
      <c r="AE20" s="2">
        <f t="shared" ref="AE20:AH23" si="0">AE10/$AD$28</f>
        <v>0.04</v>
      </c>
      <c r="AF20" s="2">
        <f t="shared" si="0"/>
        <v>0.08</v>
      </c>
      <c r="AG20" s="2">
        <f t="shared" si="0"/>
        <v>0.08</v>
      </c>
      <c r="AH20" s="113">
        <f t="shared" si="0"/>
        <v>0.2</v>
      </c>
      <c r="AI20" s="2">
        <f>SUM(AE20:AH20)</f>
        <v>0.4</v>
      </c>
    </row>
    <row r="21" spans="2:35" x14ac:dyDescent="0.2">
      <c r="AC21" s="125" t="s">
        <v>139</v>
      </c>
      <c r="AD21" s="126" t="s">
        <v>149</v>
      </c>
      <c r="AE21" s="2">
        <f t="shared" si="0"/>
        <v>0.08</v>
      </c>
      <c r="AF21" s="2">
        <f t="shared" si="0"/>
        <v>0.16</v>
      </c>
      <c r="AG21" s="2">
        <f t="shared" si="0"/>
        <v>0.16</v>
      </c>
      <c r="AH21" s="113">
        <f t="shared" si="0"/>
        <v>0.4</v>
      </c>
      <c r="AI21" s="2">
        <f>SUM(AE21:AH21)</f>
        <v>0.8</v>
      </c>
    </row>
    <row r="22" spans="2:35" x14ac:dyDescent="0.2">
      <c r="AC22" s="125" t="s">
        <v>139</v>
      </c>
      <c r="AD22" s="126" t="s">
        <v>150</v>
      </c>
      <c r="AE22" s="2">
        <f t="shared" si="0"/>
        <v>0.08</v>
      </c>
      <c r="AF22" s="2">
        <f t="shared" si="0"/>
        <v>0.16</v>
      </c>
      <c r="AG22" s="2">
        <f t="shared" si="0"/>
        <v>0.16</v>
      </c>
      <c r="AH22" s="113">
        <f t="shared" si="0"/>
        <v>0.4</v>
      </c>
      <c r="AI22" s="2">
        <f>SUM(AE22:AH22)</f>
        <v>0.8</v>
      </c>
    </row>
    <row r="23" spans="2:35" x14ac:dyDescent="0.2">
      <c r="AC23" s="127" t="s">
        <v>139</v>
      </c>
      <c r="AD23" s="128" t="s">
        <v>151</v>
      </c>
      <c r="AE23" s="114">
        <f t="shared" si="0"/>
        <v>0.2</v>
      </c>
      <c r="AF23" s="114">
        <f t="shared" si="0"/>
        <v>0.4</v>
      </c>
      <c r="AG23" s="114">
        <f t="shared" si="0"/>
        <v>0.4</v>
      </c>
      <c r="AH23" s="154">
        <f t="shared" si="0"/>
        <v>1</v>
      </c>
      <c r="AI23" s="2">
        <f>SUM(AE23:AH23)</f>
        <v>2</v>
      </c>
    </row>
    <row r="24" spans="2:35" x14ac:dyDescent="0.2">
      <c r="AC24" t="s">
        <v>141</v>
      </c>
      <c r="AE24" s="2">
        <f>SUM(AE20:AE23)</f>
        <v>0.4</v>
      </c>
      <c r="AF24" s="2">
        <f>SUM(AF20:AF23)</f>
        <v>0.8</v>
      </c>
      <c r="AG24" s="2">
        <f>SUM(AG20:AG23)</f>
        <v>0.8</v>
      </c>
      <c r="AH24" s="2">
        <f>SUM(AH20:AH23)</f>
        <v>2</v>
      </c>
      <c r="AI24" s="155">
        <f>SUM(AE20:AH23)</f>
        <v>4</v>
      </c>
    </row>
    <row r="25" spans="2:35" x14ac:dyDescent="0.2">
      <c r="AD25" s="136"/>
      <c r="AE25" s="137"/>
      <c r="AF25" s="137"/>
      <c r="AG25" s="137"/>
      <c r="AH25" s="138"/>
      <c r="AI25" s="139"/>
    </row>
    <row r="26" spans="2:35" x14ac:dyDescent="0.2">
      <c r="AH26" s="2"/>
    </row>
    <row r="28" spans="2:35" x14ac:dyDescent="0.2">
      <c r="AD28">
        <v>25</v>
      </c>
      <c r="AI28" s="2"/>
    </row>
    <row r="29" spans="2:35" x14ac:dyDescent="0.2">
      <c r="AI29" s="2"/>
    </row>
    <row r="30" spans="2:35" x14ac:dyDescent="0.2">
      <c r="AI30" s="2"/>
    </row>
    <row r="31" spans="2:35" x14ac:dyDescent="0.2">
      <c r="AI31" s="2"/>
    </row>
    <row r="32" spans="2:35" x14ac:dyDescent="0.2">
      <c r="AI32" s="2"/>
    </row>
    <row r="33" spans="30:35" x14ac:dyDescent="0.2">
      <c r="AI33" s="2"/>
    </row>
    <row r="34" spans="30:35" x14ac:dyDescent="0.2">
      <c r="AD34" s="112"/>
      <c r="AF34" s="2"/>
      <c r="AI34" s="2"/>
    </row>
    <row r="35" spans="30:35" x14ac:dyDescent="0.2">
      <c r="AD35" s="112"/>
      <c r="AF35" s="2"/>
      <c r="AI35" s="2"/>
    </row>
    <row r="36" spans="30:35" x14ac:dyDescent="0.2">
      <c r="AD36" s="112"/>
      <c r="AF36" s="2"/>
      <c r="AH36" s="2"/>
    </row>
    <row r="37" spans="30:35" x14ac:dyDescent="0.2">
      <c r="AD37" s="112"/>
      <c r="AF37" s="2"/>
      <c r="AH37" s="2"/>
    </row>
    <row r="38" spans="30:35" x14ac:dyDescent="0.2">
      <c r="AF38" s="2"/>
      <c r="AH38" s="2"/>
    </row>
    <row r="39" spans="30:35" x14ac:dyDescent="0.2">
      <c r="AD39" s="112"/>
      <c r="AF39" s="2"/>
      <c r="AH39" s="2"/>
    </row>
    <row r="40" spans="30:35" x14ac:dyDescent="0.2">
      <c r="AD40" s="112"/>
      <c r="AF40" s="2"/>
      <c r="AH40" s="2"/>
    </row>
    <row r="41" spans="30:35" x14ac:dyDescent="0.2">
      <c r="AD41" s="112"/>
      <c r="AF41" s="2"/>
      <c r="AH41" s="2"/>
    </row>
    <row r="42" spans="30:35" x14ac:dyDescent="0.2">
      <c r="AF42" s="2"/>
      <c r="AH42" s="2"/>
    </row>
    <row r="43" spans="30:35" x14ac:dyDescent="0.2">
      <c r="AD43" s="112"/>
      <c r="AF43" s="2"/>
      <c r="AH43" s="2"/>
    </row>
    <row r="44" spans="30:35" x14ac:dyDescent="0.2">
      <c r="AD44" s="112"/>
      <c r="AF44" s="2"/>
      <c r="AH44" s="2"/>
    </row>
    <row r="45" spans="30:35" x14ac:dyDescent="0.2">
      <c r="AH45" s="2"/>
    </row>
    <row r="46" spans="30:35" x14ac:dyDescent="0.2">
      <c r="AD46" s="112"/>
      <c r="AF46" s="2"/>
      <c r="AH46" s="2"/>
    </row>
    <row r="47" spans="30:35" x14ac:dyDescent="0.2">
      <c r="AH47" s="2"/>
    </row>
    <row r="48" spans="30:35" x14ac:dyDescent="0.2">
      <c r="AD48" s="112"/>
      <c r="AF48" s="2"/>
      <c r="AH48" s="2"/>
    </row>
    <row r="49" spans="34:34" x14ac:dyDescent="0.2">
      <c r="AH49" s="2"/>
    </row>
    <row r="50" spans="34:34" x14ac:dyDescent="0.2">
      <c r="AH50" s="2"/>
    </row>
    <row r="51" spans="34:34" x14ac:dyDescent="0.2">
      <c r="AH51" s="2"/>
    </row>
    <row r="52" spans="34:34" x14ac:dyDescent="0.2">
      <c r="AH52" s="2"/>
    </row>
    <row r="53" spans="34:34" x14ac:dyDescent="0.2">
      <c r="AH53" s="2"/>
    </row>
    <row r="54" spans="34:34" x14ac:dyDescent="0.2">
      <c r="AH54" s="2"/>
    </row>
    <row r="55" spans="34:34" x14ac:dyDescent="0.2">
      <c r="AH55" s="2"/>
    </row>
    <row r="56" spans="34:34" x14ac:dyDescent="0.2">
      <c r="AH56" s="2"/>
    </row>
    <row r="57" spans="34:34" x14ac:dyDescent="0.2">
      <c r="AH57"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I94"/>
  <sheetViews>
    <sheetView showGridLines="0" view="pageBreakPreview" zoomScale="85" zoomScaleNormal="85" zoomScaleSheetLayoutView="85" workbookViewId="0">
      <selection activeCell="J36" sqref="J36"/>
    </sheetView>
  </sheetViews>
  <sheetFormatPr defaultColWidth="9.140625" defaultRowHeight="12.75" x14ac:dyDescent="0.2"/>
  <cols>
    <col min="1" max="1" width="6.7109375" style="7" customWidth="1"/>
    <col min="2" max="2" width="34.7109375" style="6" customWidth="1"/>
    <col min="3" max="3" width="8.7109375" style="14" customWidth="1"/>
    <col min="4" max="4" width="8.7109375" style="7" customWidth="1"/>
    <col min="5" max="5" width="8.7109375" style="6" customWidth="1"/>
    <col min="6" max="6" width="8.7109375" style="15" customWidth="1"/>
    <col min="7" max="7" width="8.7109375" style="6" customWidth="1"/>
    <col min="8" max="8" width="5.7109375" style="6" customWidth="1"/>
    <col min="9" max="9" width="6" style="6" customWidth="1"/>
    <col min="10" max="10" width="41.140625" style="6" bestFit="1" customWidth="1"/>
    <col min="11" max="16384" width="9.140625" style="6"/>
  </cols>
  <sheetData>
    <row r="1" spans="1:9" ht="23.25" x14ac:dyDescent="0.35">
      <c r="A1" s="335" t="s">
        <v>110</v>
      </c>
      <c r="B1" s="335"/>
      <c r="C1" s="335"/>
      <c r="D1" s="335"/>
      <c r="E1" s="335"/>
      <c r="F1" s="335"/>
      <c r="G1" s="335"/>
      <c r="H1" s="335"/>
      <c r="I1" s="96"/>
    </row>
    <row r="2" spans="1:9" ht="24.75" customHeight="1" x14ac:dyDescent="0.2">
      <c r="B2" s="8"/>
      <c r="C2" s="333" t="s">
        <v>25</v>
      </c>
      <c r="D2" s="333"/>
      <c r="E2" s="333"/>
      <c r="F2" s="333"/>
      <c r="G2" s="333"/>
    </row>
    <row r="3" spans="1:9" x14ac:dyDescent="0.2">
      <c r="A3" s="31" t="s">
        <v>46</v>
      </c>
      <c r="B3" s="8"/>
      <c r="C3" s="31">
        <v>1</v>
      </c>
      <c r="D3" s="31">
        <v>2</v>
      </c>
      <c r="E3" s="31">
        <v>3</v>
      </c>
      <c r="F3" s="31">
        <v>4</v>
      </c>
      <c r="G3" s="31">
        <v>5</v>
      </c>
    </row>
    <row r="4" spans="1:9" ht="14.1" customHeight="1" x14ac:dyDescent="0.2">
      <c r="A4" s="31" t="s">
        <v>26</v>
      </c>
      <c r="B4" s="9" t="s">
        <v>27</v>
      </c>
      <c r="C4" s="9" t="s">
        <v>14</v>
      </c>
      <c r="D4" s="9" t="s">
        <v>5</v>
      </c>
      <c r="E4" s="9" t="s">
        <v>1</v>
      </c>
      <c r="F4" s="9" t="s">
        <v>0</v>
      </c>
      <c r="G4" s="9" t="s">
        <v>28</v>
      </c>
      <c r="H4" s="31"/>
      <c r="I4" s="31"/>
    </row>
    <row r="5" spans="1:9" s="31" customFormat="1" x14ac:dyDescent="0.2">
      <c r="A5" s="7">
        <v>1</v>
      </c>
      <c r="B5" s="6" t="s">
        <v>29</v>
      </c>
      <c r="C5" s="36">
        <f t="shared" ref="C5:G8" si="0">1 / ((1/C53) + (C65*C$77/3600))</f>
        <v>30</v>
      </c>
      <c r="D5" s="36">
        <f t="shared" si="0"/>
        <v>24</v>
      </c>
      <c r="E5" s="36">
        <f t="shared" si="0"/>
        <v>20.16</v>
      </c>
      <c r="F5" s="36">
        <f t="shared" si="0"/>
        <v>17.034700315457414</v>
      </c>
      <c r="G5" s="36">
        <f t="shared" si="0"/>
        <v>13.535791757049891</v>
      </c>
      <c r="H5" s="6"/>
      <c r="I5" s="6"/>
    </row>
    <row r="6" spans="1:9" x14ac:dyDescent="0.2">
      <c r="A6" s="7">
        <v>2</v>
      </c>
      <c r="B6" s="6" t="s">
        <v>45</v>
      </c>
      <c r="C6" s="35">
        <f t="shared" si="0"/>
        <v>58</v>
      </c>
      <c r="D6" s="35">
        <f t="shared" si="0"/>
        <v>47.710843373493979</v>
      </c>
      <c r="E6" s="35">
        <f t="shared" si="0"/>
        <v>38.297872340425535</v>
      </c>
      <c r="F6" s="35">
        <f t="shared" si="0"/>
        <v>32.223940109040605</v>
      </c>
      <c r="G6" s="35">
        <f t="shared" si="0"/>
        <v>24.347826086956523</v>
      </c>
      <c r="H6" s="16"/>
    </row>
    <row r="7" spans="1:9" x14ac:dyDescent="0.2">
      <c r="A7" s="7">
        <v>3</v>
      </c>
      <c r="B7" s="6" t="s">
        <v>31</v>
      </c>
      <c r="C7" s="35">
        <f t="shared" si="0"/>
        <v>55</v>
      </c>
      <c r="D7" s="35">
        <f t="shared" si="0"/>
        <v>42.739726027397261</v>
      </c>
      <c r="E7" s="35">
        <f t="shared" si="0"/>
        <v>34.750462107208875</v>
      </c>
      <c r="F7" s="35">
        <f t="shared" si="0"/>
        <v>30.120940138434623</v>
      </c>
      <c r="G7" s="35">
        <f t="shared" si="0"/>
        <v>21.290322580645164</v>
      </c>
      <c r="H7" s="16"/>
    </row>
    <row r="8" spans="1:9" x14ac:dyDescent="0.2">
      <c r="A8" s="11">
        <v>4</v>
      </c>
      <c r="B8" s="6" t="s">
        <v>36</v>
      </c>
      <c r="C8" s="35">
        <f t="shared" si="0"/>
        <v>48</v>
      </c>
      <c r="D8" s="35">
        <f t="shared" si="0"/>
        <v>38.463287110706979</v>
      </c>
      <c r="E8" s="35">
        <f t="shared" si="0"/>
        <v>33.563032022699637</v>
      </c>
      <c r="F8" s="35">
        <f t="shared" si="0"/>
        <v>27.906976744186046</v>
      </c>
      <c r="G8" s="35">
        <f t="shared" si="0"/>
        <v>18.666666666666664</v>
      </c>
      <c r="H8" s="16"/>
    </row>
    <row r="9" spans="1:9" x14ac:dyDescent="0.2">
      <c r="A9" s="7">
        <v>5</v>
      </c>
      <c r="B9" s="6" t="s">
        <v>37</v>
      </c>
      <c r="C9" s="35">
        <f>C8-6</f>
        <v>42</v>
      </c>
      <c r="D9" s="35">
        <f>D8-6</f>
        <v>32.463287110706979</v>
      </c>
      <c r="E9" s="35">
        <f>E8-8</f>
        <v>25.563032022699637</v>
      </c>
      <c r="F9" s="35">
        <f>F8-5</f>
        <v>22.906976744186046</v>
      </c>
      <c r="G9" s="35">
        <f>G8-4</f>
        <v>14.666666666666664</v>
      </c>
      <c r="H9" s="16"/>
    </row>
    <row r="10" spans="1:9" x14ac:dyDescent="0.2">
      <c r="A10" s="11">
        <v>6</v>
      </c>
      <c r="B10" s="6" t="s">
        <v>3</v>
      </c>
      <c r="C10" s="13">
        <f>C5</f>
        <v>30</v>
      </c>
      <c r="D10" s="13">
        <f>D5</f>
        <v>24</v>
      </c>
      <c r="E10" s="13">
        <f>E5</f>
        <v>20.16</v>
      </c>
      <c r="F10" s="13">
        <f>F5</f>
        <v>17.034700315457414</v>
      </c>
      <c r="G10" s="13">
        <f>G5</f>
        <v>13.535791757049891</v>
      </c>
      <c r="H10" s="16"/>
    </row>
    <row r="11" spans="1:9" x14ac:dyDescent="0.2">
      <c r="A11" s="7">
        <v>7</v>
      </c>
      <c r="B11" s="6" t="s">
        <v>86</v>
      </c>
      <c r="C11" s="39">
        <v>15</v>
      </c>
      <c r="D11" s="13">
        <f>C11</f>
        <v>15</v>
      </c>
      <c r="E11" s="13">
        <f>D11</f>
        <v>15</v>
      </c>
      <c r="F11" s="13">
        <f>E11</f>
        <v>15</v>
      </c>
      <c r="G11" s="13">
        <f>F11</f>
        <v>15</v>
      </c>
      <c r="H11" s="16"/>
    </row>
    <row r="12" spans="1:9" x14ac:dyDescent="0.2">
      <c r="C12" s="10"/>
      <c r="D12" s="10"/>
      <c r="E12" s="10"/>
      <c r="F12" s="10"/>
      <c r="G12" s="10"/>
    </row>
    <row r="13" spans="1:9" x14ac:dyDescent="0.2">
      <c r="A13" s="31" t="s">
        <v>46</v>
      </c>
      <c r="C13" s="9" t="s">
        <v>46</v>
      </c>
      <c r="D13" s="9" t="s">
        <v>47</v>
      </c>
      <c r="E13" s="10"/>
      <c r="F13" s="10"/>
      <c r="G13" s="10"/>
    </row>
    <row r="14" spans="1:9" x14ac:dyDescent="0.2">
      <c r="A14" s="31" t="s">
        <v>26</v>
      </c>
      <c r="B14" s="9" t="s">
        <v>27</v>
      </c>
      <c r="C14" s="9" t="s">
        <v>33</v>
      </c>
      <c r="D14" s="9" t="s">
        <v>33</v>
      </c>
      <c r="E14" s="22" t="s">
        <v>43</v>
      </c>
    </row>
    <row r="15" spans="1:9" x14ac:dyDescent="0.2">
      <c r="A15" s="11">
        <v>12</v>
      </c>
      <c r="B15" s="6" t="s">
        <v>66</v>
      </c>
      <c r="C15" s="36">
        <f>1 / ((1/C58) + (C70*C79/3600))</f>
        <v>56.124721603563479</v>
      </c>
      <c r="D15" s="15"/>
      <c r="E15" s="16"/>
      <c r="F15" s="16"/>
    </row>
    <row r="16" spans="1:9" x14ac:dyDescent="0.2">
      <c r="A16" s="7">
        <v>13</v>
      </c>
      <c r="B16" s="6" t="s">
        <v>67</v>
      </c>
      <c r="C16" s="36">
        <f>1 / ((1/C59) + (C71*C80/3600))</f>
        <v>53.333333333333336</v>
      </c>
      <c r="D16" s="15"/>
      <c r="E16" s="16"/>
    </row>
    <row r="17" spans="1:8" x14ac:dyDescent="0.2">
      <c r="A17" s="7">
        <v>14</v>
      </c>
      <c r="B17" s="6" t="s">
        <v>68</v>
      </c>
      <c r="C17" s="36">
        <f>1 / ((1/C60) + (C72*C81/3600))</f>
        <v>47.710843373493979</v>
      </c>
      <c r="E17" s="16"/>
      <c r="F17" s="16"/>
    </row>
    <row r="18" spans="1:8" x14ac:dyDescent="0.2">
      <c r="A18" s="11">
        <v>15</v>
      </c>
      <c r="B18" s="6" t="s">
        <v>69</v>
      </c>
      <c r="C18" s="36">
        <f>1 / ((1/C61) + (C73*C82/3600))</f>
        <v>42.603550295857993</v>
      </c>
      <c r="E18" s="16"/>
      <c r="F18" s="16"/>
    </row>
    <row r="19" spans="1:8" x14ac:dyDescent="0.2">
      <c r="A19" s="11"/>
      <c r="C19" s="10"/>
      <c r="E19" s="16"/>
      <c r="F19" s="16"/>
    </row>
    <row r="20" spans="1:8" x14ac:dyDescent="0.2">
      <c r="A20" s="11">
        <v>20</v>
      </c>
      <c r="B20" s="6" t="str">
        <f>'WFRC Cap1hr1ln V8.3'!B24</f>
        <v>MM: fwy-to-fwy loop ramp</v>
      </c>
      <c r="C20" s="99">
        <f t="shared" ref="C20:C27" si="1">C31</f>
        <v>35</v>
      </c>
      <c r="E20" s="16"/>
      <c r="F20" s="16"/>
    </row>
    <row r="21" spans="1:8" x14ac:dyDescent="0.2">
      <c r="A21" s="11">
        <v>21</v>
      </c>
      <c r="B21" s="6" t="str">
        <f>'WFRC Cap1hr1ln V8.3'!B25</f>
        <v>MM: C-D road, flyover ramp</v>
      </c>
      <c r="C21" s="99">
        <f t="shared" si="1"/>
        <v>55</v>
      </c>
      <c r="E21" s="16"/>
      <c r="F21" s="16"/>
    </row>
    <row r="22" spans="1:8" x14ac:dyDescent="0.2">
      <c r="A22" s="11">
        <v>22</v>
      </c>
      <c r="B22" s="6" t="str">
        <f>'WFRC Cap1hr1ln V8.3'!B26</f>
        <v>MM: posted 55-60 mph</v>
      </c>
      <c r="C22" s="99">
        <f t="shared" si="1"/>
        <v>65</v>
      </c>
      <c r="E22" s="16"/>
      <c r="F22" s="16"/>
    </row>
    <row r="23" spans="1:8" x14ac:dyDescent="0.2">
      <c r="A23" s="11">
        <v>23</v>
      </c>
      <c r="B23" s="6" t="str">
        <f>'WFRC Cap1hr1ln V8.3'!B27</f>
        <v>MM: posted 65 mph, no aux lane</v>
      </c>
      <c r="C23" s="99">
        <f t="shared" si="1"/>
        <v>75</v>
      </c>
      <c r="E23" s="16"/>
      <c r="F23" s="16"/>
    </row>
    <row r="24" spans="1:8" x14ac:dyDescent="0.2">
      <c r="A24" s="11">
        <v>24</v>
      </c>
      <c r="B24" s="6" t="str">
        <f>'WFRC Cap1hr1ln V8.3'!B28</f>
        <v>MM: posted 65 mph, aux lane</v>
      </c>
      <c r="C24" s="99">
        <f t="shared" si="1"/>
        <v>73</v>
      </c>
      <c r="E24" s="16"/>
      <c r="F24" s="16"/>
    </row>
    <row r="25" spans="1:8" x14ac:dyDescent="0.2">
      <c r="A25" s="11">
        <v>25</v>
      </c>
      <c r="B25" s="6" t="str">
        <f>'WFRC Cap1hr1ln V8.3'!B29</f>
        <v>MM: posted 75 mph, no aux lane</v>
      </c>
      <c r="C25" s="99">
        <v>78</v>
      </c>
      <c r="E25" s="16"/>
      <c r="F25" s="16"/>
    </row>
    <row r="26" spans="1:8" x14ac:dyDescent="0.2">
      <c r="A26" s="11">
        <v>26</v>
      </c>
      <c r="B26" s="6" t="str">
        <f>'WFRC Cap1hr1ln V8.3'!B30</f>
        <v>MM: posted 75 mph, aux lane</v>
      </c>
      <c r="C26" s="99">
        <v>75</v>
      </c>
      <c r="E26" s="16"/>
      <c r="F26" s="16"/>
    </row>
    <row r="27" spans="1:8" x14ac:dyDescent="0.2">
      <c r="A27" s="11">
        <v>27</v>
      </c>
      <c r="B27" s="6" t="str">
        <f>'WFRC Cap1hr1ln V8.3'!B31</f>
        <v>place holder</v>
      </c>
      <c r="C27" s="99">
        <f t="shared" si="1"/>
        <v>77</v>
      </c>
      <c r="E27" s="16"/>
      <c r="F27" s="16"/>
    </row>
    <row r="28" spans="1:8" x14ac:dyDescent="0.2">
      <c r="A28" s="11">
        <v>28</v>
      </c>
      <c r="B28" s="6" t="str">
        <f>'WFRC Cap1hr1ln V8.3'!B32</f>
        <v>MM: On-ramp</v>
      </c>
      <c r="C28" s="35">
        <f>C42</f>
        <v>23</v>
      </c>
      <c r="E28" s="16"/>
      <c r="F28" s="16"/>
    </row>
    <row r="29" spans="1:8" x14ac:dyDescent="0.2">
      <c r="A29" s="11">
        <v>29</v>
      </c>
      <c r="B29" s="6" t="str">
        <f>'WFRC Cap1hr1ln V8.3'!B33</f>
        <v>MM: Off-ramp</v>
      </c>
      <c r="C29" s="35">
        <f>C43</f>
        <v>26</v>
      </c>
      <c r="E29" s="16"/>
      <c r="F29" s="16"/>
    </row>
    <row r="30" spans="1:8" x14ac:dyDescent="0.2">
      <c r="A30" s="11"/>
      <c r="C30" s="10"/>
      <c r="E30" s="16"/>
      <c r="F30" s="16"/>
    </row>
    <row r="31" spans="1:8" x14ac:dyDescent="0.2">
      <c r="A31" s="7">
        <v>30</v>
      </c>
      <c r="B31" s="6" t="str">
        <f>'WFRC Cap1hr1ln V8.3'!B35</f>
        <v>Fwy: fwy-to-fwy loop ramp</v>
      </c>
      <c r="C31" s="39">
        <v>35</v>
      </c>
      <c r="E31" s="23"/>
      <c r="F31" s="23"/>
      <c r="G31" s="23"/>
      <c r="H31" s="25"/>
    </row>
    <row r="32" spans="1:8" x14ac:dyDescent="0.2">
      <c r="A32" s="7">
        <v>31</v>
      </c>
      <c r="B32" s="6" t="str">
        <f>'WFRC Cap1hr1ln V8.3'!B36</f>
        <v>Fwy: C-D road, flyover ramp</v>
      </c>
      <c r="C32" s="39">
        <v>55</v>
      </c>
      <c r="E32" s="23"/>
      <c r="F32" s="23"/>
      <c r="G32" s="23"/>
      <c r="H32" s="26"/>
    </row>
    <row r="33" spans="1:8" x14ac:dyDescent="0.2">
      <c r="A33" s="7">
        <v>32</v>
      </c>
      <c r="B33" s="6" t="str">
        <f>'WFRC Cap1hr1ln V8.3'!B37</f>
        <v>Fwy: posted 55-60 mph</v>
      </c>
      <c r="C33" s="39">
        <v>65</v>
      </c>
      <c r="E33" s="23"/>
      <c r="F33" s="23"/>
      <c r="G33" s="23"/>
      <c r="H33" s="25"/>
    </row>
    <row r="34" spans="1:8" x14ac:dyDescent="0.2">
      <c r="A34" s="7">
        <v>33</v>
      </c>
      <c r="B34" s="6" t="str">
        <f>'WFRC Cap1hr1ln V8.3'!B38</f>
        <v>Fwy: posted 65 mph, no aux lane</v>
      </c>
      <c r="C34" s="39">
        <v>75</v>
      </c>
      <c r="E34" s="23"/>
      <c r="F34" s="23"/>
      <c r="G34" s="23"/>
      <c r="H34" s="25"/>
    </row>
    <row r="35" spans="1:8" x14ac:dyDescent="0.2">
      <c r="A35" s="7">
        <v>34</v>
      </c>
      <c r="B35" s="6" t="str">
        <f>'WFRC Cap1hr1ln V8.3'!B39</f>
        <v>Fwy: posted 65 mph, aux lane</v>
      </c>
      <c r="C35" s="39">
        <v>73</v>
      </c>
      <c r="E35" s="23"/>
      <c r="F35" s="23"/>
      <c r="G35" s="23"/>
      <c r="H35" s="28"/>
    </row>
    <row r="36" spans="1:8" x14ac:dyDescent="0.2">
      <c r="A36" s="7">
        <v>35</v>
      </c>
      <c r="B36" s="6" t="str">
        <f>'WFRC Cap1hr1ln V8.3'!B40</f>
        <v>Fwy: posted 75 mph, no aux lane</v>
      </c>
      <c r="C36" s="39">
        <v>80</v>
      </c>
      <c r="E36" s="23"/>
      <c r="F36" s="23"/>
      <c r="G36" s="23"/>
      <c r="H36" s="26"/>
    </row>
    <row r="37" spans="1:8" x14ac:dyDescent="0.2">
      <c r="A37" s="7">
        <v>36</v>
      </c>
      <c r="B37" s="6" t="str">
        <f>'WFRC Cap1hr1ln V8.3'!B41</f>
        <v>Fwy: posted 75 mph, aux lane</v>
      </c>
      <c r="C37" s="39">
        <v>77</v>
      </c>
      <c r="E37" s="23"/>
      <c r="F37" s="23"/>
      <c r="G37" s="23"/>
      <c r="H37" s="26"/>
    </row>
    <row r="38" spans="1:8" x14ac:dyDescent="0.2">
      <c r="A38" s="7">
        <v>37</v>
      </c>
      <c r="B38" s="6" t="str">
        <f>'WFRC Cap1hr1ln V8.3'!B42</f>
        <v>Fwy: HOV lane</v>
      </c>
      <c r="C38" s="39">
        <v>77</v>
      </c>
      <c r="E38" s="16"/>
      <c r="F38" s="6"/>
    </row>
    <row r="39" spans="1:8" x14ac:dyDescent="0.2">
      <c r="A39" s="7">
        <v>38</v>
      </c>
      <c r="B39" s="6" t="str">
        <f>'WFRC Cap1hr1ln V8.3'!B43</f>
        <v>Fwy: Managed lane</v>
      </c>
      <c r="C39" s="39">
        <v>77</v>
      </c>
      <c r="E39" s="27"/>
      <c r="F39" s="28"/>
      <c r="G39" s="28"/>
      <c r="H39" s="28"/>
    </row>
    <row r="40" spans="1:8" x14ac:dyDescent="0.2">
      <c r="A40" s="7">
        <v>39</v>
      </c>
      <c r="B40" s="6" t="str">
        <f>'WFRC Cap1hr1ln V8.3'!B44</f>
        <v>Fwy: Managed lane access</v>
      </c>
      <c r="C40" s="39">
        <v>77</v>
      </c>
      <c r="E40" s="16"/>
      <c r="F40" s="6"/>
    </row>
    <row r="41" spans="1:8" x14ac:dyDescent="0.2">
      <c r="A41" s="7">
        <v>40</v>
      </c>
      <c r="B41" s="6" t="str">
        <f>'WFRC Cap1hr1ln V8.3'!B45</f>
        <v>Fwy: Tollway</v>
      </c>
      <c r="C41" s="40">
        <v>84</v>
      </c>
      <c r="E41" s="16"/>
      <c r="F41" s="6"/>
    </row>
    <row r="42" spans="1:8" x14ac:dyDescent="0.2">
      <c r="A42" s="7">
        <v>41</v>
      </c>
      <c r="B42" s="6" t="str">
        <f>'WFRC Cap1hr1ln V8.3'!B46</f>
        <v>Fwy: On-ramp</v>
      </c>
      <c r="C42" s="39">
        <v>23</v>
      </c>
    </row>
    <row r="43" spans="1:8" x14ac:dyDescent="0.2">
      <c r="A43" s="7">
        <v>42</v>
      </c>
      <c r="B43" s="6" t="str">
        <f>'WFRC Cap1hr1ln V8.3'!B47</f>
        <v>Fwy: Off-ramp</v>
      </c>
      <c r="C43" s="39">
        <v>26</v>
      </c>
    </row>
    <row r="44" spans="1:8" x14ac:dyDescent="0.2">
      <c r="C44" s="12"/>
      <c r="D44" s="12"/>
      <c r="E44" s="12"/>
      <c r="F44" s="12"/>
      <c r="G44" s="12"/>
    </row>
    <row r="45" spans="1:8" ht="15" x14ac:dyDescent="0.25">
      <c r="A45" s="24" t="s">
        <v>42</v>
      </c>
    </row>
    <row r="46" spans="1:8" x14ac:dyDescent="0.2">
      <c r="A46" s="18" t="s">
        <v>48</v>
      </c>
    </row>
    <row r="47" spans="1:8" x14ac:dyDescent="0.2">
      <c r="A47" s="18" t="s">
        <v>49</v>
      </c>
    </row>
    <row r="48" spans="1:8" x14ac:dyDescent="0.2">
      <c r="A48" s="18"/>
    </row>
    <row r="49" spans="1:8" ht="15" x14ac:dyDescent="0.25">
      <c r="A49" s="24" t="s">
        <v>109</v>
      </c>
      <c r="B49" s="17"/>
    </row>
    <row r="50" spans="1:8" x14ac:dyDescent="0.2">
      <c r="A50" s="18" t="s">
        <v>35</v>
      </c>
    </row>
    <row r="51" spans="1:8" x14ac:dyDescent="0.2">
      <c r="B51" s="334" t="s">
        <v>7</v>
      </c>
      <c r="C51" s="334"/>
      <c r="D51" s="334"/>
      <c r="E51" s="334"/>
      <c r="F51" s="334"/>
      <c r="G51" s="334"/>
    </row>
    <row r="52" spans="1:8" x14ac:dyDescent="0.2">
      <c r="B52" s="7"/>
      <c r="C52" s="19" t="s">
        <v>14</v>
      </c>
      <c r="D52" s="19" t="s">
        <v>5</v>
      </c>
      <c r="E52" s="19" t="s">
        <v>1</v>
      </c>
      <c r="F52" s="19" t="s">
        <v>0</v>
      </c>
      <c r="G52" s="9" t="s">
        <v>28</v>
      </c>
    </row>
    <row r="53" spans="1:8" x14ac:dyDescent="0.2">
      <c r="B53" s="20" t="s">
        <v>29</v>
      </c>
      <c r="C53" s="44">
        <v>30</v>
      </c>
      <c r="D53" s="44">
        <v>30</v>
      </c>
      <c r="E53" s="41">
        <v>28</v>
      </c>
      <c r="F53" s="41">
        <v>27</v>
      </c>
      <c r="G53" s="44">
        <v>26</v>
      </c>
    </row>
    <row r="54" spans="1:8" x14ac:dyDescent="0.2">
      <c r="B54" s="20" t="s">
        <v>30</v>
      </c>
      <c r="C54" s="41">
        <v>58</v>
      </c>
      <c r="D54" s="41">
        <v>55</v>
      </c>
      <c r="E54" s="44">
        <v>48</v>
      </c>
      <c r="F54" s="44">
        <v>44</v>
      </c>
      <c r="G54" s="44">
        <v>35</v>
      </c>
    </row>
    <row r="55" spans="1:8" x14ac:dyDescent="0.2">
      <c r="B55" s="20" t="s">
        <v>31</v>
      </c>
      <c r="C55" s="41">
        <v>55</v>
      </c>
      <c r="D55" s="41">
        <v>52</v>
      </c>
      <c r="E55" s="41">
        <v>47</v>
      </c>
      <c r="F55" s="41">
        <v>44</v>
      </c>
      <c r="G55" s="41">
        <v>33</v>
      </c>
    </row>
    <row r="56" spans="1:8" x14ac:dyDescent="0.2">
      <c r="B56" s="20" t="s">
        <v>32</v>
      </c>
      <c r="C56" s="41">
        <v>48</v>
      </c>
      <c r="D56" s="41">
        <v>47</v>
      </c>
      <c r="E56" s="41">
        <v>46</v>
      </c>
      <c r="F56" s="44">
        <v>40</v>
      </c>
      <c r="G56" s="44">
        <v>35</v>
      </c>
    </row>
    <row r="57" spans="1:8" x14ac:dyDescent="0.2">
      <c r="B57" s="20"/>
      <c r="C57" s="32"/>
      <c r="D57" s="32"/>
      <c r="E57" s="32"/>
      <c r="F57" s="32"/>
      <c r="G57" s="32"/>
    </row>
    <row r="58" spans="1:8" x14ac:dyDescent="0.2">
      <c r="B58" s="20" t="str">
        <f>B15</f>
        <v>Expressway, posted 60-70 mph</v>
      </c>
      <c r="C58" s="44">
        <v>63</v>
      </c>
      <c r="D58" s="33"/>
      <c r="E58" s="33"/>
      <c r="F58" s="33"/>
      <c r="G58" s="34"/>
    </row>
    <row r="59" spans="1:8" x14ac:dyDescent="0.2">
      <c r="B59" s="20" t="str">
        <f>B16</f>
        <v>Expressway, posted 55-65 mph</v>
      </c>
      <c r="C59" s="44">
        <v>60</v>
      </c>
      <c r="D59" s="33"/>
      <c r="E59" s="33"/>
      <c r="F59" s="33"/>
      <c r="G59" s="34"/>
    </row>
    <row r="60" spans="1:8" x14ac:dyDescent="0.2">
      <c r="B60" s="20" t="str">
        <f>B17</f>
        <v>Expressway, posted 50-60 mph</v>
      </c>
      <c r="C60" s="44">
        <v>55</v>
      </c>
      <c r="D60" s="33"/>
      <c r="E60" s="33"/>
      <c r="F60" s="33"/>
      <c r="G60" s="34"/>
    </row>
    <row r="61" spans="1:8" x14ac:dyDescent="0.2">
      <c r="B61" s="20" t="str">
        <f>B18</f>
        <v>Expressway, posted 45-55 mph</v>
      </c>
      <c r="C61" s="44">
        <v>50</v>
      </c>
      <c r="D61" s="33"/>
      <c r="E61" s="33"/>
      <c r="F61" s="33"/>
      <c r="G61" s="34"/>
    </row>
    <row r="62" spans="1:8" x14ac:dyDescent="0.2">
      <c r="D62" s="12"/>
      <c r="E62" s="12"/>
      <c r="F62" s="12"/>
      <c r="G62" s="7"/>
      <c r="H62" s="12"/>
    </row>
    <row r="63" spans="1:8" x14ac:dyDescent="0.2">
      <c r="B63" s="334" t="s">
        <v>6</v>
      </c>
      <c r="C63" s="334"/>
      <c r="D63" s="334"/>
      <c r="E63" s="334"/>
      <c r="F63" s="334"/>
      <c r="G63" s="334"/>
      <c r="H63" s="12"/>
    </row>
    <row r="64" spans="1:8" x14ac:dyDescent="0.2">
      <c r="B64" s="7"/>
      <c r="C64" s="19" t="s">
        <v>14</v>
      </c>
      <c r="D64" s="19" t="s">
        <v>5</v>
      </c>
      <c r="E64" s="19" t="s">
        <v>1</v>
      </c>
      <c r="F64" s="19" t="s">
        <v>0</v>
      </c>
      <c r="G64" s="9" t="s">
        <v>28</v>
      </c>
      <c r="H64" s="12"/>
    </row>
    <row r="65" spans="2:7" x14ac:dyDescent="0.2">
      <c r="B65" s="20" t="s">
        <v>29</v>
      </c>
      <c r="C65" s="42">
        <v>0</v>
      </c>
      <c r="D65" s="42">
        <v>3</v>
      </c>
      <c r="E65" s="42">
        <v>5</v>
      </c>
      <c r="F65" s="42">
        <v>6</v>
      </c>
      <c r="G65" s="42">
        <v>8.5</v>
      </c>
    </row>
    <row r="66" spans="2:7" x14ac:dyDescent="0.2">
      <c r="B66" s="20" t="s">
        <v>30</v>
      </c>
      <c r="C66" s="42">
        <v>0</v>
      </c>
      <c r="D66" s="42">
        <v>1</v>
      </c>
      <c r="E66" s="42">
        <v>1.9</v>
      </c>
      <c r="F66" s="42">
        <v>2.2999999999999998</v>
      </c>
      <c r="G66" s="42">
        <v>3</v>
      </c>
    </row>
    <row r="67" spans="2:7" x14ac:dyDescent="0.2">
      <c r="B67" s="20" t="s">
        <v>31</v>
      </c>
      <c r="C67" s="42">
        <v>0</v>
      </c>
      <c r="D67" s="42">
        <v>1.5</v>
      </c>
      <c r="E67" s="42">
        <v>2.7</v>
      </c>
      <c r="F67" s="42">
        <v>2.9</v>
      </c>
      <c r="G67" s="42">
        <v>4</v>
      </c>
    </row>
    <row r="68" spans="2:7" x14ac:dyDescent="0.2">
      <c r="B68" s="20" t="s">
        <v>32</v>
      </c>
      <c r="C68" s="42">
        <v>0</v>
      </c>
      <c r="D68" s="42">
        <v>1.7</v>
      </c>
      <c r="E68" s="42">
        <v>2.9</v>
      </c>
      <c r="F68" s="42">
        <v>3</v>
      </c>
      <c r="G68" s="42">
        <v>6</v>
      </c>
    </row>
    <row r="69" spans="2:7" x14ac:dyDescent="0.2">
      <c r="B69" s="20"/>
      <c r="C69" s="33"/>
      <c r="D69" s="33"/>
      <c r="E69" s="33"/>
      <c r="F69" s="33"/>
      <c r="G69" s="33"/>
    </row>
    <row r="70" spans="2:7" x14ac:dyDescent="0.2">
      <c r="B70" s="20" t="str">
        <f>B58</f>
        <v>Expressway, posted 60-70 mph</v>
      </c>
      <c r="C70" s="43">
        <v>0.7</v>
      </c>
      <c r="D70" s="33"/>
      <c r="E70" s="33"/>
      <c r="F70" s="33"/>
      <c r="G70" s="34"/>
    </row>
    <row r="71" spans="2:7" x14ac:dyDescent="0.2">
      <c r="B71" s="20" t="str">
        <f t="shared" ref="B71:B73" si="2">B59</f>
        <v>Expressway, posted 55-65 mph</v>
      </c>
      <c r="C71" s="43">
        <v>0.75</v>
      </c>
      <c r="D71" s="33"/>
      <c r="E71" s="33"/>
      <c r="F71" s="33"/>
      <c r="G71" s="34"/>
    </row>
    <row r="72" spans="2:7" x14ac:dyDescent="0.2">
      <c r="B72" s="20" t="str">
        <f t="shared" si="2"/>
        <v>Expressway, posted 50-60 mph</v>
      </c>
      <c r="C72" s="43">
        <v>1</v>
      </c>
      <c r="D72" s="33"/>
      <c r="E72" s="33"/>
      <c r="F72" s="33"/>
      <c r="G72" s="34"/>
    </row>
    <row r="73" spans="2:7" x14ac:dyDescent="0.2">
      <c r="B73" s="20" t="str">
        <f t="shared" si="2"/>
        <v>Expressway, posted 45-55 mph</v>
      </c>
      <c r="C73" s="43">
        <v>1.25</v>
      </c>
      <c r="D73" s="33"/>
      <c r="E73" s="33"/>
      <c r="F73" s="33"/>
      <c r="G73" s="34"/>
    </row>
    <row r="74" spans="2:7" x14ac:dyDescent="0.2">
      <c r="D74" s="12"/>
      <c r="E74" s="12"/>
      <c r="F74" s="12"/>
      <c r="G74" s="7"/>
    </row>
    <row r="75" spans="2:7" x14ac:dyDescent="0.2">
      <c r="B75" s="334" t="s">
        <v>8</v>
      </c>
      <c r="C75" s="334"/>
      <c r="D75" s="334"/>
      <c r="E75" s="334"/>
      <c r="F75" s="334"/>
      <c r="G75" s="334"/>
    </row>
    <row r="76" spans="2:7" x14ac:dyDescent="0.2">
      <c r="B76" s="7"/>
      <c r="C76" s="19" t="s">
        <v>14</v>
      </c>
      <c r="D76" s="19" t="s">
        <v>5</v>
      </c>
      <c r="E76" s="19" t="s">
        <v>1</v>
      </c>
      <c r="F76" s="19" t="s">
        <v>0</v>
      </c>
      <c r="G76" s="9" t="s">
        <v>28</v>
      </c>
    </row>
    <row r="77" spans="2:7" x14ac:dyDescent="0.2">
      <c r="B77" s="20" t="s">
        <v>9</v>
      </c>
      <c r="C77" s="40">
        <v>0</v>
      </c>
      <c r="D77" s="40">
        <v>10</v>
      </c>
      <c r="E77" s="40">
        <v>10</v>
      </c>
      <c r="F77" s="40">
        <v>13</v>
      </c>
      <c r="G77" s="40">
        <v>15</v>
      </c>
    </row>
    <row r="78" spans="2:7" x14ac:dyDescent="0.2">
      <c r="B78" s="20"/>
      <c r="C78" s="7"/>
      <c r="E78" s="7"/>
      <c r="F78" s="7"/>
      <c r="G78" s="7"/>
    </row>
    <row r="79" spans="2:7" x14ac:dyDescent="0.2">
      <c r="B79" s="20" t="str">
        <f>B70</f>
        <v>Expressway, posted 60-70 mph</v>
      </c>
      <c r="C79" s="44">
        <v>10</v>
      </c>
    </row>
    <row r="80" spans="2:7" x14ac:dyDescent="0.2">
      <c r="B80" s="20" t="str">
        <f t="shared" ref="B80:B82" si="3">B71</f>
        <v>Expressway, posted 55-65 mph</v>
      </c>
      <c r="C80" s="44">
        <v>10</v>
      </c>
    </row>
    <row r="81" spans="2:7" x14ac:dyDescent="0.2">
      <c r="B81" s="20" t="str">
        <f t="shared" si="3"/>
        <v>Expressway, posted 50-60 mph</v>
      </c>
      <c r="C81" s="44">
        <v>10</v>
      </c>
    </row>
    <row r="82" spans="2:7" x14ac:dyDescent="0.2">
      <c r="B82" s="20" t="str">
        <f t="shared" si="3"/>
        <v>Expressway, posted 45-55 mph</v>
      </c>
      <c r="C82" s="44">
        <v>10</v>
      </c>
    </row>
    <row r="83" spans="2:7" x14ac:dyDescent="0.2">
      <c r="D83" s="15"/>
      <c r="E83" s="31"/>
      <c r="F83" s="31"/>
    </row>
    <row r="84" spans="2:7" x14ac:dyDescent="0.2">
      <c r="C84" s="31"/>
      <c r="D84" s="15"/>
      <c r="E84" s="31"/>
      <c r="F84" s="31"/>
    </row>
    <row r="85" spans="2:7" x14ac:dyDescent="0.2">
      <c r="C85" s="31"/>
      <c r="D85" s="15"/>
      <c r="E85" s="31"/>
      <c r="F85" s="31"/>
    </row>
    <row r="87" spans="2:7" x14ac:dyDescent="0.2">
      <c r="B87" s="31"/>
      <c r="C87" s="31"/>
      <c r="D87" s="31"/>
      <c r="E87" s="31"/>
      <c r="F87" s="31"/>
      <c r="G87" s="31"/>
    </row>
    <row r="92" spans="2:7" ht="15.75" x14ac:dyDescent="0.25">
      <c r="B92" s="21"/>
      <c r="E92" s="15"/>
      <c r="F92" s="31"/>
      <c r="G92" s="31"/>
    </row>
    <row r="93" spans="2:7" ht="15.75" x14ac:dyDescent="0.25">
      <c r="B93" s="21"/>
      <c r="C93" s="31"/>
      <c r="D93" s="31"/>
      <c r="E93" s="31"/>
      <c r="F93" s="31"/>
      <c r="G93" s="31"/>
    </row>
    <row r="94" spans="2:7" ht="15.75" x14ac:dyDescent="0.25">
      <c r="B94" s="21"/>
      <c r="C94" s="31"/>
      <c r="D94" s="31"/>
      <c r="E94" s="31"/>
      <c r="F94" s="31"/>
      <c r="G94" s="31"/>
    </row>
  </sheetData>
  <sortState xmlns:xlrd2="http://schemas.microsoft.com/office/spreadsheetml/2017/richdata2" ref="B14:B17">
    <sortCondition descending="1" ref="B14"/>
  </sortState>
  <mergeCells count="5">
    <mergeCell ref="C2:G2"/>
    <mergeCell ref="B51:G51"/>
    <mergeCell ref="B63:G63"/>
    <mergeCell ref="B75:G75"/>
    <mergeCell ref="A1:H1"/>
  </mergeCells>
  <printOptions horizontalCentered="1"/>
  <pageMargins left="0.75" right="0.75" top="0.5" bottom="0.25" header="0.25" footer="0.25"/>
  <pageSetup fitToHeight="2" orientation="portrait" r:id="rId1"/>
  <headerFooter alignWithMargins="0"/>
  <rowBreaks count="1" manualBreakCount="1">
    <brk id="47" max="7"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M213"/>
  <sheetViews>
    <sheetView view="pageBreakPreview" zoomScaleNormal="80" zoomScaleSheetLayoutView="100" workbookViewId="0">
      <selection activeCell="W3" sqref="W3"/>
    </sheetView>
  </sheetViews>
  <sheetFormatPr defaultColWidth="8.85546875" defaultRowHeight="12.75" x14ac:dyDescent="0.2"/>
  <cols>
    <col min="1" max="1" width="4.42578125" style="59" customWidth="1"/>
    <col min="2" max="2" width="32.7109375" style="47" customWidth="1"/>
    <col min="3" max="3" width="8.7109375" style="47" customWidth="1"/>
    <col min="4" max="4" width="8.7109375" style="59" customWidth="1"/>
    <col min="5" max="6" width="8.7109375" style="47" customWidth="1"/>
    <col min="7" max="7" width="8.7109375" style="58" customWidth="1"/>
    <col min="8" max="8" width="8.7109375" style="47" customWidth="1"/>
    <col min="9" max="10" width="10.42578125" style="47" customWidth="1"/>
    <col min="11" max="11" width="13.28515625" style="47" customWidth="1"/>
    <col min="12" max="12" width="10.28515625" style="47" customWidth="1"/>
    <col min="13" max="22" width="10.42578125" style="47" customWidth="1"/>
    <col min="23" max="23" width="8.85546875" style="47" customWidth="1"/>
    <col min="24" max="25" width="8.85546875" style="47"/>
    <col min="26" max="27" width="10.42578125" style="47" bestFit="1" customWidth="1"/>
    <col min="28" max="29" width="8.85546875" style="47"/>
    <col min="30" max="30" width="9" style="47" bestFit="1" customWidth="1"/>
    <col min="31" max="31" width="10.42578125" style="47" bestFit="1" customWidth="1"/>
    <col min="32" max="32" width="9.42578125" style="47" bestFit="1" customWidth="1"/>
    <col min="33" max="33" width="11.28515625" style="47" bestFit="1" customWidth="1"/>
    <col min="34" max="35" width="11.28515625" style="47" customWidth="1"/>
    <col min="36" max="16384" width="8.85546875" style="47"/>
  </cols>
  <sheetData>
    <row r="1" spans="1:39" x14ac:dyDescent="0.2">
      <c r="A1" s="59">
        <v>1</v>
      </c>
      <c r="B1" s="59">
        <v>2</v>
      </c>
      <c r="C1" s="59">
        <v>3</v>
      </c>
      <c r="D1" s="59">
        <v>4</v>
      </c>
      <c r="E1" s="59">
        <v>5</v>
      </c>
      <c r="F1" s="59">
        <v>6</v>
      </c>
      <c r="G1" s="59">
        <v>7</v>
      </c>
      <c r="H1" s="59">
        <v>8</v>
      </c>
      <c r="I1" s="59">
        <v>9</v>
      </c>
    </row>
    <row r="2" spans="1:39" ht="23.25" x14ac:dyDescent="0.35">
      <c r="A2" s="336" t="s">
        <v>111</v>
      </c>
      <c r="B2" s="336"/>
      <c r="C2" s="336"/>
      <c r="D2" s="336"/>
      <c r="E2" s="336"/>
      <c r="F2" s="336"/>
      <c r="G2" s="336"/>
      <c r="H2" s="336"/>
      <c r="I2" s="336"/>
      <c r="J2" s="46"/>
      <c r="K2" s="46"/>
      <c r="L2" s="46"/>
      <c r="M2" s="46"/>
      <c r="N2" s="46"/>
      <c r="O2" s="46"/>
      <c r="P2" s="46"/>
      <c r="Q2" s="46"/>
      <c r="R2" s="46"/>
      <c r="S2" s="46"/>
      <c r="T2" s="46"/>
      <c r="U2" s="46"/>
      <c r="V2" s="46"/>
      <c r="W2" s="46"/>
    </row>
    <row r="3" spans="1:39" s="49" customFormat="1" x14ac:dyDescent="0.2">
      <c r="A3" s="48"/>
      <c r="B3" s="48"/>
      <c r="C3" s="48"/>
      <c r="D3" s="48"/>
      <c r="E3" s="48"/>
      <c r="F3" s="48"/>
      <c r="G3" s="48"/>
      <c r="H3" s="48"/>
      <c r="I3" s="48"/>
      <c r="J3" s="48"/>
      <c r="K3" s="48"/>
      <c r="L3" s="48"/>
      <c r="M3" s="48"/>
      <c r="N3" s="48"/>
      <c r="O3" s="48"/>
      <c r="P3" s="48"/>
      <c r="Q3" s="48"/>
      <c r="R3" s="48"/>
      <c r="S3" s="48"/>
      <c r="T3" s="48"/>
      <c r="U3" s="48"/>
      <c r="V3" s="48"/>
      <c r="W3" s="48"/>
      <c r="AK3" s="50" t="s">
        <v>20</v>
      </c>
      <c r="AL3" s="51"/>
    </row>
    <row r="4" spans="1:39" s="49" customFormat="1" ht="14.1" customHeight="1" x14ac:dyDescent="0.2">
      <c r="A4" s="48" t="s">
        <v>26</v>
      </c>
      <c r="B4" s="52" t="s">
        <v>27</v>
      </c>
      <c r="C4" s="48"/>
      <c r="D4" s="37" t="s">
        <v>57</v>
      </c>
      <c r="E4" s="48"/>
      <c r="F4" s="48"/>
      <c r="G4" s="48"/>
      <c r="H4" s="48"/>
      <c r="I4" s="53" t="s">
        <v>44</v>
      </c>
      <c r="J4" s="48"/>
      <c r="K4" s="48"/>
      <c r="L4" s="48"/>
      <c r="M4" s="48"/>
      <c r="N4" s="48"/>
      <c r="O4" s="48"/>
      <c r="P4" s="48"/>
      <c r="Q4" s="48"/>
      <c r="R4" s="48"/>
      <c r="S4" s="48"/>
      <c r="T4" s="48"/>
      <c r="U4" s="48"/>
      <c r="V4" s="48"/>
      <c r="W4" s="48"/>
      <c r="AK4" s="54">
        <v>0.09</v>
      </c>
      <c r="AL4" s="51" t="s">
        <v>50</v>
      </c>
    </row>
    <row r="5" spans="1:39" x14ac:dyDescent="0.2">
      <c r="A5" s="55">
        <v>1</v>
      </c>
      <c r="B5" s="56" t="s">
        <v>87</v>
      </c>
      <c r="D5" s="57">
        <v>10000</v>
      </c>
      <c r="I5" s="51" t="s">
        <v>0</v>
      </c>
    </row>
    <row r="6" spans="1:39" x14ac:dyDescent="0.2">
      <c r="A6" s="55"/>
      <c r="B6" s="56"/>
      <c r="L6" s="198">
        <f>C38/C27</f>
        <v>0.70164285714285701</v>
      </c>
    </row>
    <row r="7" spans="1:39" x14ac:dyDescent="0.2">
      <c r="A7" s="55"/>
      <c r="B7" s="56"/>
      <c r="F7" s="37" t="s">
        <v>57</v>
      </c>
      <c r="Z7" s="60" t="s">
        <v>14</v>
      </c>
      <c r="AA7" s="60" t="s">
        <v>5</v>
      </c>
      <c r="AB7" s="60" t="s">
        <v>1</v>
      </c>
      <c r="AC7" s="60" t="s">
        <v>0</v>
      </c>
      <c r="AD7" s="61" t="s">
        <v>4</v>
      </c>
      <c r="AE7" s="47" t="s">
        <v>112</v>
      </c>
      <c r="AF7" s="47" t="s">
        <v>2</v>
      </c>
      <c r="AG7" s="47" t="s">
        <v>113</v>
      </c>
      <c r="AH7" s="47" t="s">
        <v>114</v>
      </c>
      <c r="AI7" s="47" t="s">
        <v>115</v>
      </c>
      <c r="AK7" s="60"/>
      <c r="AL7" s="37" t="s">
        <v>71</v>
      </c>
      <c r="AM7" s="62"/>
    </row>
    <row r="8" spans="1:39" x14ac:dyDescent="0.2">
      <c r="A8" s="48"/>
      <c r="B8" s="52"/>
      <c r="C8" s="60" t="s">
        <v>54</v>
      </c>
      <c r="D8" s="37" t="s">
        <v>55</v>
      </c>
      <c r="E8" s="60" t="s">
        <v>56</v>
      </c>
      <c r="F8" s="37" t="s">
        <v>60</v>
      </c>
      <c r="G8" s="60" t="s">
        <v>61</v>
      </c>
      <c r="H8" s="37" t="s">
        <v>62</v>
      </c>
      <c r="I8" s="60" t="s">
        <v>63</v>
      </c>
      <c r="W8" s="47" t="s">
        <v>10</v>
      </c>
      <c r="AB8" s="71">
        <f>E26</f>
        <v>2100</v>
      </c>
      <c r="AE8" s="75">
        <f t="shared" ref="AE8:AE9" si="0">AB8/0.09</f>
        <v>23333.333333333336</v>
      </c>
      <c r="AF8" s="47">
        <v>3</v>
      </c>
      <c r="AG8" s="71">
        <f>AE8*AF8</f>
        <v>70000</v>
      </c>
      <c r="AH8" s="71">
        <f t="shared" ref="AH8:AH9" si="1">AG8*0.9</f>
        <v>63000</v>
      </c>
      <c r="AI8" s="71">
        <f t="shared" ref="AI8:AI9" si="2">AG8+AH8</f>
        <v>133000</v>
      </c>
      <c r="AK8" s="60" t="s">
        <v>54</v>
      </c>
      <c r="AL8" s="37" t="s">
        <v>55</v>
      </c>
      <c r="AM8" s="60" t="s">
        <v>56</v>
      </c>
    </row>
    <row r="9" spans="1:39" x14ac:dyDescent="0.2">
      <c r="A9" s="55">
        <v>2</v>
      </c>
      <c r="B9" s="51" t="s">
        <v>45</v>
      </c>
      <c r="C9" s="63">
        <f t="shared" ref="C9:F12" si="3">VLOOKUP($B9,ArtExpFactors,2,FALSE)*VLOOKUP($B9,ArtExpFactors,3,FALSE)*SUMIFS(C$68:C$69,$B$68:$B$69,"*"&amp;RIGHT($B9,4))*SUMIFS(C$73:C$75,$B$73:$B$75,"*"&amp;RIGHT($B9,4))*VLOOKUP($B9,ArtExpFactors,4,FALSE)*HLOOKUP($I$5,ATypeCap,2,FALSE)</f>
        <v>919.82799999999997</v>
      </c>
      <c r="D9" s="63">
        <f t="shared" si="3"/>
        <v>882.75329999999985</v>
      </c>
      <c r="E9" s="63">
        <f t="shared" si="3"/>
        <v>845.58474000000001</v>
      </c>
      <c r="F9" s="63">
        <f>VLOOKUP($B9,ArtExpFactors,2,FALSE)*VLOOKUP($B9,ArtExpFactors,3,FALSE)*SUMIFS(F$68:F$69,$B$68:$B$69,"*"&amp;RIGHT($B9,4))*SUMIFS(F$73:F$75,$B$73:$B$75,"*"&amp;RIGHT($B9,4))*VLOOKUP($B9,ArtExpFactors,4,FALSE)*HLOOKUP($I$5,ATypeCap,2,FALSE)</f>
        <v>825.96799999999996</v>
      </c>
      <c r="G9" s="64">
        <f>F9*F9/E9</f>
        <v>806.80634920634907</v>
      </c>
      <c r="H9" s="64">
        <f>G9*G9/F9</f>
        <v>788.08922999399169</v>
      </c>
      <c r="I9" s="64">
        <f>H9*H9/G9</f>
        <v>769.80632966446058</v>
      </c>
      <c r="W9" s="47" t="s">
        <v>116</v>
      </c>
      <c r="AB9" s="71">
        <f>E17</f>
        <v>1024.8599999999999</v>
      </c>
      <c r="AE9" s="75">
        <f t="shared" si="0"/>
        <v>11387.333333333332</v>
      </c>
      <c r="AF9" s="47">
        <v>3</v>
      </c>
      <c r="AG9" s="71">
        <f t="shared" ref="AG9" si="4">AE9*AF9</f>
        <v>34162</v>
      </c>
      <c r="AH9" s="71">
        <f t="shared" si="1"/>
        <v>30745.8</v>
      </c>
      <c r="AI9" s="71">
        <f t="shared" si="2"/>
        <v>64907.8</v>
      </c>
      <c r="AK9" s="65">
        <f t="shared" ref="AK9:AM12" si="5">IFERROR(ROUND(C9/$AK$4*2*LEFT(AK$8,1),-3),"")</f>
        <v>20000</v>
      </c>
      <c r="AL9" s="65">
        <f t="shared" si="5"/>
        <v>39000</v>
      </c>
      <c r="AM9" s="65">
        <f t="shared" si="5"/>
        <v>56000</v>
      </c>
    </row>
    <row r="10" spans="1:39" x14ac:dyDescent="0.2">
      <c r="A10" s="55">
        <v>3</v>
      </c>
      <c r="B10" s="51" t="s">
        <v>31</v>
      </c>
      <c r="C10" s="63">
        <f>VLOOKUP($B10,ArtExpFactors,2,FALSE)*VLOOKUP($B10,ArtExpFactors,3,FALSE)*SUMIFS(C$68:C$69,$B$68:$B$69,"*"&amp;RIGHT($B10,4))*SUMIFS(C$73:C$75,$B$73:$B$75,"*"&amp;RIGHT($B10,4))*VLOOKUP($B10,ArtExpFactors,4,FALSE)*HLOOKUP($I$5,ATypeCap,2,FALSE)</f>
        <v>849.072</v>
      </c>
      <c r="D10" s="63">
        <f t="shared" si="3"/>
        <v>814.84919999999988</v>
      </c>
      <c r="E10" s="63">
        <f t="shared" si="3"/>
        <v>780.53976</v>
      </c>
      <c r="F10" s="63">
        <f t="shared" si="3"/>
        <v>762.4319999999999</v>
      </c>
      <c r="G10" s="64">
        <f t="shared" ref="G10:I10" si="6">F10*F10/E10</f>
        <v>744.7443223443222</v>
      </c>
      <c r="H10" s="64">
        <f t="shared" si="6"/>
        <v>727.46698153291538</v>
      </c>
      <c r="I10" s="64">
        <f t="shared" si="6"/>
        <v>710.5904581518098</v>
      </c>
      <c r="W10" s="51" t="str">
        <f>B9 &amp; ", " &amp; D8</f>
        <v>Principal Arterial, 2 lanes</v>
      </c>
      <c r="X10" s="51"/>
      <c r="Y10" s="51"/>
      <c r="Z10" s="57">
        <f>VLOOKUP($B9,ArtExpFactors,2,FALSE)*VLOOKUP($B9,ArtExpFactors,3,FALSE)*SUMIFS($D$68:$D$69,$B$68:$B$69,"*"&amp;RIGHT($B9,4))*SUMIFS($D$73:$D$75,$B$73:$B$75,"*"&amp;RIGHT($B9,4))*VLOOKUP($B9,ArtExpFactors,4,FALSE)*C$79</f>
        <v>1022.1354</v>
      </c>
      <c r="AA10" s="57">
        <f>VLOOKUP($B9,ArtExpFactors,2,FALSE)*VLOOKUP($B9,ArtExpFactors,3,FALSE)*SUMIFS($D$68:$D$69,$B$68:$B$69,"*"&amp;RIGHT($B9,4))*SUMIFS($D$73:$D$75,$B$73:$B$75,"*"&amp;RIGHT($B9,4))*VLOOKUP($B9,ArtExpFactors,4,FALSE)*D$79</f>
        <v>975.67470000000003</v>
      </c>
      <c r="AB10" s="57">
        <f>VLOOKUP($B9,ArtExpFactors,2,FALSE)*VLOOKUP($B9,ArtExpFactors,3,FALSE)*SUMIFS($D$68:$D$69,$B$68:$B$69,"*"&amp;RIGHT($B9,4))*SUMIFS($D$73:$D$75,$B$73:$B$75,"*"&amp;RIGHT($B9,4))*VLOOKUP($B9,ArtExpFactors,4,FALSE)*E$79</f>
        <v>929.21399999999994</v>
      </c>
      <c r="AC10" s="57">
        <f>VLOOKUP($B9,ArtExpFactors,2,FALSE)*VLOOKUP($B9,ArtExpFactors,3,FALSE)*SUMIFS($D$68:$D$69,$B$68:$B$69,"*"&amp;RIGHT($B9,4))*SUMIFS($D$73:$D$75,$B$73:$B$75,"*"&amp;RIGHT($B9,4))*VLOOKUP($B9,ArtExpFactors,4,FALSE)*F$79</f>
        <v>882.75329999999985</v>
      </c>
      <c r="AD10" s="57">
        <f>VLOOKUP($B9,ArtExpFactors,2,FALSE)*VLOOKUP($B9,ArtExpFactors,3,FALSE)*SUMIFS($D$68:$D$69,$B$68:$B$69,"*"&amp;RIGHT($B9,4))*SUMIFS($D$73:$D$75,$B$73:$B$75,"*"&amp;RIGHT($B9,4))*VLOOKUP($B9,ArtExpFactors,4,FALSE)*G$79</f>
        <v>836.29259999999999</v>
      </c>
      <c r="AE10" s="75">
        <f>AB10/0.09</f>
        <v>10324.6</v>
      </c>
      <c r="AF10" s="47">
        <v>2</v>
      </c>
      <c r="AG10" s="71">
        <f>AE10*AF10</f>
        <v>20649.2</v>
      </c>
      <c r="AH10" s="71">
        <f>AG10*0.9</f>
        <v>18584.280000000002</v>
      </c>
      <c r="AI10" s="71">
        <f>AG10+AH10</f>
        <v>39233.480000000003</v>
      </c>
      <c r="AK10" s="65">
        <f t="shared" si="5"/>
        <v>19000</v>
      </c>
      <c r="AL10" s="65">
        <f t="shared" si="5"/>
        <v>36000</v>
      </c>
      <c r="AM10" s="65">
        <f t="shared" si="5"/>
        <v>52000</v>
      </c>
    </row>
    <row r="11" spans="1:39" x14ac:dyDescent="0.2">
      <c r="A11" s="55">
        <v>4</v>
      </c>
      <c r="B11" s="51" t="s">
        <v>36</v>
      </c>
      <c r="C11" s="63">
        <f t="shared" si="3"/>
        <v>710.6</v>
      </c>
      <c r="D11" s="63">
        <f t="shared" si="3"/>
        <v>675.06999999999994</v>
      </c>
      <c r="E11" s="63">
        <f t="shared" si="3"/>
        <v>646.64599999999996</v>
      </c>
      <c r="F11" s="63">
        <f t="shared" si="3"/>
        <v>625.32799999999997</v>
      </c>
      <c r="G11" s="64">
        <f t="shared" ref="G11:I11" si="7">F11*F11/E11</f>
        <v>604.71279120879126</v>
      </c>
      <c r="H11" s="64">
        <f t="shared" si="7"/>
        <v>584.77720468542452</v>
      </c>
      <c r="I11" s="64">
        <f t="shared" si="7"/>
        <v>565.49883530019076</v>
      </c>
      <c r="W11" s="51" t="str">
        <f>B9 &amp; ", " &amp; E8</f>
        <v>Principal Arterial, 3 lanes</v>
      </c>
      <c r="X11" s="51"/>
      <c r="Y11" s="51"/>
      <c r="Z11" s="57">
        <f>VLOOKUP($B9,ArtExpFactors,2,FALSE)*VLOOKUP($B9,ArtExpFactors,3,FALSE)*SUMIFS($E$68:$E$69,$B$68:$B$69,"*"&amp;RIGHT($B9,4))*SUMIFS($E$73:$E$75,$B$73:$B$75,"*"&amp;RIGHT($B9,4))*VLOOKUP($B9,ArtExpFactors,4,FALSE)*C$79</f>
        <v>979.09812000000011</v>
      </c>
      <c r="AA11" s="57">
        <f>VLOOKUP($B9,ArtExpFactors,2,FALSE)*VLOOKUP($B9,ArtExpFactors,3,FALSE)*SUMIFS($E$68:$E$69,$B$68:$B$69,"*"&amp;RIGHT($B9,4))*SUMIFS($E$73:$E$75,$B$73:$B$75,"*"&amp;RIGHT($B9,4))*VLOOKUP($B9,ArtExpFactors,4,FALSE)*D$79</f>
        <v>934.59366</v>
      </c>
      <c r="AB11" s="57">
        <f>VLOOKUP($B9,ArtExpFactors,2,FALSE)*VLOOKUP($B9,ArtExpFactors,3,FALSE)*SUMIFS($E$68:$E$69,$B$68:$B$69,"*"&amp;RIGHT($B9,4))*SUMIFS($E$73:$E$75,$B$73:$B$75,"*"&amp;RIGHT($B9,4))*VLOOKUP($B9,ArtExpFactors,4,FALSE)*E$79</f>
        <v>890.08920000000001</v>
      </c>
      <c r="AC11" s="57">
        <f>VLOOKUP($B9,ArtExpFactors,2,FALSE)*VLOOKUP($B9,ArtExpFactors,3,FALSE)*SUMIFS($E$68:$E$69,$B$68:$B$69,"*"&amp;RIGHT($B9,4))*SUMIFS($E$73:$E$75,$B$73:$B$75,"*"&amp;RIGHT($B9,4))*VLOOKUP($B9,ArtExpFactors,4,FALSE)*F$79</f>
        <v>845.58474000000001</v>
      </c>
      <c r="AD11" s="57">
        <f>VLOOKUP($B9,ArtExpFactors,2,FALSE)*VLOOKUP($B9,ArtExpFactors,3,FALSE)*SUMIFS($E$68:$E$69,$B$68:$B$69,"*"&amp;RIGHT($B9,4))*SUMIFS($E$73:$E$75,$B$73:$B$75,"*"&amp;RIGHT($B9,4))*VLOOKUP($B9,ArtExpFactors,4,FALSE)*G$79</f>
        <v>801.08028000000002</v>
      </c>
      <c r="AE11" s="75">
        <f t="shared" ref="AE11:AE16" si="8">AB11/0.09</f>
        <v>9889.880000000001</v>
      </c>
      <c r="AF11" s="47">
        <v>3</v>
      </c>
      <c r="AG11" s="71">
        <f t="shared" ref="AG11:AG16" si="9">AE11*AF11</f>
        <v>29669.640000000003</v>
      </c>
      <c r="AH11" s="71">
        <f t="shared" ref="AH11:AH16" si="10">AG11*0.9</f>
        <v>26702.676000000003</v>
      </c>
      <c r="AI11" s="71">
        <f t="shared" ref="AI11:AI16" si="11">AG11+AH11</f>
        <v>56372.316000000006</v>
      </c>
      <c r="AK11" s="65">
        <f t="shared" si="5"/>
        <v>16000</v>
      </c>
      <c r="AL11" s="65">
        <f t="shared" si="5"/>
        <v>30000</v>
      </c>
      <c r="AM11" s="65">
        <f t="shared" si="5"/>
        <v>43000</v>
      </c>
    </row>
    <row r="12" spans="1:39" x14ac:dyDescent="0.2">
      <c r="A12" s="55">
        <v>5</v>
      </c>
      <c r="B12" s="51" t="s">
        <v>37</v>
      </c>
      <c r="C12" s="63">
        <f t="shared" si="3"/>
        <v>498.75</v>
      </c>
      <c r="D12" s="63">
        <f t="shared" si="3"/>
        <v>473.81249999999994</v>
      </c>
      <c r="E12" s="63">
        <f t="shared" si="3"/>
        <v>453.8624999999999</v>
      </c>
      <c r="F12" s="63">
        <f t="shared" si="3"/>
        <v>438.89999999999992</v>
      </c>
      <c r="G12" s="64">
        <f t="shared" ref="G12:I12" si="12">F12*F12/E12</f>
        <v>424.43076923076916</v>
      </c>
      <c r="H12" s="64">
        <f t="shared" si="12"/>
        <v>410.43854606931518</v>
      </c>
      <c r="I12" s="64">
        <f t="shared" si="12"/>
        <v>396.9076049901069</v>
      </c>
      <c r="L12" s="47" t="str">
        <f>C8</f>
        <v>1 lane</v>
      </c>
      <c r="M12" s="47" t="str">
        <f t="shared" ref="M12:R12" si="13">D8</f>
        <v>2 lanes</v>
      </c>
      <c r="N12" s="47" t="str">
        <f t="shared" si="13"/>
        <v>3 lanes</v>
      </c>
      <c r="O12" s="47" t="str">
        <f t="shared" si="13"/>
        <v>4 lanes</v>
      </c>
      <c r="P12" s="47" t="str">
        <f t="shared" si="13"/>
        <v>5 lanes</v>
      </c>
      <c r="Q12" s="47" t="str">
        <f t="shared" si="13"/>
        <v>6 lanes</v>
      </c>
      <c r="R12" s="47" t="str">
        <f t="shared" si="13"/>
        <v>7 lanes</v>
      </c>
      <c r="W12" s="51" t="str">
        <f>B10 &amp; ", " &amp; D8</f>
        <v>Minor Arterial, 2 lanes</v>
      </c>
      <c r="Z12" s="57">
        <f>VLOOKUP($B10,ArtExpFactors,2,FALSE)*VLOOKUP($B10,ArtExpFactors,3,FALSE)*SUMIFS($D$68:$D$69,$B$68:$B$69,"*"&amp;RIGHT($B10,4))*SUMIFS($D$73:$D$75,$B$73:$B$75,"*"&amp;RIGHT($B10,4))*VLOOKUP($B10,ArtExpFactors,4,FALSE)*C$79</f>
        <v>943.50959999999998</v>
      </c>
      <c r="AA12" s="57">
        <f>VLOOKUP($B10,ArtExpFactors,2,FALSE)*VLOOKUP($B10,ArtExpFactors,3,FALSE)*SUMIFS($D$68:$D$69,$B$68:$B$69,"*"&amp;RIGHT($B10,4))*SUMIFS($D$73:$D$75,$B$73:$B$75,"*"&amp;RIGHT($B10,4))*VLOOKUP($B10,ArtExpFactors,4,FALSE)*D$79</f>
        <v>900.62279999999987</v>
      </c>
      <c r="AB12" s="57">
        <f>VLOOKUP($B10,ArtExpFactors,2,FALSE)*VLOOKUP($B10,ArtExpFactors,3,FALSE)*SUMIFS($D$68:$D$69,$B$68:$B$69,"*"&amp;RIGHT($B10,4))*SUMIFS($D$73:$D$75,$B$73:$B$75,"*"&amp;RIGHT($B10,4))*VLOOKUP($B10,ArtExpFactors,4,FALSE)*E$79</f>
        <v>857.73599999999988</v>
      </c>
      <c r="AC12" s="57">
        <f>VLOOKUP($B10,ArtExpFactors,2,FALSE)*VLOOKUP($B10,ArtExpFactors,3,FALSE)*SUMIFS($D$68:$D$69,$B$68:$B$69,"*"&amp;RIGHT($B10,4))*SUMIFS($D$73:$D$75,$B$73:$B$75,"*"&amp;RIGHT($B10,4))*VLOOKUP($B10,ArtExpFactors,4,FALSE)*F$79</f>
        <v>814.84919999999988</v>
      </c>
      <c r="AD12" s="57">
        <f>VLOOKUP($B10,ArtExpFactors,2,FALSE)*VLOOKUP($B10,ArtExpFactors,3,FALSE)*SUMIFS($D$68:$D$69,$B$68:$B$69,"*"&amp;RIGHT($B10,4))*SUMIFS($D$73:$D$75,$B$73:$B$75,"*"&amp;RIGHT($B10,4))*VLOOKUP($B10,ArtExpFactors,4,FALSE)*G$79</f>
        <v>771.96239999999989</v>
      </c>
      <c r="AE12" s="75">
        <f t="shared" si="8"/>
        <v>9530.4</v>
      </c>
      <c r="AF12" s="47">
        <v>2</v>
      </c>
      <c r="AG12" s="71">
        <f t="shared" si="9"/>
        <v>19060.8</v>
      </c>
      <c r="AH12" s="71">
        <f t="shared" si="10"/>
        <v>17154.72</v>
      </c>
      <c r="AI12" s="71">
        <f t="shared" si="11"/>
        <v>36215.520000000004</v>
      </c>
      <c r="AK12" s="65">
        <f t="shared" si="5"/>
        <v>11000</v>
      </c>
      <c r="AL12" s="65">
        <f t="shared" si="5"/>
        <v>21000</v>
      </c>
      <c r="AM12" s="65">
        <f t="shared" si="5"/>
        <v>30000</v>
      </c>
    </row>
    <row r="13" spans="1:39" x14ac:dyDescent="0.2">
      <c r="A13" s="55">
        <v>6</v>
      </c>
      <c r="B13" s="51" t="s">
        <v>3</v>
      </c>
      <c r="C13" s="64">
        <f>C12*0.8</f>
        <v>399</v>
      </c>
      <c r="D13" s="64">
        <f t="shared" ref="D13:I13" si="14">D12*0.8</f>
        <v>379.04999999999995</v>
      </c>
      <c r="E13" s="64">
        <f t="shared" si="14"/>
        <v>363.08999999999992</v>
      </c>
      <c r="F13" s="64">
        <f t="shared" si="14"/>
        <v>351.11999999999995</v>
      </c>
      <c r="G13" s="64">
        <f t="shared" si="14"/>
        <v>339.54461538461533</v>
      </c>
      <c r="H13" s="64">
        <f t="shared" si="14"/>
        <v>328.35083685545214</v>
      </c>
      <c r="I13" s="64">
        <f t="shared" si="14"/>
        <v>317.52608399208555</v>
      </c>
      <c r="W13" s="51" t="str">
        <f>B10 &amp; ", " &amp; E8</f>
        <v>Minor Arterial, 3 lanes</v>
      </c>
      <c r="Z13" s="57">
        <f>VLOOKUP($B10,ArtExpFactors,2,FALSE)*VLOOKUP($B10,ArtExpFactors,3,FALSE)*SUMIFS($E$68:$E$69,$B$68:$B$69,"*"&amp;RIGHT($B10,4))*SUMIFS($E$73:$E$75,$B$73:$B$75,"*"&amp;RIGHT($B10,4))*VLOOKUP($B10,ArtExpFactors,4,FALSE)*C$79</f>
        <v>903.78288000000009</v>
      </c>
      <c r="AA13" s="57">
        <f>VLOOKUP($B10,ArtExpFactors,2,FALSE)*VLOOKUP($B10,ArtExpFactors,3,FALSE)*SUMIFS($E$68:$E$69,$B$68:$B$69,"*"&amp;RIGHT($B10,4))*SUMIFS($E$73:$E$75,$B$73:$B$75,"*"&amp;RIGHT($B10,4))*VLOOKUP($B10,ArtExpFactors,4,FALSE)*D$79</f>
        <v>862.70184000000006</v>
      </c>
      <c r="AB13" s="57">
        <f>VLOOKUP($B10,ArtExpFactors,2,FALSE)*VLOOKUP($B10,ArtExpFactors,3,FALSE)*SUMIFS($E$68:$E$69,$B$68:$B$69,"*"&amp;RIGHT($B10,4))*SUMIFS($E$73:$E$75,$B$73:$B$75,"*"&amp;RIGHT($B10,4))*VLOOKUP($B10,ArtExpFactors,4,FALSE)*E$79</f>
        <v>821.62080000000003</v>
      </c>
      <c r="AC13" s="57">
        <f>VLOOKUP($B10,ArtExpFactors,2,FALSE)*VLOOKUP($B10,ArtExpFactors,3,FALSE)*SUMIFS($E$68:$E$69,$B$68:$B$69,"*"&amp;RIGHT($B10,4))*SUMIFS($E$73:$E$75,$B$73:$B$75,"*"&amp;RIGHT($B10,4))*VLOOKUP($B10,ArtExpFactors,4,FALSE)*F$79</f>
        <v>780.53976</v>
      </c>
      <c r="AD13" s="57">
        <f>VLOOKUP($B10,ArtExpFactors,2,FALSE)*VLOOKUP($B10,ArtExpFactors,3,FALSE)*SUMIFS($E$68:$E$69,$B$68:$B$69,"*"&amp;RIGHT($B10,4))*SUMIFS($E$73:$E$75,$B$73:$B$75,"*"&amp;RIGHT($B10,4))*VLOOKUP($B10,ArtExpFactors,4,FALSE)*G$79</f>
        <v>739.45872000000008</v>
      </c>
      <c r="AE13" s="75">
        <f t="shared" si="8"/>
        <v>9129.1200000000008</v>
      </c>
      <c r="AF13" s="47">
        <v>3</v>
      </c>
      <c r="AG13" s="71">
        <f t="shared" si="9"/>
        <v>27387.360000000001</v>
      </c>
      <c r="AH13" s="71">
        <f t="shared" si="10"/>
        <v>24648.624</v>
      </c>
      <c r="AI13" s="71">
        <f t="shared" si="11"/>
        <v>52035.983999999997</v>
      </c>
      <c r="AK13" s="65">
        <f>IFERROR(ROUND(C13/$AK$4*2*LEFT(AK$8,1),-3),"")</f>
        <v>9000</v>
      </c>
      <c r="AL13" s="65"/>
      <c r="AM13" s="65"/>
    </row>
    <row r="14" spans="1:39" x14ac:dyDescent="0.2">
      <c r="A14" s="55">
        <v>7</v>
      </c>
      <c r="B14" s="51" t="s">
        <v>86</v>
      </c>
      <c r="C14" s="66">
        <v>300</v>
      </c>
      <c r="D14" s="64">
        <f>C14</f>
        <v>300</v>
      </c>
      <c r="E14" s="64">
        <f t="shared" ref="E14:I14" si="15">D14</f>
        <v>300</v>
      </c>
      <c r="F14" s="64">
        <f t="shared" si="15"/>
        <v>300</v>
      </c>
      <c r="G14" s="64">
        <f t="shared" si="15"/>
        <v>300</v>
      </c>
      <c r="H14" s="64">
        <f t="shared" si="15"/>
        <v>300</v>
      </c>
      <c r="I14" s="64">
        <f t="shared" si="15"/>
        <v>300</v>
      </c>
      <c r="W14" s="51" t="str">
        <f>B11 &amp; ", " &amp; C8</f>
        <v>Major Collector, 1 lane</v>
      </c>
      <c r="Z14" s="57">
        <f>VLOOKUP($B11,ArtExpFactors,2,FALSE)*VLOOKUP($B11,ArtExpFactors,3,FALSE)*SUMIFS($C$68:$C$69,$B$68:$B$69,"*"&amp;RIGHT($B11,4))*SUMIFS($C$73:$C$75,$B$73:$B$75,"*"&amp;RIGHT($B11,4))*VLOOKUP($B11,ArtExpFactors,4,FALSE)*C$79</f>
        <v>822.80000000000007</v>
      </c>
      <c r="AA14" s="57">
        <f>VLOOKUP($B11,ArtExpFactors,2,FALSE)*VLOOKUP($B11,ArtExpFactors,3,FALSE)*SUMIFS($C$68:$C$69,$B$68:$B$69,"*"&amp;RIGHT($B11,4))*SUMIFS($C$73:$C$75,$B$73:$B$75,"*"&amp;RIGHT($B11,4))*VLOOKUP($B11,ArtExpFactors,4,FALSE)*D$79</f>
        <v>785.4</v>
      </c>
      <c r="AB14" s="57">
        <f>VLOOKUP($B11,ArtExpFactors,2,FALSE)*VLOOKUP($B11,ArtExpFactors,3,FALSE)*SUMIFS($C$68:$C$69,$B$68:$B$69,"*"&amp;RIGHT($B11,4))*SUMIFS($C$73:$C$75,$B$73:$B$75,"*"&amp;RIGHT($B11,4))*VLOOKUP($B11,ArtExpFactors,4,FALSE)*E$79</f>
        <v>748</v>
      </c>
      <c r="AC14" s="57">
        <f>VLOOKUP($B11,ArtExpFactors,2,FALSE)*VLOOKUP($B11,ArtExpFactors,3,FALSE)*SUMIFS($C$68:$C$69,$B$68:$B$69,"*"&amp;RIGHT($B11,4))*SUMIFS($C$73:$C$75,$B$73:$B$75,"*"&amp;RIGHT($B11,4))*VLOOKUP($B11,ArtExpFactors,4,FALSE)*F$79</f>
        <v>710.6</v>
      </c>
      <c r="AD14" s="57">
        <f>VLOOKUP($B11,ArtExpFactors,2,FALSE)*VLOOKUP($B11,ArtExpFactors,3,FALSE)*SUMIFS($C$68:$C$69,$B$68:$B$69,"*"&amp;RIGHT($B11,4))*SUMIFS($C$73:$C$75,$B$73:$B$75,"*"&amp;RIGHT($B11,4))*VLOOKUP($B11,ArtExpFactors,4,FALSE)*G$79</f>
        <v>673.2</v>
      </c>
      <c r="AE14" s="75">
        <f t="shared" si="8"/>
        <v>8311.1111111111113</v>
      </c>
      <c r="AF14" s="47">
        <v>1</v>
      </c>
      <c r="AG14" s="71">
        <f t="shared" si="9"/>
        <v>8311.1111111111113</v>
      </c>
      <c r="AH14" s="71">
        <f t="shared" si="10"/>
        <v>7480</v>
      </c>
      <c r="AI14" s="71">
        <f t="shared" si="11"/>
        <v>15791.111111111111</v>
      </c>
      <c r="AK14" s="65"/>
      <c r="AL14" s="65"/>
      <c r="AM14" s="65"/>
    </row>
    <row r="15" spans="1:39" x14ac:dyDescent="0.2">
      <c r="A15" s="67" t="s">
        <v>80</v>
      </c>
      <c r="B15" s="51"/>
      <c r="C15" s="55"/>
      <c r="D15" s="57"/>
      <c r="E15" s="51"/>
      <c r="G15" s="47"/>
      <c r="W15" s="51" t="str">
        <f>B11 &amp; ", " &amp; D8</f>
        <v>Major Collector, 2 lanes</v>
      </c>
      <c r="Z15" s="57">
        <f>VLOOKUP($B11,ArtExpFactors,2,FALSE)*VLOOKUP($B11,ArtExpFactors,3,FALSE)*SUMIFS($D$68:$D$69,$B$68:$B$69,"*"&amp;RIGHT($B11,4))*SUMIFS($D$73:$D$75,$B$73:$B$75,"*"&amp;RIGHT($B11,4))*VLOOKUP($B11,ArtExpFactors,4,FALSE)*C$79</f>
        <v>781.66000000000008</v>
      </c>
      <c r="AA15" s="57">
        <f>VLOOKUP($B11,ArtExpFactors,2,FALSE)*VLOOKUP($B11,ArtExpFactors,3,FALSE)*SUMIFS($D$68:$D$69,$B$68:$B$69,"*"&amp;RIGHT($B11,4))*SUMIFS($D$73:$D$75,$B$73:$B$75,"*"&amp;RIGHT($B11,4))*VLOOKUP($B11,ArtExpFactors,4,FALSE)*D$79</f>
        <v>746.13000000000011</v>
      </c>
      <c r="AB15" s="57">
        <f>VLOOKUP($B11,ArtExpFactors,2,FALSE)*VLOOKUP($B11,ArtExpFactors,3,FALSE)*SUMIFS($D$68:$D$69,$B$68:$B$69,"*"&amp;RIGHT($B11,4))*SUMIFS($D$73:$D$75,$B$73:$B$75,"*"&amp;RIGHT($B11,4))*VLOOKUP($B11,ArtExpFactors,4,FALSE)*E$79</f>
        <v>710.6</v>
      </c>
      <c r="AC15" s="57">
        <f>VLOOKUP($B11,ArtExpFactors,2,FALSE)*VLOOKUP($B11,ArtExpFactors,3,FALSE)*SUMIFS($D$68:$D$69,$B$68:$B$69,"*"&amp;RIGHT($B11,4))*SUMIFS($D$73:$D$75,$B$73:$B$75,"*"&amp;RIGHT($B11,4))*VLOOKUP($B11,ArtExpFactors,4,FALSE)*F$79</f>
        <v>675.06999999999994</v>
      </c>
      <c r="AD15" s="57">
        <f>VLOOKUP($B11,ArtExpFactors,2,FALSE)*VLOOKUP($B11,ArtExpFactors,3,FALSE)*SUMIFS($D$68:$D$69,$B$68:$B$69,"*"&amp;RIGHT($B11,4))*SUMIFS($D$73:$D$75,$B$73:$B$75,"*"&amp;RIGHT($B11,4))*VLOOKUP($B11,ArtExpFactors,4,FALSE)*G$79</f>
        <v>639.54000000000008</v>
      </c>
      <c r="AE15" s="75">
        <f t="shared" si="8"/>
        <v>7895.5555555555557</v>
      </c>
      <c r="AF15" s="47">
        <v>2</v>
      </c>
      <c r="AG15" s="71">
        <f t="shared" si="9"/>
        <v>15791.111111111111</v>
      </c>
      <c r="AH15" s="71">
        <f t="shared" si="10"/>
        <v>14212</v>
      </c>
      <c r="AI15" s="71">
        <f t="shared" si="11"/>
        <v>30003.111111111109</v>
      </c>
      <c r="AK15" s="55"/>
      <c r="AL15" s="57"/>
      <c r="AM15" s="51"/>
    </row>
    <row r="16" spans="1:39" x14ac:dyDescent="0.2">
      <c r="G16" s="47"/>
      <c r="K16" s="49" t="s">
        <v>185</v>
      </c>
      <c r="L16" s="71">
        <f>C28</f>
        <v>2450</v>
      </c>
      <c r="M16" s="71">
        <f t="shared" ref="M16:R16" si="16">D28</f>
        <v>2450</v>
      </c>
      <c r="N16" s="71">
        <f t="shared" si="16"/>
        <v>2333.3333333333335</v>
      </c>
      <c r="O16" s="71">
        <f t="shared" si="16"/>
        <v>2233</v>
      </c>
      <c r="P16" s="71">
        <f t="shared" si="16"/>
        <v>2135</v>
      </c>
      <c r="Q16" s="71">
        <f t="shared" si="16"/>
        <v>2027.6666666666667</v>
      </c>
      <c r="R16" s="71">
        <f t="shared" si="16"/>
        <v>1948</v>
      </c>
      <c r="W16" s="51" t="str">
        <f>B12 &amp; ", " &amp; C8</f>
        <v>Minor Collector, 1 lane</v>
      </c>
      <c r="Z16" s="57">
        <f>VLOOKUP($B12,ArtExpFactors,2,FALSE)*VLOOKUP($B12,ArtExpFactors,3,FALSE)*SUMIFS($C$68:$C$69,$B$68:$B$69,"*"&amp;RIGHT($B12,4))*SUMIFS($C$73:$C$75,$B$73:$B$75,"*"&amp;RIGHT($B12,4))*VLOOKUP($B12,ArtExpFactors,4,FALSE)*C$79</f>
        <v>577.5</v>
      </c>
      <c r="AA16" s="57">
        <f>VLOOKUP($B12,ArtExpFactors,2,FALSE)*VLOOKUP($B12,ArtExpFactors,3,FALSE)*SUMIFS($C$68:$C$69,$B$68:$B$69,"*"&amp;RIGHT($B12,4))*SUMIFS($C$73:$C$75,$B$73:$B$75,"*"&amp;RIGHT($B12,4))*VLOOKUP($B12,ArtExpFactors,4,FALSE)*D$79</f>
        <v>551.25</v>
      </c>
      <c r="AB16" s="57">
        <f>VLOOKUP($B12,ArtExpFactors,2,FALSE)*VLOOKUP($B12,ArtExpFactors,3,FALSE)*SUMIFS($C$68:$C$69,$B$68:$B$69,"*"&amp;RIGHT($B12,4))*SUMIFS($C$73:$C$75,$B$73:$B$75,"*"&amp;RIGHT($B12,4))*VLOOKUP($B12,ArtExpFactors,4,FALSE)*E$79</f>
        <v>525</v>
      </c>
      <c r="AC16" s="57">
        <f>VLOOKUP($B12,ArtExpFactors,2,FALSE)*VLOOKUP($B12,ArtExpFactors,3,FALSE)*SUMIFS($C$68:$C$69,$B$68:$B$69,"*"&amp;RIGHT($B12,4))*SUMIFS($C$73:$C$75,$B$73:$B$75,"*"&amp;RIGHT($B12,4))*VLOOKUP($B12,ArtExpFactors,4,FALSE)*F$79</f>
        <v>498.75</v>
      </c>
      <c r="AD16" s="57">
        <f>VLOOKUP($B12,ArtExpFactors,2,FALSE)*VLOOKUP($B12,ArtExpFactors,3,FALSE)*SUMIFS($C$68:$C$69,$B$68:$B$69,"*"&amp;RIGHT($B12,4))*SUMIFS($C$73:$C$75,$B$73:$B$75,"*"&amp;RIGHT($B12,4))*VLOOKUP($B12,ArtExpFactors,4,FALSE)*G$79</f>
        <v>472.5</v>
      </c>
      <c r="AE16" s="75">
        <f t="shared" si="8"/>
        <v>5833.3333333333339</v>
      </c>
      <c r="AF16" s="47">
        <v>1</v>
      </c>
      <c r="AG16" s="71">
        <f t="shared" si="9"/>
        <v>5833.3333333333339</v>
      </c>
      <c r="AH16" s="71">
        <f t="shared" si="10"/>
        <v>5250.0000000000009</v>
      </c>
      <c r="AI16" s="71">
        <f t="shared" si="11"/>
        <v>11083.333333333336</v>
      </c>
      <c r="AK16" s="58"/>
    </row>
    <row r="17" spans="1:39" x14ac:dyDescent="0.2">
      <c r="A17" s="55">
        <v>12</v>
      </c>
      <c r="B17" s="51" t="str">
        <f>'WFRC Speed V8.3'!B15</f>
        <v>Expressway, posted 60-70 mph</v>
      </c>
      <c r="C17" s="63">
        <f t="shared" ref="C17:F20" si="17">VLOOKUP($B17,ArtExpFactors,2,FALSE)*VLOOKUP($B17,ArtExpFactors,3,FALSE)*SUMIFS(C$68:C$70,$B$68:$B$70,LEFT($B17,4)&amp;"*")*SUMIFS(C$73:C$75,$B$73:$B$75,LEFT($B17,4)&amp;"*")*VLOOKUP($B17,ArtExpFactors,4,FALSE)</f>
        <v>1102</v>
      </c>
      <c r="D17" s="63">
        <f t="shared" si="17"/>
        <v>1057.9199999999998</v>
      </c>
      <c r="E17" s="63">
        <f t="shared" si="17"/>
        <v>1024.8599999999999</v>
      </c>
      <c r="F17" s="63">
        <f t="shared" si="17"/>
        <v>1002.8199999999999</v>
      </c>
      <c r="G17" s="64">
        <f>F17*F17/E17</f>
        <v>981.25397849462354</v>
      </c>
      <c r="H17" s="64">
        <f>G17*G17/F17</f>
        <v>960.15174239796499</v>
      </c>
      <c r="I17" s="64">
        <f>H17*H17/G17</f>
        <v>939.50331783026684</v>
      </c>
      <c r="K17" s="49" t="s">
        <v>186</v>
      </c>
      <c r="L17" s="71">
        <f>C27</f>
        <v>2100</v>
      </c>
      <c r="M17" s="71">
        <f t="shared" ref="M17:R17" si="18">D27</f>
        <v>2100</v>
      </c>
      <c r="N17" s="71">
        <f t="shared" si="18"/>
        <v>2100</v>
      </c>
      <c r="O17" s="71">
        <f t="shared" si="18"/>
        <v>2058</v>
      </c>
      <c r="P17" s="71">
        <f t="shared" si="18"/>
        <v>1995</v>
      </c>
      <c r="Q17" s="71">
        <f t="shared" si="18"/>
        <v>1911</v>
      </c>
      <c r="R17" s="71">
        <f t="shared" si="18"/>
        <v>1848</v>
      </c>
      <c r="W17" s="51"/>
      <c r="X17" s="51"/>
      <c r="Y17" s="51"/>
      <c r="Z17" s="38"/>
      <c r="AA17" s="38"/>
      <c r="AB17" s="38"/>
      <c r="AC17" s="38"/>
      <c r="AD17" s="38"/>
      <c r="AK17" s="65">
        <f t="shared" ref="AK17:AM20" si="19">IFERROR(ROUND(C17/$AK$4*2*LEFT(AK$8,1),-3),"")</f>
        <v>24000</v>
      </c>
      <c r="AL17" s="65">
        <f t="shared" si="19"/>
        <v>47000</v>
      </c>
      <c r="AM17" s="65">
        <f t="shared" si="19"/>
        <v>68000</v>
      </c>
    </row>
    <row r="18" spans="1:39" x14ac:dyDescent="0.2">
      <c r="A18" s="55">
        <v>13</v>
      </c>
      <c r="B18" s="51" t="str">
        <f>'WFRC Speed V8.3'!B16</f>
        <v>Expressway, posted 55-65 mph</v>
      </c>
      <c r="C18" s="63">
        <f t="shared" si="17"/>
        <v>1064</v>
      </c>
      <c r="D18" s="63">
        <f t="shared" si="17"/>
        <v>1021.44</v>
      </c>
      <c r="E18" s="63">
        <f t="shared" si="17"/>
        <v>989.5200000000001</v>
      </c>
      <c r="F18" s="63">
        <f t="shared" si="17"/>
        <v>968.24000000000012</v>
      </c>
      <c r="G18" s="64">
        <f t="shared" ref="G18:G20" si="20">F18*F18/E18</f>
        <v>947.41763440860223</v>
      </c>
      <c r="H18" s="64">
        <f t="shared" ref="H18:H20" si="21">G18*G18/F18</f>
        <v>927.04306162562148</v>
      </c>
      <c r="I18" s="64">
        <f t="shared" ref="I18:I20" si="22">H18*H18/G18</f>
        <v>907.10665169818867</v>
      </c>
      <c r="K18" s="49" t="s">
        <v>187</v>
      </c>
      <c r="L18" s="72">
        <f>L16/L17</f>
        <v>1.1666666666666667</v>
      </c>
      <c r="M18" s="72">
        <f t="shared" ref="M18:R18" si="23">M16/M17</f>
        <v>1.1666666666666667</v>
      </c>
      <c r="N18" s="72">
        <f t="shared" si="23"/>
        <v>1.1111111111111112</v>
      </c>
      <c r="O18" s="72">
        <f t="shared" si="23"/>
        <v>1.0850340136054422</v>
      </c>
      <c r="P18" s="72">
        <f t="shared" si="23"/>
        <v>1.0701754385964912</v>
      </c>
      <c r="Q18" s="72">
        <f t="shared" si="23"/>
        <v>1.0610500610500611</v>
      </c>
      <c r="R18" s="72">
        <f t="shared" si="23"/>
        <v>1.0541125541125542</v>
      </c>
      <c r="W18" s="51"/>
      <c r="X18" s="51"/>
      <c r="Y18" s="51"/>
      <c r="Z18" s="38"/>
      <c r="AA18" s="38"/>
      <c r="AB18" s="38"/>
      <c r="AC18" s="38"/>
      <c r="AD18" s="38"/>
      <c r="AK18" s="65">
        <f t="shared" si="19"/>
        <v>24000</v>
      </c>
      <c r="AL18" s="65">
        <f t="shared" si="19"/>
        <v>45000</v>
      </c>
      <c r="AM18" s="65">
        <f t="shared" si="19"/>
        <v>66000</v>
      </c>
    </row>
    <row r="19" spans="1:39" x14ac:dyDescent="0.2">
      <c r="A19" s="55">
        <v>14</v>
      </c>
      <c r="B19" s="51" t="str">
        <f>'WFRC Speed V8.3'!B17</f>
        <v>Expressway, posted 50-60 mph</v>
      </c>
      <c r="C19" s="63">
        <f t="shared" si="17"/>
        <v>1026</v>
      </c>
      <c r="D19" s="63">
        <f t="shared" si="17"/>
        <v>984.96</v>
      </c>
      <c r="E19" s="63">
        <f t="shared" si="17"/>
        <v>954.18000000000006</v>
      </c>
      <c r="F19" s="63">
        <f t="shared" si="17"/>
        <v>933.66000000000008</v>
      </c>
      <c r="G19" s="64">
        <f t="shared" si="20"/>
        <v>913.58129032258068</v>
      </c>
      <c r="H19" s="64">
        <f t="shared" si="21"/>
        <v>893.93438085327784</v>
      </c>
      <c r="I19" s="64">
        <f t="shared" si="22"/>
        <v>874.7099855661105</v>
      </c>
      <c r="W19" s="51"/>
      <c r="X19" s="51"/>
      <c r="Y19" s="51"/>
      <c r="Z19" s="38"/>
      <c r="AA19" s="38"/>
      <c r="AB19" s="38"/>
      <c r="AC19" s="38"/>
      <c r="AD19" s="38"/>
      <c r="AK19" s="65">
        <f t="shared" si="19"/>
        <v>23000</v>
      </c>
      <c r="AL19" s="65">
        <f t="shared" si="19"/>
        <v>44000</v>
      </c>
      <c r="AM19" s="65">
        <f t="shared" si="19"/>
        <v>64000</v>
      </c>
    </row>
    <row r="20" spans="1:39" x14ac:dyDescent="0.2">
      <c r="A20" s="55">
        <v>15</v>
      </c>
      <c r="B20" s="51" t="str">
        <f>'WFRC Speed V8.3'!B18</f>
        <v>Expressway, posted 45-55 mph</v>
      </c>
      <c r="C20" s="63">
        <f t="shared" si="17"/>
        <v>988</v>
      </c>
      <c r="D20" s="63">
        <f t="shared" si="17"/>
        <v>948.48</v>
      </c>
      <c r="E20" s="63">
        <f t="shared" si="17"/>
        <v>918.84</v>
      </c>
      <c r="F20" s="63">
        <f t="shared" si="17"/>
        <v>899.08</v>
      </c>
      <c r="G20" s="64">
        <f t="shared" si="20"/>
        <v>879.74494623655914</v>
      </c>
      <c r="H20" s="64">
        <f t="shared" si="21"/>
        <v>860.8257000809341</v>
      </c>
      <c r="I20" s="64">
        <f t="shared" si="22"/>
        <v>842.31331943403211</v>
      </c>
      <c r="K20" s="49" t="s">
        <v>195</v>
      </c>
      <c r="L20" s="71">
        <f t="shared" ref="L20:M20" si="24">C27</f>
        <v>2100</v>
      </c>
      <c r="M20" s="71">
        <f t="shared" si="24"/>
        <v>2100</v>
      </c>
      <c r="N20" s="71">
        <f>E27</f>
        <v>2100</v>
      </c>
      <c r="O20" s="71">
        <f>F27</f>
        <v>2058</v>
      </c>
      <c r="P20" s="71">
        <f>G27</f>
        <v>1995</v>
      </c>
      <c r="Q20" s="71">
        <f>H27</f>
        <v>1911</v>
      </c>
      <c r="R20" s="71">
        <f>I27</f>
        <v>1848</v>
      </c>
      <c r="W20" s="51"/>
      <c r="X20" s="51"/>
      <c r="Y20" s="51"/>
      <c r="Z20" s="38"/>
      <c r="AA20" s="38"/>
      <c r="AB20" s="38"/>
      <c r="AC20" s="38"/>
      <c r="AD20" s="38"/>
      <c r="AK20" s="65">
        <f t="shared" si="19"/>
        <v>22000</v>
      </c>
      <c r="AL20" s="65">
        <f t="shared" si="19"/>
        <v>42000</v>
      </c>
      <c r="AM20" s="65">
        <f t="shared" si="19"/>
        <v>61000</v>
      </c>
    </row>
    <row r="21" spans="1:39" x14ac:dyDescent="0.2">
      <c r="A21" s="55"/>
      <c r="B21" s="51"/>
      <c r="C21" s="51"/>
      <c r="D21" s="57"/>
      <c r="E21" s="51"/>
      <c r="F21" s="51"/>
      <c r="G21" s="68"/>
      <c r="H21" s="51"/>
      <c r="I21" s="51"/>
      <c r="J21" s="51"/>
      <c r="K21" s="51" t="s">
        <v>294</v>
      </c>
      <c r="L21" s="38">
        <f>C38</f>
        <v>1473.4499999999998</v>
      </c>
      <c r="M21" s="38">
        <f t="shared" ref="M21:N21" si="25">D38</f>
        <v>1473.4499999999998</v>
      </c>
      <c r="N21" s="38">
        <f t="shared" si="25"/>
        <v>1473.4499999999998</v>
      </c>
      <c r="O21" s="38">
        <f>F38</f>
        <v>1443.9809999999998</v>
      </c>
      <c r="P21" s="38">
        <f>G38</f>
        <v>1399.7774999999999</v>
      </c>
      <c r="Q21" s="38">
        <f>H38</f>
        <v>1340.8394999999998</v>
      </c>
      <c r="R21" s="38">
        <f>I38</f>
        <v>1296.636</v>
      </c>
      <c r="S21" s="51"/>
      <c r="T21" s="51"/>
      <c r="U21" s="51"/>
      <c r="V21" s="51"/>
      <c r="W21" s="51"/>
      <c r="X21" s="51"/>
      <c r="Y21" s="51"/>
      <c r="Z21" s="38"/>
      <c r="AA21" s="38"/>
      <c r="AB21" s="38"/>
      <c r="AC21" s="38"/>
      <c r="AD21" s="38"/>
    </row>
    <row r="22" spans="1:39" x14ac:dyDescent="0.2">
      <c r="A22" s="55"/>
      <c r="B22" s="51"/>
      <c r="C22" s="51"/>
      <c r="D22" s="57"/>
      <c r="E22" s="51"/>
      <c r="F22" s="37" t="s">
        <v>57</v>
      </c>
      <c r="G22" s="68"/>
      <c r="H22" s="51"/>
      <c r="I22" s="51"/>
      <c r="J22" s="51"/>
      <c r="K22" s="51" t="s">
        <v>196</v>
      </c>
      <c r="L22" s="71">
        <f>L21*0.9</f>
        <v>1326.1049999999998</v>
      </c>
      <c r="M22" s="71">
        <f>M21*0.9</f>
        <v>1326.1049999999998</v>
      </c>
      <c r="N22" s="71">
        <f t="shared" ref="N22:R22" si="26">N21*0.9</f>
        <v>1326.1049999999998</v>
      </c>
      <c r="O22" s="71">
        <f t="shared" si="26"/>
        <v>1299.5828999999999</v>
      </c>
      <c r="P22" s="71">
        <f t="shared" si="26"/>
        <v>1259.7997499999999</v>
      </c>
      <c r="Q22" s="71">
        <f t="shared" si="26"/>
        <v>1206.7555499999999</v>
      </c>
      <c r="R22" s="71">
        <f t="shared" si="26"/>
        <v>1166.9724000000001</v>
      </c>
      <c r="S22" s="51"/>
      <c r="T22" s="51"/>
      <c r="U22" s="51"/>
      <c r="V22" s="51"/>
      <c r="W22" s="51"/>
      <c r="X22" s="51"/>
      <c r="Y22" s="51"/>
      <c r="Z22" s="38"/>
      <c r="AA22" s="38"/>
      <c r="AB22" s="38"/>
      <c r="AC22" s="38"/>
      <c r="AD22" s="38"/>
    </row>
    <row r="23" spans="1:39" x14ac:dyDescent="0.2">
      <c r="A23" s="55"/>
      <c r="B23" s="51"/>
      <c r="C23" s="60" t="s">
        <v>54</v>
      </c>
      <c r="D23" s="37" t="s">
        <v>55</v>
      </c>
      <c r="E23" s="60" t="s">
        <v>56</v>
      </c>
      <c r="F23" s="37" t="s">
        <v>60</v>
      </c>
      <c r="G23" s="60" t="s">
        <v>61</v>
      </c>
      <c r="H23" s="37" t="s">
        <v>62</v>
      </c>
      <c r="I23" s="60" t="s">
        <v>63</v>
      </c>
      <c r="J23" s="51"/>
      <c r="K23" s="51" t="s">
        <v>271</v>
      </c>
      <c r="L23" s="72">
        <f>L21/L20</f>
        <v>0.70164285714285701</v>
      </c>
      <c r="M23" s="72">
        <f t="shared" ref="M23:R23" si="27">M21/M20</f>
        <v>0.70164285714285701</v>
      </c>
      <c r="N23" s="72">
        <f t="shared" si="27"/>
        <v>0.70164285714285701</v>
      </c>
      <c r="O23" s="72">
        <f t="shared" si="27"/>
        <v>0.70164285714285701</v>
      </c>
      <c r="P23" s="72">
        <f t="shared" si="27"/>
        <v>0.70164285714285712</v>
      </c>
      <c r="Q23" s="72">
        <f t="shared" si="27"/>
        <v>0.70164285714285701</v>
      </c>
      <c r="R23" s="72">
        <f t="shared" si="27"/>
        <v>0.70164285714285712</v>
      </c>
      <c r="S23" s="51"/>
      <c r="T23" s="51"/>
      <c r="U23" s="51"/>
      <c r="V23" s="51"/>
      <c r="W23" s="51"/>
      <c r="X23" s="51"/>
      <c r="Y23" s="51"/>
      <c r="Z23" s="38"/>
      <c r="AA23" s="38"/>
      <c r="AB23" s="38"/>
      <c r="AC23" s="38"/>
      <c r="AD23" s="38"/>
      <c r="AK23" s="49" t="s">
        <v>19</v>
      </c>
    </row>
    <row r="24" spans="1:39" x14ac:dyDescent="0.2">
      <c r="A24" s="11">
        <v>20</v>
      </c>
      <c r="B24" s="51" t="s">
        <v>98</v>
      </c>
      <c r="C24" s="94">
        <f>C35</f>
        <v>1150</v>
      </c>
      <c r="D24" s="94">
        <f t="shared" ref="D24:I24" si="28">D35</f>
        <v>920</v>
      </c>
      <c r="E24" s="94">
        <f t="shared" si="28"/>
        <v>736</v>
      </c>
      <c r="F24" s="94">
        <f t="shared" si="28"/>
        <v>736</v>
      </c>
      <c r="G24" s="94">
        <f t="shared" si="28"/>
        <v>736</v>
      </c>
      <c r="H24" s="94">
        <f t="shared" si="28"/>
        <v>736</v>
      </c>
      <c r="I24" s="94">
        <f t="shared" si="28"/>
        <v>736</v>
      </c>
      <c r="J24" s="51"/>
      <c r="K24" s="51" t="s">
        <v>197</v>
      </c>
      <c r="L24" s="72">
        <f>L22/L20</f>
        <v>0.63147857142857133</v>
      </c>
      <c r="M24" s="72">
        <f t="shared" ref="M24:R24" si="29">M22/M20</f>
        <v>0.63147857142857133</v>
      </c>
      <c r="N24" s="72">
        <f t="shared" si="29"/>
        <v>0.63147857142857133</v>
      </c>
      <c r="O24" s="72">
        <f t="shared" si="29"/>
        <v>0.63147857142857133</v>
      </c>
      <c r="P24" s="72">
        <f t="shared" si="29"/>
        <v>0.63147857142857133</v>
      </c>
      <c r="Q24" s="72">
        <f t="shared" si="29"/>
        <v>0.63147857142857133</v>
      </c>
      <c r="R24" s="72">
        <f t="shared" si="29"/>
        <v>0.63147857142857144</v>
      </c>
      <c r="S24" s="51"/>
      <c r="T24" s="51"/>
      <c r="U24" s="51"/>
      <c r="V24" s="51"/>
      <c r="W24" s="51"/>
      <c r="X24" s="51"/>
      <c r="Y24" s="51"/>
      <c r="Z24" s="38"/>
      <c r="AA24" s="38"/>
      <c r="AB24" s="38"/>
      <c r="AC24" s="38"/>
      <c r="AD24" s="38"/>
      <c r="AK24" s="49"/>
    </row>
    <row r="25" spans="1:39" x14ac:dyDescent="0.2">
      <c r="A25" s="11">
        <v>21</v>
      </c>
      <c r="B25" s="51" t="s">
        <v>99</v>
      </c>
      <c r="C25" s="94">
        <f>C36</f>
        <v>1254</v>
      </c>
      <c r="D25" s="94">
        <f t="shared" ref="D25:I25" si="30">D36</f>
        <v>1254</v>
      </c>
      <c r="E25" s="94">
        <f t="shared" si="30"/>
        <v>1254</v>
      </c>
      <c r="F25" s="94">
        <f t="shared" si="30"/>
        <v>1228.92</v>
      </c>
      <c r="G25" s="94">
        <f t="shared" si="30"/>
        <v>1191.3</v>
      </c>
      <c r="H25" s="94">
        <f t="shared" si="30"/>
        <v>1141.1400000000001</v>
      </c>
      <c r="I25" s="94">
        <f t="shared" si="30"/>
        <v>1103.52</v>
      </c>
      <c r="J25" s="51"/>
      <c r="K25" s="51"/>
      <c r="L25" s="51"/>
      <c r="M25" s="51"/>
      <c r="N25" s="51"/>
      <c r="O25" s="51"/>
      <c r="P25" s="51"/>
      <c r="Q25" s="51"/>
      <c r="R25" s="51"/>
      <c r="S25" s="51"/>
      <c r="T25" s="51"/>
      <c r="U25" s="51"/>
      <c r="V25" s="51"/>
      <c r="W25" s="51"/>
      <c r="X25" s="51"/>
      <c r="Y25" s="51"/>
      <c r="Z25" s="38"/>
      <c r="AA25" s="38"/>
      <c r="AB25" s="38"/>
      <c r="AC25" s="38"/>
      <c r="AD25" s="38"/>
      <c r="AK25" s="49"/>
    </row>
    <row r="26" spans="1:39" x14ac:dyDescent="0.2">
      <c r="A26" s="11">
        <v>22</v>
      </c>
      <c r="B26" s="51" t="s">
        <v>100</v>
      </c>
      <c r="C26" s="95">
        <f t="shared" ref="C26:I27" si="31">$C$87 * VLOOKUP(C$23,FwyFleLookup,2,FALSE)</f>
        <v>2100</v>
      </c>
      <c r="D26" s="95">
        <f t="shared" si="31"/>
        <v>2100</v>
      </c>
      <c r="E26" s="95">
        <f t="shared" si="31"/>
        <v>2100</v>
      </c>
      <c r="F26" s="95">
        <f t="shared" si="31"/>
        <v>2058</v>
      </c>
      <c r="G26" s="95">
        <f t="shared" si="31"/>
        <v>1995</v>
      </c>
      <c r="H26" s="95">
        <f t="shared" si="31"/>
        <v>1911</v>
      </c>
      <c r="I26" s="95">
        <f t="shared" si="31"/>
        <v>1848</v>
      </c>
      <c r="J26" s="51"/>
      <c r="K26" s="51"/>
      <c r="L26" s="51"/>
      <c r="M26" s="51"/>
      <c r="N26" s="51"/>
      <c r="O26" s="51"/>
      <c r="P26" s="51"/>
      <c r="Q26" s="51"/>
      <c r="R26" s="51"/>
      <c r="S26" s="51"/>
      <c r="T26" s="51"/>
      <c r="U26" s="51"/>
      <c r="V26" s="51"/>
      <c r="W26" s="51"/>
      <c r="X26" s="51"/>
      <c r="Y26" s="51"/>
      <c r="Z26" s="38"/>
      <c r="AA26" s="38"/>
      <c r="AB26" s="38"/>
      <c r="AC26" s="38"/>
      <c r="AD26" s="38"/>
      <c r="AK26" s="49"/>
    </row>
    <row r="27" spans="1:39" x14ac:dyDescent="0.2">
      <c r="A27" s="11">
        <v>23</v>
      </c>
      <c r="B27" s="51" t="s">
        <v>101</v>
      </c>
      <c r="C27" s="95">
        <f t="shared" si="31"/>
        <v>2100</v>
      </c>
      <c r="D27" s="95">
        <f t="shared" si="31"/>
        <v>2100</v>
      </c>
      <c r="E27" s="95">
        <f t="shared" si="31"/>
        <v>2100</v>
      </c>
      <c r="F27" s="95">
        <f t="shared" si="31"/>
        <v>2058</v>
      </c>
      <c r="G27" s="95">
        <f t="shared" si="31"/>
        <v>1995</v>
      </c>
      <c r="H27" s="95">
        <f t="shared" si="31"/>
        <v>1911</v>
      </c>
      <c r="I27" s="95">
        <f t="shared" si="31"/>
        <v>1848</v>
      </c>
      <c r="J27" s="51"/>
      <c r="K27" s="51"/>
      <c r="L27" s="51"/>
      <c r="M27" s="51"/>
      <c r="N27" s="51"/>
      <c r="O27" s="51"/>
      <c r="P27" s="51"/>
      <c r="Q27" s="51"/>
      <c r="R27" s="51"/>
      <c r="S27" s="51"/>
      <c r="T27" s="51"/>
      <c r="U27" s="51"/>
      <c r="V27" s="51"/>
      <c r="W27" s="51"/>
      <c r="X27" s="51"/>
      <c r="Y27" s="51"/>
      <c r="Z27" s="38"/>
      <c r="AA27" s="38"/>
      <c r="AB27" s="38"/>
      <c r="AC27" s="38"/>
      <c r="AD27" s="38"/>
      <c r="AK27" s="49"/>
    </row>
    <row r="28" spans="1:39" x14ac:dyDescent="0.2">
      <c r="A28" s="11">
        <v>24</v>
      </c>
      <c r="B28" s="51" t="s">
        <v>102</v>
      </c>
      <c r="C28" s="38">
        <f>D28</f>
        <v>2450</v>
      </c>
      <c r="D28" s="95">
        <f t="shared" ref="D28:I28" si="32">$C$87 * VLOOKUP(D$23,FwyFleLookup,2,FALSE) + $D92/LEFT(D$23,2)</f>
        <v>2450</v>
      </c>
      <c r="E28" s="95">
        <f t="shared" si="32"/>
        <v>2333.3333333333335</v>
      </c>
      <c r="F28" s="95">
        <f t="shared" si="32"/>
        <v>2233</v>
      </c>
      <c r="G28" s="95">
        <f t="shared" si="32"/>
        <v>2135</v>
      </c>
      <c r="H28" s="95">
        <f t="shared" si="32"/>
        <v>2027.6666666666667</v>
      </c>
      <c r="I28" s="95">
        <f t="shared" si="32"/>
        <v>1948</v>
      </c>
      <c r="J28" s="51"/>
      <c r="K28" s="51"/>
      <c r="L28" s="51"/>
      <c r="M28" s="51"/>
      <c r="N28" s="51"/>
      <c r="O28" s="51"/>
      <c r="P28" s="51"/>
      <c r="Q28" s="51"/>
      <c r="R28" s="51"/>
      <c r="S28" s="51"/>
      <c r="T28" s="51"/>
      <c r="U28" s="51"/>
      <c r="V28" s="51"/>
      <c r="W28" s="51"/>
      <c r="X28" s="51"/>
      <c r="Y28" s="51"/>
      <c r="Z28" s="38"/>
      <c r="AA28" s="38"/>
      <c r="AB28" s="38"/>
      <c r="AC28" s="38"/>
      <c r="AD28" s="38"/>
      <c r="AK28" s="49"/>
    </row>
    <row r="29" spans="1:39" x14ac:dyDescent="0.2">
      <c r="A29" s="11">
        <v>25</v>
      </c>
      <c r="B29" s="51" t="s">
        <v>103</v>
      </c>
      <c r="C29" s="95">
        <f t="shared" ref="C29:I29" si="33">$C$87 * VLOOKUP(C$23,FwyFleLookup,2,FALSE)</f>
        <v>2100</v>
      </c>
      <c r="D29" s="95">
        <f t="shared" si="33"/>
        <v>2100</v>
      </c>
      <c r="E29" s="95">
        <f t="shared" si="33"/>
        <v>2100</v>
      </c>
      <c r="F29" s="95">
        <f t="shared" si="33"/>
        <v>2058</v>
      </c>
      <c r="G29" s="95">
        <f t="shared" si="33"/>
        <v>1995</v>
      </c>
      <c r="H29" s="95">
        <f t="shared" si="33"/>
        <v>1911</v>
      </c>
      <c r="I29" s="95">
        <f t="shared" si="33"/>
        <v>1848</v>
      </c>
      <c r="J29" s="51"/>
      <c r="K29" s="51"/>
      <c r="L29" s="51"/>
      <c r="M29" s="51"/>
      <c r="N29" s="51"/>
      <c r="O29" s="51"/>
      <c r="P29" s="51"/>
      <c r="Q29" s="51"/>
      <c r="R29" s="51"/>
      <c r="S29" s="51"/>
      <c r="T29" s="51"/>
      <c r="U29" s="51"/>
      <c r="V29" s="51"/>
      <c r="W29" s="51"/>
      <c r="X29" s="51"/>
      <c r="Y29" s="51"/>
      <c r="Z29" s="38"/>
      <c r="AA29" s="38"/>
      <c r="AB29" s="38"/>
      <c r="AC29" s="38"/>
      <c r="AD29" s="38"/>
      <c r="AK29" s="49"/>
    </row>
    <row r="30" spans="1:39" x14ac:dyDescent="0.2">
      <c r="A30" s="11">
        <v>26</v>
      </c>
      <c r="B30" s="51" t="s">
        <v>104</v>
      </c>
      <c r="C30" s="38">
        <f>D30</f>
        <v>2450</v>
      </c>
      <c r="D30" s="95">
        <f t="shared" ref="D30:I30" si="34">$C$87 * VLOOKUP(D$23,FwyFleLookup,2,FALSE) + $D94/LEFT(D$23,2)</f>
        <v>2450</v>
      </c>
      <c r="E30" s="95">
        <f t="shared" si="34"/>
        <v>2333.3333333333335</v>
      </c>
      <c r="F30" s="95">
        <f t="shared" si="34"/>
        <v>2233</v>
      </c>
      <c r="G30" s="95">
        <f t="shared" si="34"/>
        <v>2135</v>
      </c>
      <c r="H30" s="95">
        <f t="shared" si="34"/>
        <v>2027.6666666666667</v>
      </c>
      <c r="I30" s="95">
        <f t="shared" si="34"/>
        <v>1948</v>
      </c>
      <c r="J30" s="51"/>
      <c r="K30" s="51"/>
      <c r="L30" s="51"/>
      <c r="M30" s="51"/>
      <c r="N30" s="51"/>
      <c r="O30" s="51"/>
      <c r="P30" s="51"/>
      <c r="Q30" s="51"/>
      <c r="R30" s="51"/>
      <c r="S30" s="51"/>
      <c r="T30" s="51"/>
      <c r="U30" s="51"/>
      <c r="V30" s="51"/>
      <c r="W30" s="51"/>
      <c r="X30" s="51"/>
      <c r="Y30" s="51"/>
      <c r="Z30" s="38"/>
      <c r="AA30" s="38"/>
      <c r="AB30" s="38"/>
      <c r="AC30" s="38"/>
      <c r="AD30" s="38"/>
      <c r="AK30" s="49"/>
    </row>
    <row r="31" spans="1:39" x14ac:dyDescent="0.2">
      <c r="A31" s="11">
        <v>27</v>
      </c>
      <c r="B31" s="51" t="s">
        <v>97</v>
      </c>
      <c r="C31" s="95">
        <f t="shared" ref="C31:I31" si="35">$C$87 * VLOOKUP(C$23,FwyFleLookup,2,FALSE)</f>
        <v>2100</v>
      </c>
      <c r="D31" s="95">
        <f t="shared" si="35"/>
        <v>2100</v>
      </c>
      <c r="E31" s="95">
        <f t="shared" si="35"/>
        <v>2100</v>
      </c>
      <c r="F31" s="95">
        <f t="shared" si="35"/>
        <v>2058</v>
      </c>
      <c r="G31" s="95">
        <f t="shared" si="35"/>
        <v>1995</v>
      </c>
      <c r="H31" s="95">
        <f t="shared" si="35"/>
        <v>1911</v>
      </c>
      <c r="I31" s="95">
        <f t="shared" si="35"/>
        <v>1848</v>
      </c>
      <c r="J31" s="51"/>
      <c r="K31" s="51"/>
      <c r="L31" s="51"/>
      <c r="M31" s="51"/>
      <c r="N31" s="51"/>
      <c r="O31" s="51"/>
      <c r="P31" s="51"/>
      <c r="Q31" s="51"/>
      <c r="R31" s="51"/>
      <c r="S31" s="51"/>
      <c r="T31" s="51"/>
      <c r="U31" s="51"/>
      <c r="V31" s="51"/>
      <c r="W31" s="51"/>
      <c r="X31" s="51"/>
      <c r="Y31" s="51"/>
      <c r="Z31" s="38"/>
      <c r="AA31" s="38"/>
      <c r="AB31" s="38"/>
      <c r="AC31" s="38"/>
      <c r="AD31" s="38"/>
      <c r="AK31" s="49"/>
    </row>
    <row r="32" spans="1:39" x14ac:dyDescent="0.2">
      <c r="A32" s="11">
        <v>28</v>
      </c>
      <c r="B32" s="51" t="s">
        <v>105</v>
      </c>
      <c r="C32" s="94">
        <f>C46</f>
        <v>1200</v>
      </c>
      <c r="D32" s="94">
        <f t="shared" ref="D32:I32" si="36">D46</f>
        <v>900</v>
      </c>
      <c r="E32" s="94">
        <f t="shared" si="36"/>
        <v>600</v>
      </c>
      <c r="F32" s="94">
        <f t="shared" si="36"/>
        <v>600</v>
      </c>
      <c r="G32" s="94">
        <f t="shared" si="36"/>
        <v>600</v>
      </c>
      <c r="H32" s="94">
        <f t="shared" si="36"/>
        <v>600</v>
      </c>
      <c r="I32" s="94">
        <f t="shared" si="36"/>
        <v>600</v>
      </c>
      <c r="J32" s="51"/>
      <c r="K32" s="51"/>
      <c r="L32" s="51"/>
      <c r="M32" s="51"/>
      <c r="N32" s="51"/>
      <c r="O32" s="51"/>
      <c r="P32" s="51"/>
      <c r="Q32" s="51"/>
      <c r="R32" s="51"/>
      <c r="S32" s="51"/>
      <c r="T32" s="51"/>
      <c r="U32" s="51"/>
      <c r="V32" s="51"/>
      <c r="W32" s="51"/>
      <c r="X32" s="51"/>
      <c r="Y32" s="51"/>
      <c r="Z32" s="38"/>
      <c r="AA32" s="38"/>
      <c r="AB32" s="38"/>
      <c r="AC32" s="38"/>
      <c r="AD32" s="38"/>
      <c r="AK32" s="49"/>
    </row>
    <row r="33" spans="1:39" x14ac:dyDescent="0.2">
      <c r="A33" s="11">
        <v>29</v>
      </c>
      <c r="B33" s="51" t="s">
        <v>106</v>
      </c>
      <c r="C33" s="94">
        <f>C47</f>
        <v>933.97920000000011</v>
      </c>
      <c r="D33" s="94">
        <f t="shared" ref="D33:I33" si="37">D47</f>
        <v>896.33411999999998</v>
      </c>
      <c r="E33" s="94">
        <f t="shared" si="37"/>
        <v>858.59373600000004</v>
      </c>
      <c r="F33" s="94">
        <f t="shared" si="37"/>
        <v>838.6751999999999</v>
      </c>
      <c r="G33" s="94">
        <f t="shared" si="37"/>
        <v>819.21875457875444</v>
      </c>
      <c r="H33" s="94">
        <f t="shared" si="37"/>
        <v>800.213679686207</v>
      </c>
      <c r="I33" s="94">
        <f t="shared" si="37"/>
        <v>781.64950396699089</v>
      </c>
      <c r="J33" s="51"/>
      <c r="K33" s="51"/>
      <c r="L33" s="51"/>
      <c r="M33" s="51"/>
      <c r="N33" s="51"/>
      <c r="O33" s="51"/>
      <c r="P33" s="51"/>
      <c r="Q33" s="51"/>
      <c r="R33" s="51"/>
      <c r="S33" s="51"/>
      <c r="T33" s="51"/>
      <c r="U33" s="51"/>
      <c r="V33" s="51"/>
      <c r="W33" s="51"/>
      <c r="X33" s="51"/>
      <c r="Y33" s="51"/>
      <c r="Z33" s="38"/>
      <c r="AA33" s="38"/>
      <c r="AB33" s="38"/>
      <c r="AC33" s="38"/>
      <c r="AD33" s="38"/>
      <c r="AK33" s="49"/>
    </row>
    <row r="34" spans="1:39" x14ac:dyDescent="0.2">
      <c r="A34" s="55"/>
      <c r="B34" s="51"/>
      <c r="C34" s="60"/>
      <c r="D34" s="37"/>
      <c r="E34" s="60"/>
      <c r="F34" s="37"/>
      <c r="G34" s="60"/>
      <c r="H34" s="37"/>
      <c r="I34" s="60"/>
      <c r="J34" s="51"/>
      <c r="K34" s="51"/>
      <c r="L34" s="51"/>
      <c r="M34" s="51"/>
      <c r="N34" s="51"/>
      <c r="O34" s="51"/>
      <c r="P34" s="51"/>
      <c r="Q34" s="51"/>
      <c r="R34" s="51"/>
      <c r="S34" s="51"/>
      <c r="T34" s="51"/>
      <c r="U34" s="51"/>
      <c r="V34" s="51"/>
      <c r="W34" s="51"/>
      <c r="X34" s="51"/>
      <c r="Y34" s="51"/>
      <c r="Z34" s="38"/>
      <c r="AA34" s="38"/>
      <c r="AB34" s="38"/>
      <c r="AC34" s="38"/>
      <c r="AD34" s="38"/>
      <c r="AK34" s="49"/>
    </row>
    <row r="35" spans="1:39" x14ac:dyDescent="0.2">
      <c r="A35" s="55">
        <v>30</v>
      </c>
      <c r="B35" s="51" t="s">
        <v>85</v>
      </c>
      <c r="C35" s="69">
        <f>MROUND((VLOOKUP($B35,FwyCapFactors,2,FALSE)*LEFT(C$23,1)*$C$100*VLOOKUP(C$23,FwyFleLookup,2,FALSE)*$C$101+VLOOKUP($B35,FwyCapFactors,3,FALSE))/LEFT(C$23,1),50)</f>
        <v>1150</v>
      </c>
      <c r="D35" s="45">
        <f>C35*0.8</f>
        <v>920</v>
      </c>
      <c r="E35" s="45">
        <f>D35*0.8</f>
        <v>736</v>
      </c>
      <c r="F35" s="38">
        <f>E35</f>
        <v>736</v>
      </c>
      <c r="G35" s="38">
        <f>F35</f>
        <v>736</v>
      </c>
      <c r="H35" s="38">
        <f t="shared" ref="H35:I35" si="38">G35</f>
        <v>736</v>
      </c>
      <c r="I35" s="38">
        <f t="shared" si="38"/>
        <v>736</v>
      </c>
      <c r="J35" s="51"/>
      <c r="K35" s="51"/>
      <c r="L35" s="51"/>
      <c r="M35" s="51"/>
      <c r="N35" s="51"/>
      <c r="O35" s="51"/>
      <c r="P35" s="51"/>
      <c r="Q35" s="51"/>
      <c r="R35" s="51"/>
      <c r="S35" s="51"/>
      <c r="T35" s="51"/>
      <c r="U35" s="51"/>
      <c r="V35" s="51"/>
      <c r="W35" s="51"/>
      <c r="X35" s="51"/>
      <c r="Y35" s="51"/>
      <c r="Z35" s="38"/>
      <c r="AA35" s="38"/>
      <c r="AB35" s="38"/>
      <c r="AC35" s="38"/>
      <c r="AD35" s="38"/>
      <c r="AK35" s="47" t="s">
        <v>2</v>
      </c>
      <c r="AL35" s="47" t="s">
        <v>22</v>
      </c>
      <c r="AM35" s="47" t="s">
        <v>19</v>
      </c>
    </row>
    <row r="36" spans="1:39" x14ac:dyDescent="0.2">
      <c r="A36" s="55">
        <v>31</v>
      </c>
      <c r="B36" s="51" t="s">
        <v>79</v>
      </c>
      <c r="C36" s="69">
        <f t="shared" ref="C36:I38" si="39">(VLOOKUP($B36,FwyCapFactors,2,FALSE)*LEFT(C$23,1)*$C$100*VLOOKUP(C$23,FwyFleLookup,2,FALSE)*$C$101+VLOOKUP($B36,FwyCapFactors,3,FALSE))/LEFT(C$23,1)</f>
        <v>1254</v>
      </c>
      <c r="D36" s="69">
        <f t="shared" si="39"/>
        <v>1254</v>
      </c>
      <c r="E36" s="69">
        <f t="shared" si="39"/>
        <v>1254</v>
      </c>
      <c r="F36" s="69">
        <f t="shared" si="39"/>
        <v>1228.92</v>
      </c>
      <c r="G36" s="69">
        <f t="shared" si="39"/>
        <v>1191.3</v>
      </c>
      <c r="H36" s="69">
        <f t="shared" si="39"/>
        <v>1141.1400000000001</v>
      </c>
      <c r="I36" s="69">
        <f t="shared" si="39"/>
        <v>1103.52</v>
      </c>
      <c r="J36" s="51"/>
      <c r="K36" s="51"/>
      <c r="L36" s="51"/>
      <c r="M36" s="51"/>
      <c r="N36" s="51"/>
      <c r="O36" s="51"/>
      <c r="P36" s="51"/>
      <c r="Q36" s="51"/>
      <c r="R36" s="51"/>
      <c r="S36" s="51"/>
      <c r="T36" s="51"/>
      <c r="U36" s="51"/>
      <c r="V36" s="51"/>
      <c r="W36" s="51"/>
      <c r="X36" s="51"/>
      <c r="Y36" s="51"/>
      <c r="Z36" s="38"/>
      <c r="AA36" s="38"/>
      <c r="AB36" s="38"/>
      <c r="AC36" s="38"/>
      <c r="AD36" s="38"/>
      <c r="AK36" s="47">
        <v>2</v>
      </c>
      <c r="AL36" s="70">
        <f>C92</f>
        <v>1551</v>
      </c>
      <c r="AM36" s="70">
        <f>D39</f>
        <v>1823.4499999999998</v>
      </c>
    </row>
    <row r="37" spans="1:39" x14ac:dyDescent="0.2">
      <c r="A37" s="55">
        <v>32</v>
      </c>
      <c r="B37" s="51" t="s">
        <v>82</v>
      </c>
      <c r="C37" s="69">
        <f t="shared" si="39"/>
        <v>1442.1</v>
      </c>
      <c r="D37" s="69">
        <f t="shared" si="39"/>
        <v>1442.1</v>
      </c>
      <c r="E37" s="69">
        <f t="shared" si="39"/>
        <v>1442.1000000000001</v>
      </c>
      <c r="F37" s="69">
        <f t="shared" si="39"/>
        <v>1413.2579999999998</v>
      </c>
      <c r="G37" s="69">
        <f t="shared" si="39"/>
        <v>1369.9949999999999</v>
      </c>
      <c r="H37" s="69">
        <f t="shared" si="39"/>
        <v>1312.3110000000001</v>
      </c>
      <c r="I37" s="69">
        <f t="shared" si="39"/>
        <v>1269.048</v>
      </c>
      <c r="J37" s="51"/>
      <c r="K37" s="51"/>
      <c r="L37" s="51"/>
      <c r="M37" s="51"/>
      <c r="N37" s="51"/>
      <c r="O37" s="51"/>
      <c r="P37" s="51"/>
      <c r="Q37" s="51"/>
      <c r="R37" s="51"/>
      <c r="S37" s="51"/>
      <c r="T37" s="51"/>
      <c r="U37" s="51"/>
      <c r="V37" s="51"/>
      <c r="W37" s="51"/>
      <c r="X37" s="51"/>
      <c r="Y37" s="51"/>
      <c r="Z37" s="38"/>
      <c r="AA37" s="38"/>
      <c r="AB37" s="38"/>
      <c r="AC37" s="38"/>
      <c r="AD37" s="38"/>
      <c r="AK37" s="47">
        <v>3</v>
      </c>
      <c r="AL37" s="71">
        <f>AL36</f>
        <v>1551</v>
      </c>
      <c r="AM37" s="70">
        <f>E39</f>
        <v>1706.7833333333331</v>
      </c>
    </row>
    <row r="38" spans="1:39" x14ac:dyDescent="0.2">
      <c r="A38" s="55">
        <v>33</v>
      </c>
      <c r="B38" s="51" t="s">
        <v>84</v>
      </c>
      <c r="C38" s="69">
        <f>(VLOOKUP($B38,FwyCapFactors,2,FALSE)*LEFT(C$23,1)*$C$100*VLOOKUP(C$23,FwyFleLookup,2,FALSE)*$C$101+VLOOKUP($B38,FwyCapFactors,3,FALSE))/LEFT(C$23,1)</f>
        <v>1473.4499999999998</v>
      </c>
      <c r="D38" s="69">
        <f t="shared" si="39"/>
        <v>1473.4499999999998</v>
      </c>
      <c r="E38" s="69">
        <f t="shared" si="39"/>
        <v>1473.4499999999998</v>
      </c>
      <c r="F38" s="69">
        <f t="shared" si="39"/>
        <v>1443.9809999999998</v>
      </c>
      <c r="G38" s="69">
        <f t="shared" si="39"/>
        <v>1399.7774999999999</v>
      </c>
      <c r="H38" s="69">
        <f t="shared" si="39"/>
        <v>1340.8394999999998</v>
      </c>
      <c r="I38" s="69">
        <f t="shared" si="39"/>
        <v>1296.636</v>
      </c>
      <c r="J38" s="51"/>
      <c r="K38" s="51"/>
      <c r="L38" s="51"/>
      <c r="M38" s="51"/>
      <c r="N38" s="51"/>
      <c r="O38" s="51"/>
      <c r="P38" s="51"/>
      <c r="Q38" s="51"/>
      <c r="R38" s="51"/>
      <c r="S38" s="51"/>
      <c r="T38" s="51"/>
      <c r="U38" s="51"/>
      <c r="V38" s="51"/>
      <c r="W38" s="51"/>
      <c r="X38" s="51"/>
      <c r="Y38" s="51"/>
      <c r="Z38" s="38"/>
      <c r="AA38" s="38"/>
      <c r="AB38" s="38"/>
      <c r="AC38" s="38"/>
      <c r="AD38" s="38"/>
      <c r="AK38" s="47">
        <v>4</v>
      </c>
      <c r="AL38" s="71">
        <f t="shared" ref="AL38:AL41" si="40">AL37</f>
        <v>1551</v>
      </c>
      <c r="AM38" s="70">
        <f>F39</f>
        <v>1618.9809999999998</v>
      </c>
    </row>
    <row r="39" spans="1:39" x14ac:dyDescent="0.2">
      <c r="A39" s="55">
        <v>34</v>
      </c>
      <c r="B39" s="51" t="s">
        <v>83</v>
      </c>
      <c r="C39" s="38">
        <f>D39</f>
        <v>1823.4499999999998</v>
      </c>
      <c r="D39" s="69">
        <f t="shared" ref="D39:I41" si="41">(VLOOKUP($B39,FwyCapFactors,2,FALSE)*LEFT(D$23,1)*$C$100*VLOOKUP(D$23,FwyFleLookup,2,FALSE)*$C$101+VLOOKUP($B39,FwyCapFactors,3,FALSE))/LEFT(D$23,1)</f>
        <v>1823.4499999999998</v>
      </c>
      <c r="E39" s="69">
        <f t="shared" si="41"/>
        <v>1706.7833333333331</v>
      </c>
      <c r="F39" s="69">
        <f t="shared" si="41"/>
        <v>1618.9809999999998</v>
      </c>
      <c r="G39" s="69">
        <f t="shared" si="41"/>
        <v>1539.7774999999999</v>
      </c>
      <c r="H39" s="69">
        <f t="shared" si="41"/>
        <v>1457.5061666666668</v>
      </c>
      <c r="I39" s="69">
        <f t="shared" si="41"/>
        <v>1396.636</v>
      </c>
      <c r="J39" s="51"/>
      <c r="K39" s="51"/>
      <c r="L39" s="51"/>
      <c r="M39" s="51"/>
      <c r="N39" s="51"/>
      <c r="O39" s="51"/>
      <c r="P39" s="51"/>
      <c r="Q39" s="51"/>
      <c r="R39" s="51"/>
      <c r="S39" s="51"/>
      <c r="T39" s="51"/>
      <c r="U39" s="51"/>
      <c r="V39" s="51"/>
      <c r="W39" s="51"/>
      <c r="Z39" s="38"/>
      <c r="AA39" s="38"/>
      <c r="AB39" s="38"/>
      <c r="AK39" s="47">
        <v>5</v>
      </c>
      <c r="AL39" s="71">
        <f t="shared" si="40"/>
        <v>1551</v>
      </c>
      <c r="AM39" s="70">
        <f>G39</f>
        <v>1539.7774999999999</v>
      </c>
    </row>
    <row r="40" spans="1:39" x14ac:dyDescent="0.2">
      <c r="A40" s="55">
        <v>35</v>
      </c>
      <c r="B40" s="51" t="s">
        <v>89</v>
      </c>
      <c r="C40" s="69">
        <f>(VLOOKUP($B40,FwyCapFactors,2,FALSE)*LEFT(C$23,1)*$C$100*VLOOKUP(C$23,FwyFleLookup,2,FALSE)*$C$101+VLOOKUP($B40,FwyCapFactors,3,FALSE))/LEFT(C$23,1)</f>
        <v>1504.8</v>
      </c>
      <c r="D40" s="69">
        <f t="shared" si="41"/>
        <v>1504.8</v>
      </c>
      <c r="E40" s="69">
        <f t="shared" si="41"/>
        <v>1504.8</v>
      </c>
      <c r="F40" s="69">
        <f t="shared" si="41"/>
        <v>1474.704</v>
      </c>
      <c r="G40" s="69">
        <f t="shared" si="41"/>
        <v>1429.56</v>
      </c>
      <c r="H40" s="69">
        <f t="shared" si="41"/>
        <v>1369.3679999999997</v>
      </c>
      <c r="I40" s="69">
        <f t="shared" si="41"/>
        <v>1324.2240000000002</v>
      </c>
      <c r="J40" s="51"/>
      <c r="K40" s="51"/>
      <c r="L40" s="51"/>
      <c r="M40" s="51"/>
      <c r="N40" s="51"/>
      <c r="O40" s="51"/>
      <c r="P40" s="51"/>
      <c r="Q40" s="51"/>
      <c r="R40" s="51"/>
      <c r="S40" s="51"/>
      <c r="T40" s="51"/>
      <c r="U40" s="51"/>
      <c r="V40" s="51"/>
      <c r="W40" s="51"/>
      <c r="Z40" s="38"/>
      <c r="AA40" s="38"/>
      <c r="AB40" s="38"/>
      <c r="AK40" s="47">
        <v>6</v>
      </c>
      <c r="AL40" s="71">
        <f>AL39</f>
        <v>1551</v>
      </c>
      <c r="AM40" s="70">
        <f>H39</f>
        <v>1457.5061666666668</v>
      </c>
    </row>
    <row r="41" spans="1:39" x14ac:dyDescent="0.2">
      <c r="A41" s="55">
        <v>36</v>
      </c>
      <c r="B41" s="51" t="s">
        <v>88</v>
      </c>
      <c r="C41" s="38">
        <f>D41</f>
        <v>1854.8</v>
      </c>
      <c r="D41" s="69">
        <f t="shared" si="41"/>
        <v>1854.8</v>
      </c>
      <c r="E41" s="69">
        <f t="shared" si="41"/>
        <v>1738.1333333333332</v>
      </c>
      <c r="F41" s="69">
        <f t="shared" si="41"/>
        <v>1649.704</v>
      </c>
      <c r="G41" s="69">
        <f t="shared" si="41"/>
        <v>1569.56</v>
      </c>
      <c r="H41" s="69">
        <f t="shared" si="41"/>
        <v>1486.0346666666665</v>
      </c>
      <c r="I41" s="69">
        <f t="shared" si="41"/>
        <v>1424.2240000000002</v>
      </c>
      <c r="J41" s="51"/>
      <c r="K41" s="51"/>
      <c r="L41" s="51"/>
      <c r="M41" s="51"/>
      <c r="N41" s="51"/>
      <c r="O41" s="51"/>
      <c r="P41" s="51"/>
      <c r="Q41" s="51"/>
      <c r="R41" s="51"/>
      <c r="S41" s="51"/>
      <c r="T41" s="51"/>
      <c r="U41" s="51"/>
      <c r="V41" s="51"/>
      <c r="W41" s="51"/>
      <c r="Z41" s="38"/>
      <c r="AA41" s="38"/>
      <c r="AB41" s="38"/>
      <c r="AK41" s="47">
        <v>7</v>
      </c>
      <c r="AL41" s="71">
        <f t="shared" si="40"/>
        <v>1551</v>
      </c>
      <c r="AM41" s="70">
        <f>I39</f>
        <v>1396.636</v>
      </c>
    </row>
    <row r="42" spans="1:39" x14ac:dyDescent="0.2">
      <c r="A42" s="55">
        <v>37</v>
      </c>
      <c r="B42" s="51" t="s">
        <v>77</v>
      </c>
      <c r="C42" s="69">
        <f t="shared" ref="C42:I42" si="42">(VLOOKUP($B42,FwyCapFactors,2,FALSE)*LEFT(C$23,1)*$C$100*VLOOKUP(C$23,FwyFleLookup,2,FALSE)+VLOOKUP($B42,FwyCapFactors,3,FALSE))/LEFT(C$23,1)</f>
        <v>1504.8</v>
      </c>
      <c r="D42" s="69">
        <f t="shared" si="42"/>
        <v>1504.8</v>
      </c>
      <c r="E42" s="69">
        <f t="shared" si="42"/>
        <v>1504.8</v>
      </c>
      <c r="F42" s="69">
        <f t="shared" si="42"/>
        <v>1474.704</v>
      </c>
      <c r="G42" s="69">
        <f t="shared" si="42"/>
        <v>1429.56</v>
      </c>
      <c r="H42" s="69">
        <f t="shared" si="42"/>
        <v>1369.3679999999997</v>
      </c>
      <c r="I42" s="69">
        <f t="shared" si="42"/>
        <v>1324.2240000000002</v>
      </c>
      <c r="J42" s="51"/>
      <c r="K42" s="51"/>
      <c r="L42" s="51"/>
      <c r="M42" s="51"/>
      <c r="N42" s="51"/>
      <c r="O42" s="51"/>
      <c r="P42" s="51"/>
      <c r="Q42" s="51"/>
      <c r="R42" s="51"/>
      <c r="S42" s="51"/>
      <c r="T42" s="51"/>
      <c r="U42" s="51"/>
      <c r="V42" s="51"/>
    </row>
    <row r="43" spans="1:39" x14ac:dyDescent="0.2">
      <c r="A43" s="55">
        <v>38</v>
      </c>
      <c r="B43" s="51" t="s">
        <v>78</v>
      </c>
      <c r="C43" s="69">
        <f>C42</f>
        <v>1504.8</v>
      </c>
      <c r="D43" s="69">
        <f t="shared" ref="D43:I44" si="43">D42</f>
        <v>1504.8</v>
      </c>
      <c r="E43" s="69">
        <f t="shared" si="43"/>
        <v>1504.8</v>
      </c>
      <c r="F43" s="69">
        <f t="shared" si="43"/>
        <v>1474.704</v>
      </c>
      <c r="G43" s="69">
        <f t="shared" si="43"/>
        <v>1429.56</v>
      </c>
      <c r="H43" s="69">
        <f t="shared" si="43"/>
        <v>1369.3679999999997</v>
      </c>
      <c r="I43" s="69">
        <f t="shared" si="43"/>
        <v>1324.2240000000002</v>
      </c>
      <c r="J43" s="51"/>
      <c r="K43" s="51"/>
      <c r="L43" s="51"/>
      <c r="M43" s="51"/>
      <c r="N43" s="51"/>
      <c r="O43" s="51"/>
      <c r="P43" s="51"/>
      <c r="Q43" s="51"/>
      <c r="R43" s="51"/>
      <c r="S43" s="51"/>
      <c r="T43" s="51"/>
      <c r="U43" s="51"/>
      <c r="V43" s="51"/>
      <c r="AK43" s="49" t="s">
        <v>92</v>
      </c>
    </row>
    <row r="44" spans="1:39" x14ac:dyDescent="0.2">
      <c r="A44" s="55">
        <v>39</v>
      </c>
      <c r="B44" s="51" t="s">
        <v>76</v>
      </c>
      <c r="C44" s="69">
        <f>C43</f>
        <v>1504.8</v>
      </c>
      <c r="D44" s="69">
        <f t="shared" si="43"/>
        <v>1504.8</v>
      </c>
      <c r="E44" s="69">
        <f t="shared" si="43"/>
        <v>1504.8</v>
      </c>
      <c r="F44" s="69">
        <f t="shared" si="43"/>
        <v>1474.704</v>
      </c>
      <c r="G44" s="69">
        <f t="shared" si="43"/>
        <v>1429.56</v>
      </c>
      <c r="H44" s="69">
        <f t="shared" si="43"/>
        <v>1369.3679999999997</v>
      </c>
      <c r="I44" s="69">
        <f t="shared" si="43"/>
        <v>1324.2240000000002</v>
      </c>
      <c r="J44" s="51"/>
      <c r="K44" s="51"/>
      <c r="L44" s="51"/>
      <c r="M44" s="51"/>
      <c r="N44" s="51"/>
      <c r="O44" s="51"/>
      <c r="P44" s="51"/>
      <c r="Q44" s="51"/>
      <c r="R44" s="51"/>
      <c r="S44" s="51"/>
      <c r="T44" s="51"/>
      <c r="U44" s="51"/>
      <c r="V44" s="51"/>
      <c r="W44" s="72"/>
      <c r="AK44" s="47" t="s">
        <v>2</v>
      </c>
      <c r="AL44" s="73" t="s">
        <v>23</v>
      </c>
      <c r="AM44" s="73" t="s">
        <v>24</v>
      </c>
    </row>
    <row r="45" spans="1:39" x14ac:dyDescent="0.2">
      <c r="A45" s="55">
        <v>40</v>
      </c>
      <c r="B45" s="51" t="s">
        <v>41</v>
      </c>
      <c r="C45" s="45">
        <v>1800</v>
      </c>
      <c r="D45" s="38">
        <f>D44/C44*C45</f>
        <v>1800</v>
      </c>
      <c r="E45" s="38">
        <f t="shared" ref="E45:I45" si="44">E44/D44*D45</f>
        <v>1800</v>
      </c>
      <c r="F45" s="38">
        <f t="shared" si="44"/>
        <v>1764</v>
      </c>
      <c r="G45" s="38">
        <f t="shared" si="44"/>
        <v>1710</v>
      </c>
      <c r="H45" s="38">
        <f t="shared" si="44"/>
        <v>1637.9999999999998</v>
      </c>
      <c r="I45" s="38">
        <f t="shared" si="44"/>
        <v>1584.0000000000002</v>
      </c>
      <c r="J45" s="51"/>
      <c r="K45" s="51"/>
      <c r="L45" s="51"/>
      <c r="M45" s="51"/>
      <c r="N45" s="51"/>
      <c r="O45" s="51"/>
      <c r="P45" s="51"/>
      <c r="Q45" s="51"/>
      <c r="R45" s="51"/>
      <c r="S45" s="51"/>
      <c r="T45" s="51"/>
      <c r="U45" s="51"/>
      <c r="V45" s="51"/>
      <c r="W45" s="72"/>
      <c r="AC45" s="74"/>
      <c r="AK45" s="47">
        <f t="shared" ref="AK45:AK50" si="45">AK36</f>
        <v>2</v>
      </c>
      <c r="AL45" s="75">
        <f t="shared" ref="AL45:AL50" si="46">AK45*AL36</f>
        <v>3102</v>
      </c>
      <c r="AM45" s="75">
        <f t="shared" ref="AM45:AM50" si="47">AM36*AK45</f>
        <v>3646.8999999999996</v>
      </c>
    </row>
    <row r="46" spans="1:39" x14ac:dyDescent="0.2">
      <c r="A46" s="55">
        <v>41</v>
      </c>
      <c r="B46" s="51" t="s">
        <v>38</v>
      </c>
      <c r="C46" s="45">
        <v>1200</v>
      </c>
      <c r="D46" s="45">
        <v>900</v>
      </c>
      <c r="E46" s="45">
        <v>600</v>
      </c>
      <c r="F46" s="38">
        <f>E46</f>
        <v>600</v>
      </c>
      <c r="G46" s="38">
        <f t="shared" ref="G46:I46" si="48">F46</f>
        <v>600</v>
      </c>
      <c r="H46" s="38">
        <f t="shared" si="48"/>
        <v>600</v>
      </c>
      <c r="I46" s="38">
        <f t="shared" si="48"/>
        <v>600</v>
      </c>
      <c r="J46" s="51"/>
      <c r="K46" s="51"/>
      <c r="L46" s="51"/>
      <c r="M46" s="51"/>
      <c r="N46" s="51"/>
      <c r="O46" s="51"/>
      <c r="P46" s="51"/>
      <c r="Q46" s="51"/>
      <c r="R46" s="51"/>
      <c r="S46" s="51"/>
      <c r="T46" s="51"/>
      <c r="U46" s="51"/>
      <c r="V46" s="51"/>
      <c r="W46" s="72"/>
      <c r="AC46" s="74"/>
      <c r="AK46" s="47">
        <f t="shared" si="45"/>
        <v>3</v>
      </c>
      <c r="AL46" s="75">
        <f t="shared" si="46"/>
        <v>4653</v>
      </c>
      <c r="AM46" s="75">
        <f t="shared" si="47"/>
        <v>5120.3499999999995</v>
      </c>
    </row>
    <row r="47" spans="1:39" x14ac:dyDescent="0.2">
      <c r="A47" s="55">
        <v>42</v>
      </c>
      <c r="B47" s="51" t="s">
        <v>39</v>
      </c>
      <c r="C47" s="38">
        <f>C10*1.1</f>
        <v>933.97920000000011</v>
      </c>
      <c r="D47" s="38">
        <f>D10*1.1</f>
        <v>896.33411999999998</v>
      </c>
      <c r="E47" s="38">
        <f>E10*1.1</f>
        <v>858.59373600000004</v>
      </c>
      <c r="F47" s="38">
        <f t="shared" ref="F47:I47" si="49">F10*1.1</f>
        <v>838.6751999999999</v>
      </c>
      <c r="G47" s="38">
        <f t="shared" si="49"/>
        <v>819.21875457875444</v>
      </c>
      <c r="H47" s="38">
        <f t="shared" si="49"/>
        <v>800.213679686207</v>
      </c>
      <c r="I47" s="38">
        <f t="shared" si="49"/>
        <v>781.64950396699089</v>
      </c>
      <c r="J47" s="51"/>
      <c r="K47" s="51"/>
      <c r="L47" s="51"/>
      <c r="M47" s="51"/>
      <c r="N47" s="51"/>
      <c r="O47" s="51"/>
      <c r="P47" s="51"/>
      <c r="Q47" s="51"/>
      <c r="R47" s="51"/>
      <c r="S47" s="51"/>
      <c r="T47" s="51"/>
      <c r="U47" s="51"/>
      <c r="V47" s="51"/>
      <c r="W47" s="72"/>
      <c r="AC47" s="74"/>
      <c r="AK47" s="47">
        <f t="shared" si="45"/>
        <v>4</v>
      </c>
      <c r="AL47" s="75">
        <f t="shared" si="46"/>
        <v>6204</v>
      </c>
      <c r="AM47" s="75">
        <f t="shared" si="47"/>
        <v>6475.9239999999991</v>
      </c>
    </row>
    <row r="48" spans="1:39" x14ac:dyDescent="0.2">
      <c r="A48" s="55"/>
      <c r="B48" s="51"/>
      <c r="C48" s="38"/>
      <c r="D48" s="38"/>
      <c r="E48" s="38"/>
      <c r="F48" s="38"/>
      <c r="G48" s="38"/>
      <c r="H48" s="38"/>
      <c r="I48" s="38"/>
      <c r="J48" s="51"/>
      <c r="K48" s="51"/>
      <c r="L48" s="51"/>
      <c r="M48" s="51"/>
      <c r="N48" s="51"/>
      <c r="O48" s="51"/>
      <c r="P48" s="51"/>
      <c r="Q48" s="51"/>
      <c r="R48" s="51"/>
      <c r="S48" s="51"/>
      <c r="T48" s="51"/>
      <c r="U48" s="51"/>
      <c r="V48" s="51"/>
      <c r="W48" s="72"/>
      <c r="AC48" s="74"/>
      <c r="AK48" s="47">
        <f t="shared" si="45"/>
        <v>5</v>
      </c>
      <c r="AL48" s="75">
        <f t="shared" si="46"/>
        <v>7755</v>
      </c>
      <c r="AM48" s="75">
        <f t="shared" si="47"/>
        <v>7698.8874999999998</v>
      </c>
    </row>
    <row r="49" spans="1:39" ht="15" x14ac:dyDescent="0.2">
      <c r="A49" s="55"/>
      <c r="B49" s="76" t="s">
        <v>42</v>
      </c>
      <c r="C49" s="51"/>
      <c r="D49" s="55"/>
      <c r="E49" s="51"/>
      <c r="F49" s="51"/>
      <c r="G49" s="68"/>
      <c r="H49" s="51"/>
      <c r="I49" s="51"/>
      <c r="J49" s="51"/>
      <c r="K49" s="51"/>
      <c r="L49" s="51"/>
      <c r="M49" s="51"/>
      <c r="N49" s="51"/>
      <c r="O49" s="51"/>
      <c r="P49" s="51"/>
      <c r="Q49" s="51"/>
      <c r="R49" s="51"/>
      <c r="S49" s="51"/>
      <c r="T49" s="51"/>
      <c r="U49" s="51"/>
      <c r="V49" s="51"/>
      <c r="W49" s="51"/>
      <c r="AK49" s="47">
        <f t="shared" si="45"/>
        <v>6</v>
      </c>
      <c r="AL49" s="75">
        <f t="shared" si="46"/>
        <v>9306</v>
      </c>
      <c r="AM49" s="75">
        <f t="shared" si="47"/>
        <v>8745.0370000000003</v>
      </c>
    </row>
    <row r="50" spans="1:39" x14ac:dyDescent="0.2">
      <c r="B50" s="77" t="s">
        <v>90</v>
      </c>
      <c r="C50" s="77"/>
      <c r="D50" s="77"/>
      <c r="E50" s="77"/>
      <c r="F50" s="77"/>
      <c r="G50" s="78"/>
      <c r="H50" s="78"/>
      <c r="I50" s="78"/>
      <c r="J50" s="78"/>
      <c r="K50" s="78"/>
      <c r="L50" s="78"/>
      <c r="M50" s="78"/>
      <c r="N50" s="78"/>
      <c r="O50" s="78"/>
      <c r="P50" s="78"/>
      <c r="Q50" s="78"/>
      <c r="R50" s="78"/>
      <c r="S50" s="78"/>
      <c r="T50" s="78"/>
      <c r="U50" s="78"/>
      <c r="V50" s="78"/>
      <c r="W50" s="78"/>
      <c r="AK50" s="47">
        <f t="shared" si="45"/>
        <v>7</v>
      </c>
      <c r="AL50" s="75">
        <f t="shared" si="46"/>
        <v>10857</v>
      </c>
      <c r="AM50" s="75">
        <f t="shared" si="47"/>
        <v>9776.4519999999993</v>
      </c>
    </row>
    <row r="51" spans="1:39" x14ac:dyDescent="0.2">
      <c r="B51" s="77" t="s">
        <v>81</v>
      </c>
      <c r="C51" s="77"/>
      <c r="D51" s="77"/>
      <c r="E51" s="77"/>
      <c r="F51" s="77"/>
      <c r="G51" s="78"/>
      <c r="H51" s="78"/>
      <c r="I51" s="78"/>
      <c r="J51" s="78"/>
      <c r="K51" s="78"/>
      <c r="L51" s="78"/>
      <c r="M51" s="78"/>
      <c r="N51" s="78"/>
      <c r="O51" s="78"/>
      <c r="P51" s="78"/>
      <c r="Q51" s="78"/>
      <c r="R51" s="78"/>
      <c r="S51" s="78"/>
      <c r="T51" s="78"/>
      <c r="U51" s="78"/>
      <c r="V51" s="78"/>
      <c r="W51" s="78"/>
    </row>
    <row r="52" spans="1:39" x14ac:dyDescent="0.2">
      <c r="B52" s="77"/>
      <c r="C52" s="77"/>
      <c r="D52" s="77"/>
      <c r="E52" s="77"/>
      <c r="F52" s="77"/>
      <c r="G52" s="78"/>
      <c r="H52" s="78"/>
      <c r="I52" s="78"/>
      <c r="AE52" s="75"/>
      <c r="AF52" s="75"/>
      <c r="AK52" s="49" t="s">
        <v>93</v>
      </c>
    </row>
    <row r="53" spans="1:39" ht="15" x14ac:dyDescent="0.2">
      <c r="B53" s="76" t="s">
        <v>58</v>
      </c>
      <c r="H53" s="73"/>
      <c r="I53" s="73"/>
      <c r="AK53" s="47" t="s">
        <v>2</v>
      </c>
      <c r="AL53" s="73" t="s">
        <v>23</v>
      </c>
      <c r="AM53" s="73" t="s">
        <v>24</v>
      </c>
    </row>
    <row r="54" spans="1:39" x14ac:dyDescent="0.2">
      <c r="B54" s="79" t="s">
        <v>13</v>
      </c>
      <c r="H54" s="73"/>
      <c r="I54" s="73"/>
      <c r="AK54" s="47">
        <f t="shared" ref="AK54:AK59" si="50">AK45</f>
        <v>2</v>
      </c>
      <c r="AL54" s="75">
        <f t="shared" ref="AL54:AM59" si="51">MROUND(AL45/$AK$4*2, 1000)</f>
        <v>69000</v>
      </c>
      <c r="AM54" s="75">
        <f t="shared" si="51"/>
        <v>81000</v>
      </c>
    </row>
    <row r="55" spans="1:39" x14ac:dyDescent="0.2">
      <c r="B55" s="79"/>
      <c r="H55" s="73"/>
      <c r="I55" s="73"/>
      <c r="AK55" s="47">
        <f t="shared" si="50"/>
        <v>3</v>
      </c>
      <c r="AL55" s="75">
        <f t="shared" si="51"/>
        <v>103000</v>
      </c>
      <c r="AM55" s="75">
        <f t="shared" si="51"/>
        <v>114000</v>
      </c>
    </row>
    <row r="56" spans="1:39" x14ac:dyDescent="0.2">
      <c r="C56" s="60" t="s">
        <v>51</v>
      </c>
      <c r="D56" s="60" t="s">
        <v>12</v>
      </c>
      <c r="E56" s="61" t="s">
        <v>53</v>
      </c>
      <c r="F56" s="58"/>
      <c r="G56" s="73"/>
      <c r="H56" s="73"/>
      <c r="AK56" s="47">
        <f t="shared" si="50"/>
        <v>4</v>
      </c>
      <c r="AL56" s="75">
        <f t="shared" si="51"/>
        <v>138000</v>
      </c>
      <c r="AM56" s="75">
        <f t="shared" si="51"/>
        <v>144000</v>
      </c>
    </row>
    <row r="57" spans="1:39" x14ac:dyDescent="0.2">
      <c r="B57" s="79" t="s">
        <v>45</v>
      </c>
      <c r="C57" s="80">
        <v>1900</v>
      </c>
      <c r="D57" s="81">
        <v>1</v>
      </c>
      <c r="E57" s="81">
        <v>0.52</v>
      </c>
      <c r="F57" s="58"/>
      <c r="G57" s="73"/>
      <c r="H57" s="73"/>
      <c r="AK57" s="47">
        <f t="shared" si="50"/>
        <v>5</v>
      </c>
      <c r="AL57" s="75">
        <f t="shared" si="51"/>
        <v>172000</v>
      </c>
      <c r="AM57" s="75">
        <f t="shared" si="51"/>
        <v>171000</v>
      </c>
    </row>
    <row r="58" spans="1:39" x14ac:dyDescent="0.2">
      <c r="B58" s="79" t="s">
        <v>31</v>
      </c>
      <c r="C58" s="80">
        <v>1900</v>
      </c>
      <c r="D58" s="81">
        <v>1</v>
      </c>
      <c r="E58" s="81">
        <v>0.48</v>
      </c>
      <c r="F58" s="58"/>
      <c r="G58" s="73"/>
      <c r="H58" s="73"/>
      <c r="AK58" s="47">
        <f t="shared" si="50"/>
        <v>6</v>
      </c>
      <c r="AL58" s="75">
        <f t="shared" si="51"/>
        <v>207000</v>
      </c>
      <c r="AM58" s="75">
        <f t="shared" si="51"/>
        <v>194000</v>
      </c>
    </row>
    <row r="59" spans="1:39" x14ac:dyDescent="0.2">
      <c r="B59" s="79" t="s">
        <v>36</v>
      </c>
      <c r="C59" s="80">
        <v>1700</v>
      </c>
      <c r="D59" s="81">
        <v>1</v>
      </c>
      <c r="E59" s="81">
        <v>0.44</v>
      </c>
      <c r="F59" s="58"/>
      <c r="G59" s="73"/>
      <c r="H59" s="73"/>
      <c r="AK59" s="47">
        <f t="shared" si="50"/>
        <v>7</v>
      </c>
      <c r="AL59" s="75">
        <f t="shared" si="51"/>
        <v>241000</v>
      </c>
      <c r="AM59" s="75">
        <f t="shared" si="51"/>
        <v>217000</v>
      </c>
    </row>
    <row r="60" spans="1:39" x14ac:dyDescent="0.2">
      <c r="B60" s="79" t="s">
        <v>37</v>
      </c>
      <c r="C60" s="80">
        <v>1500</v>
      </c>
      <c r="D60" s="81">
        <v>1</v>
      </c>
      <c r="E60" s="81">
        <v>0.35</v>
      </c>
      <c r="F60" s="58"/>
      <c r="G60" s="73"/>
      <c r="H60" s="73"/>
    </row>
    <row r="61" spans="1:39" x14ac:dyDescent="0.2">
      <c r="B61" s="79"/>
      <c r="C61" s="57"/>
      <c r="D61" s="82"/>
      <c r="E61" s="82"/>
      <c r="F61" s="58"/>
      <c r="G61" s="73"/>
      <c r="H61" s="73"/>
    </row>
    <row r="62" spans="1:39" x14ac:dyDescent="0.2">
      <c r="B62" s="79" t="str">
        <f>'WFRC Speed V8.3'!B15</f>
        <v>Expressway, posted 60-70 mph</v>
      </c>
      <c r="C62" s="80">
        <v>1900</v>
      </c>
      <c r="D62" s="81">
        <v>1</v>
      </c>
      <c r="E62" s="81">
        <v>0.57999999999999996</v>
      </c>
      <c r="F62" s="58"/>
      <c r="G62" s="73"/>
      <c r="H62" s="73"/>
    </row>
    <row r="63" spans="1:39" x14ac:dyDescent="0.2">
      <c r="B63" s="79" t="str">
        <f>'WFRC Speed V8.3'!B16</f>
        <v>Expressway, posted 55-65 mph</v>
      </c>
      <c r="C63" s="80">
        <v>1900</v>
      </c>
      <c r="D63" s="81">
        <v>1</v>
      </c>
      <c r="E63" s="81">
        <v>0.56000000000000005</v>
      </c>
      <c r="F63" s="58"/>
      <c r="G63" s="73"/>
      <c r="H63" s="73"/>
    </row>
    <row r="64" spans="1:39" x14ac:dyDescent="0.2">
      <c r="B64" s="79" t="str">
        <f>'WFRC Speed V8.3'!B17</f>
        <v>Expressway, posted 50-60 mph</v>
      </c>
      <c r="C64" s="80">
        <v>1900</v>
      </c>
      <c r="D64" s="81">
        <v>1</v>
      </c>
      <c r="E64" s="81">
        <v>0.54</v>
      </c>
      <c r="F64" s="58"/>
      <c r="G64" s="73"/>
      <c r="H64" s="73"/>
    </row>
    <row r="65" spans="2:23" x14ac:dyDescent="0.2">
      <c r="B65" s="79" t="str">
        <f>'WFRC Speed V8.3'!B18</f>
        <v>Expressway, posted 45-55 mph</v>
      </c>
      <c r="C65" s="80">
        <v>1900</v>
      </c>
      <c r="D65" s="81">
        <v>1</v>
      </c>
      <c r="E65" s="81">
        <v>0.52</v>
      </c>
      <c r="F65" s="58"/>
      <c r="G65" s="73"/>
      <c r="H65" s="73"/>
    </row>
    <row r="66" spans="2:23" x14ac:dyDescent="0.2">
      <c r="B66" s="79"/>
      <c r="C66" s="57"/>
      <c r="D66" s="82"/>
      <c r="E66" s="82"/>
      <c r="F66" s="82"/>
      <c r="H66" s="73"/>
      <c r="I66" s="73"/>
    </row>
    <row r="67" spans="2:23" x14ac:dyDescent="0.2">
      <c r="B67" s="60" t="s">
        <v>74</v>
      </c>
      <c r="C67" s="37" t="s">
        <v>54</v>
      </c>
      <c r="D67" s="83" t="s">
        <v>55</v>
      </c>
      <c r="E67" s="83" t="s">
        <v>56</v>
      </c>
      <c r="F67" s="83" t="s">
        <v>60</v>
      </c>
      <c r="H67" s="73"/>
      <c r="I67" s="73"/>
    </row>
    <row r="68" spans="2:23" x14ac:dyDescent="0.2">
      <c r="B68" s="79" t="s">
        <v>72</v>
      </c>
      <c r="C68" s="81">
        <v>0.98</v>
      </c>
      <c r="D68" s="81">
        <v>0.99</v>
      </c>
      <c r="E68" s="81">
        <v>0.99</v>
      </c>
      <c r="F68" s="81">
        <v>1</v>
      </c>
      <c r="H68" s="73"/>
      <c r="I68" s="73"/>
    </row>
    <row r="69" spans="2:23" x14ac:dyDescent="0.2">
      <c r="B69" s="79" t="s">
        <v>73</v>
      </c>
      <c r="C69" s="81">
        <v>1</v>
      </c>
      <c r="D69" s="81">
        <v>1</v>
      </c>
      <c r="E69" s="81">
        <v>1</v>
      </c>
      <c r="F69" s="81">
        <v>1</v>
      </c>
      <c r="H69" s="73"/>
      <c r="I69" s="73"/>
    </row>
    <row r="70" spans="2:23" x14ac:dyDescent="0.2">
      <c r="B70" s="79" t="s">
        <v>75</v>
      </c>
      <c r="C70" s="81">
        <v>1</v>
      </c>
      <c r="D70" s="81">
        <v>1</v>
      </c>
      <c r="E70" s="81">
        <v>1</v>
      </c>
      <c r="F70" s="81">
        <v>1</v>
      </c>
      <c r="H70" s="73"/>
      <c r="I70" s="73"/>
    </row>
    <row r="71" spans="2:23" x14ac:dyDescent="0.2">
      <c r="B71" s="79"/>
      <c r="C71" s="57"/>
      <c r="D71" s="82"/>
      <c r="E71" s="82"/>
      <c r="F71" s="82"/>
      <c r="H71" s="73"/>
      <c r="I71" s="73"/>
    </row>
    <row r="72" spans="2:23" x14ac:dyDescent="0.2">
      <c r="B72" s="60" t="s">
        <v>52</v>
      </c>
      <c r="C72" s="37" t="s">
        <v>54</v>
      </c>
      <c r="D72" s="83" t="s">
        <v>55</v>
      </c>
      <c r="E72" s="83" t="s">
        <v>56</v>
      </c>
      <c r="F72" s="83" t="s">
        <v>60</v>
      </c>
      <c r="H72" s="73"/>
      <c r="I72" s="73"/>
    </row>
    <row r="73" spans="2:23" x14ac:dyDescent="0.2">
      <c r="B73" s="79" t="s">
        <v>72</v>
      </c>
      <c r="C73" s="81">
        <v>1</v>
      </c>
      <c r="D73" s="81">
        <v>0.95</v>
      </c>
      <c r="E73" s="81">
        <v>0.91</v>
      </c>
      <c r="F73" s="81">
        <v>0.88</v>
      </c>
      <c r="H73" s="73"/>
      <c r="I73" s="73"/>
    </row>
    <row r="74" spans="2:23" x14ac:dyDescent="0.2">
      <c r="B74" s="79" t="s">
        <v>73</v>
      </c>
      <c r="C74" s="81">
        <v>1</v>
      </c>
      <c r="D74" s="81">
        <v>0.95</v>
      </c>
      <c r="E74" s="81">
        <v>0.91</v>
      </c>
      <c r="F74" s="81">
        <v>0.88</v>
      </c>
      <c r="H74" s="73"/>
      <c r="I74" s="73"/>
    </row>
    <row r="75" spans="2:23" x14ac:dyDescent="0.2">
      <c r="B75" s="79" t="s">
        <v>75</v>
      </c>
      <c r="C75" s="81">
        <v>1</v>
      </c>
      <c r="D75" s="81">
        <v>0.96</v>
      </c>
      <c r="E75" s="81">
        <v>0.93</v>
      </c>
      <c r="F75" s="81">
        <v>0.91</v>
      </c>
      <c r="H75" s="73"/>
      <c r="I75" s="73"/>
    </row>
    <row r="76" spans="2:23" x14ac:dyDescent="0.2">
      <c r="B76" s="79"/>
      <c r="C76" s="57"/>
      <c r="D76" s="82"/>
      <c r="E76" s="82"/>
      <c r="F76" s="82"/>
      <c r="H76" s="73"/>
      <c r="I76" s="73"/>
      <c r="J76" s="51"/>
      <c r="K76" s="51"/>
      <c r="L76" s="51"/>
      <c r="M76" s="51"/>
      <c r="N76" s="51"/>
      <c r="O76" s="51"/>
      <c r="P76" s="51"/>
      <c r="Q76" s="51"/>
      <c r="R76" s="51"/>
      <c r="S76" s="51"/>
      <c r="T76" s="51"/>
      <c r="U76" s="51"/>
      <c r="V76" s="51"/>
      <c r="W76" s="51"/>
    </row>
    <row r="77" spans="2:23" x14ac:dyDescent="0.2">
      <c r="B77" s="51"/>
      <c r="C77" s="60">
        <v>1</v>
      </c>
      <c r="D77" s="60">
        <v>2</v>
      </c>
      <c r="E77" s="60">
        <v>3</v>
      </c>
      <c r="F77" s="60">
        <v>4</v>
      </c>
      <c r="G77" s="61">
        <v>5</v>
      </c>
      <c r="H77" s="51"/>
      <c r="I77" s="51"/>
      <c r="J77" s="51"/>
      <c r="K77" s="51"/>
      <c r="L77" s="51"/>
      <c r="M77" s="51"/>
      <c r="N77" s="51"/>
      <c r="O77" s="51"/>
      <c r="P77" s="51"/>
      <c r="Q77" s="51"/>
      <c r="R77" s="51"/>
      <c r="S77" s="51"/>
      <c r="T77" s="51"/>
      <c r="U77" s="51"/>
      <c r="V77" s="51"/>
      <c r="W77" s="51"/>
    </row>
    <row r="78" spans="2:23" x14ac:dyDescent="0.2">
      <c r="C78" s="60" t="s">
        <v>14</v>
      </c>
      <c r="D78" s="60" t="s">
        <v>5</v>
      </c>
      <c r="E78" s="60" t="s">
        <v>1</v>
      </c>
      <c r="F78" s="60" t="s">
        <v>0</v>
      </c>
      <c r="G78" s="61" t="s">
        <v>4</v>
      </c>
      <c r="H78" s="51"/>
      <c r="I78" s="51"/>
      <c r="J78" s="51"/>
      <c r="K78" s="51"/>
      <c r="L78" s="51"/>
      <c r="M78" s="51"/>
      <c r="N78" s="51"/>
      <c r="O78" s="51"/>
      <c r="P78" s="51"/>
      <c r="Q78" s="51"/>
      <c r="R78" s="51"/>
      <c r="S78" s="51"/>
      <c r="T78" s="51"/>
      <c r="U78" s="51"/>
      <c r="V78" s="51"/>
      <c r="W78" s="51"/>
    </row>
    <row r="79" spans="2:23" x14ac:dyDescent="0.2">
      <c r="B79" s="77" t="s">
        <v>44</v>
      </c>
      <c r="C79" s="81">
        <v>1.1000000000000001</v>
      </c>
      <c r="D79" s="84">
        <v>1.05</v>
      </c>
      <c r="E79" s="81">
        <v>1</v>
      </c>
      <c r="F79" s="81">
        <v>0.95</v>
      </c>
      <c r="G79" s="81">
        <v>0.9</v>
      </c>
      <c r="H79" s="51"/>
      <c r="I79" s="51"/>
    </row>
    <row r="80" spans="2:23" x14ac:dyDescent="0.2">
      <c r="H80" s="73"/>
      <c r="I80" s="73"/>
    </row>
    <row r="81" spans="1:23" x14ac:dyDescent="0.2">
      <c r="H81" s="73"/>
      <c r="I81" s="73"/>
    </row>
    <row r="82" spans="1:23" ht="15" x14ac:dyDescent="0.2">
      <c r="B82" s="76" t="s">
        <v>59</v>
      </c>
      <c r="J82" s="51"/>
      <c r="K82" s="51"/>
      <c r="L82" s="51"/>
      <c r="M82" s="51"/>
      <c r="N82" s="51"/>
      <c r="O82" s="51"/>
      <c r="P82" s="51"/>
      <c r="Q82" s="51"/>
      <c r="R82" s="51"/>
      <c r="S82" s="51"/>
      <c r="T82" s="51"/>
      <c r="U82" s="51"/>
      <c r="V82" s="51"/>
      <c r="W82" s="51"/>
    </row>
    <row r="83" spans="1:23" x14ac:dyDescent="0.2">
      <c r="A83" s="55"/>
      <c r="B83" s="77" t="s">
        <v>17</v>
      </c>
      <c r="C83" s="51"/>
      <c r="D83" s="55"/>
      <c r="E83" s="51"/>
      <c r="F83" s="85"/>
      <c r="G83" s="68"/>
      <c r="H83" s="51"/>
      <c r="I83" s="51"/>
      <c r="J83" s="51"/>
      <c r="K83" s="51"/>
      <c r="L83" s="51"/>
      <c r="M83" s="51"/>
      <c r="N83" s="51"/>
      <c r="O83" s="51"/>
      <c r="P83" s="51"/>
      <c r="Q83" s="51"/>
      <c r="R83" s="51"/>
      <c r="S83" s="51"/>
      <c r="T83" s="51"/>
      <c r="U83" s="51"/>
      <c r="V83" s="51"/>
      <c r="W83" s="51"/>
    </row>
    <row r="84" spans="1:23" ht="14.1" customHeight="1" x14ac:dyDescent="0.2">
      <c r="A84" s="55"/>
      <c r="B84" s="77" t="s">
        <v>18</v>
      </c>
      <c r="C84" s="51"/>
      <c r="D84" s="55"/>
      <c r="E84" s="51"/>
      <c r="F84" s="51"/>
      <c r="G84" s="68"/>
      <c r="H84" s="55" t="s">
        <v>96</v>
      </c>
      <c r="I84" s="51"/>
      <c r="J84" s="51"/>
      <c r="K84" s="51"/>
      <c r="L84" s="51"/>
      <c r="M84" s="51"/>
      <c r="N84" s="51"/>
      <c r="O84" s="51"/>
      <c r="P84" s="51"/>
      <c r="Q84" s="51"/>
      <c r="R84" s="51"/>
      <c r="S84" s="51"/>
      <c r="T84" s="51"/>
      <c r="U84" s="51"/>
      <c r="V84" s="51"/>
      <c r="W84" s="51"/>
    </row>
    <row r="85" spans="1:23" ht="14.1" customHeight="1" x14ac:dyDescent="0.2">
      <c r="A85" s="55"/>
      <c r="B85" s="77"/>
      <c r="C85" s="51"/>
      <c r="D85" s="55"/>
      <c r="E85" s="51"/>
      <c r="F85" s="51"/>
      <c r="G85" s="68"/>
      <c r="H85" s="98">
        <v>0.66</v>
      </c>
      <c r="I85" s="51"/>
      <c r="J85" s="51"/>
      <c r="K85" s="51"/>
      <c r="L85" s="51"/>
      <c r="M85" s="51"/>
      <c r="N85" s="51"/>
      <c r="O85" s="51"/>
      <c r="P85" s="51"/>
      <c r="Q85" s="51"/>
      <c r="R85" s="51"/>
      <c r="S85" s="51"/>
      <c r="T85" s="51"/>
      <c r="U85" s="51"/>
      <c r="V85" s="51"/>
      <c r="W85" s="51"/>
    </row>
    <row r="86" spans="1:23" ht="14.1" customHeight="1" x14ac:dyDescent="0.2">
      <c r="A86" s="55"/>
      <c r="B86" s="77"/>
      <c r="C86" s="60" t="s">
        <v>21</v>
      </c>
      <c r="D86" s="60" t="s">
        <v>16</v>
      </c>
      <c r="E86" s="51"/>
      <c r="F86" s="51"/>
      <c r="G86" s="61" t="s">
        <v>15</v>
      </c>
      <c r="H86" s="92" t="s">
        <v>95</v>
      </c>
      <c r="I86" s="51"/>
      <c r="J86" s="51"/>
      <c r="K86" s="51"/>
      <c r="L86" s="51"/>
      <c r="M86" s="51"/>
      <c r="N86" s="51"/>
      <c r="O86" s="51"/>
      <c r="P86" s="51"/>
      <c r="Q86" s="51"/>
      <c r="R86" s="51"/>
      <c r="S86" s="51"/>
      <c r="T86" s="51"/>
      <c r="U86" s="51"/>
      <c r="V86" s="51"/>
      <c r="W86" s="51"/>
    </row>
    <row r="87" spans="1:23" ht="14.1" customHeight="1" x14ac:dyDescent="0.2">
      <c r="A87" s="55"/>
      <c r="B87" s="51" t="s">
        <v>108</v>
      </c>
      <c r="C87" s="97">
        <v>2100</v>
      </c>
      <c r="D87" s="80">
        <v>700</v>
      </c>
      <c r="E87" s="51"/>
      <c r="F87" s="51" t="s">
        <v>54</v>
      </c>
      <c r="G87" s="81">
        <v>1</v>
      </c>
      <c r="H87" s="93">
        <v>1800</v>
      </c>
      <c r="I87" s="51"/>
      <c r="J87" s="51"/>
      <c r="K87" s="51"/>
      <c r="L87" s="51"/>
      <c r="M87" s="51"/>
      <c r="N87" s="51"/>
      <c r="O87" s="51"/>
      <c r="P87" s="51"/>
      <c r="Q87" s="51"/>
      <c r="R87" s="51"/>
      <c r="S87" s="51"/>
      <c r="T87" s="51"/>
      <c r="U87" s="51"/>
      <c r="V87" s="51"/>
      <c r="W87" s="51"/>
    </row>
    <row r="88" spans="1:23" ht="14.1" customHeight="1" x14ac:dyDescent="0.2">
      <c r="A88" s="55"/>
      <c r="B88" s="51" t="str">
        <f t="shared" ref="B88:B95" si="52">B35</f>
        <v>Fwy: fwy-to-fwy loop ramp</v>
      </c>
      <c r="C88" s="65">
        <f>H87*$H$85</f>
        <v>1188</v>
      </c>
      <c r="D88" s="80">
        <v>0</v>
      </c>
      <c r="E88" s="51"/>
      <c r="F88" s="51" t="s">
        <v>55</v>
      </c>
      <c r="G88" s="81">
        <v>1</v>
      </c>
      <c r="H88" s="93">
        <v>2000</v>
      </c>
      <c r="I88" s="51"/>
      <c r="J88" s="51"/>
      <c r="K88" s="51"/>
      <c r="L88" s="51"/>
      <c r="M88" s="51"/>
      <c r="N88" s="51"/>
      <c r="O88" s="51"/>
      <c r="P88" s="51"/>
      <c r="Q88" s="51"/>
      <c r="R88" s="51"/>
      <c r="S88" s="51"/>
      <c r="T88" s="51"/>
      <c r="U88" s="51"/>
      <c r="V88" s="51"/>
      <c r="W88" s="51"/>
    </row>
    <row r="89" spans="1:23" ht="14.1" customHeight="1" x14ac:dyDescent="0.2">
      <c r="A89" s="55"/>
      <c r="B89" s="51" t="str">
        <f t="shared" si="52"/>
        <v>Fwy: C-D road, flyover ramp</v>
      </c>
      <c r="C89" s="65">
        <f t="shared" ref="C89:C98" si="53">H88*$H$85</f>
        <v>1320</v>
      </c>
      <c r="D89" s="80">
        <v>0</v>
      </c>
      <c r="E89" s="51"/>
      <c r="F89" s="51" t="s">
        <v>56</v>
      </c>
      <c r="G89" s="81">
        <v>1</v>
      </c>
      <c r="H89" s="93">
        <v>2300</v>
      </c>
      <c r="I89" s="51"/>
      <c r="J89" s="51"/>
      <c r="K89" s="51"/>
      <c r="L89" s="51"/>
      <c r="M89" s="51"/>
      <c r="N89" s="51"/>
      <c r="O89" s="51"/>
      <c r="P89" s="51"/>
      <c r="Q89" s="51"/>
      <c r="R89" s="51"/>
      <c r="S89" s="51"/>
      <c r="T89" s="51"/>
      <c r="U89" s="51"/>
      <c r="V89" s="51"/>
      <c r="W89" s="51"/>
    </row>
    <row r="90" spans="1:23" ht="14.1" customHeight="1" x14ac:dyDescent="0.2">
      <c r="A90" s="55"/>
      <c r="B90" s="51" t="str">
        <f t="shared" si="52"/>
        <v>Fwy: posted 55-60 mph</v>
      </c>
      <c r="C90" s="65">
        <f t="shared" si="53"/>
        <v>1518</v>
      </c>
      <c r="D90" s="80">
        <v>0</v>
      </c>
      <c r="E90" s="51"/>
      <c r="F90" s="51" t="s">
        <v>60</v>
      </c>
      <c r="G90" s="81">
        <v>0.98</v>
      </c>
      <c r="H90" s="93">
        <v>2350</v>
      </c>
      <c r="I90" s="51"/>
      <c r="J90" s="51"/>
      <c r="K90" s="51"/>
      <c r="L90" s="51"/>
      <c r="M90" s="51"/>
      <c r="N90" s="51"/>
      <c r="O90" s="51"/>
      <c r="P90" s="51"/>
      <c r="Q90" s="51"/>
      <c r="R90" s="51"/>
      <c r="S90" s="51"/>
      <c r="T90" s="51"/>
      <c r="U90" s="51"/>
      <c r="V90" s="51"/>
      <c r="W90" s="51"/>
    </row>
    <row r="91" spans="1:23" ht="14.1" customHeight="1" x14ac:dyDescent="0.2">
      <c r="A91" s="55"/>
      <c r="B91" s="51" t="str">
        <f t="shared" si="52"/>
        <v>Fwy: posted 65 mph, no aux lane</v>
      </c>
      <c r="C91" s="65">
        <f>H90*$H$85</f>
        <v>1551</v>
      </c>
      <c r="D91" s="80">
        <v>0</v>
      </c>
      <c r="E91" s="51"/>
      <c r="F91" s="51" t="s">
        <v>61</v>
      </c>
      <c r="G91" s="81">
        <v>0.95</v>
      </c>
      <c r="H91" s="93">
        <v>2350</v>
      </c>
      <c r="I91" s="51"/>
      <c r="J91" s="51"/>
      <c r="K91" s="51"/>
      <c r="L91" s="51"/>
      <c r="M91" s="51"/>
      <c r="N91" s="51"/>
      <c r="O91" s="51"/>
      <c r="P91" s="51"/>
      <c r="Q91" s="51"/>
      <c r="R91" s="51"/>
      <c r="S91" s="51"/>
      <c r="T91" s="51"/>
      <c r="U91" s="51"/>
      <c r="V91" s="51"/>
      <c r="W91" s="51"/>
    </row>
    <row r="92" spans="1:23" ht="14.1" customHeight="1" x14ac:dyDescent="0.2">
      <c r="A92" s="55"/>
      <c r="B92" s="51" t="str">
        <f t="shared" si="52"/>
        <v>Fwy: posted 65 mph, aux lane</v>
      </c>
      <c r="C92" s="65">
        <f t="shared" si="53"/>
        <v>1551</v>
      </c>
      <c r="D92" s="80">
        <v>700</v>
      </c>
      <c r="E92" s="51"/>
      <c r="F92" s="51" t="s">
        <v>62</v>
      </c>
      <c r="G92" s="81">
        <v>0.91</v>
      </c>
      <c r="H92" s="93">
        <v>2400</v>
      </c>
      <c r="I92" s="51"/>
      <c r="J92" s="51"/>
      <c r="K92" s="51"/>
      <c r="L92" s="51"/>
      <c r="M92" s="51"/>
      <c r="N92" s="51"/>
      <c r="O92" s="51"/>
      <c r="P92" s="51"/>
      <c r="Q92" s="51"/>
      <c r="R92" s="51"/>
      <c r="S92" s="51"/>
      <c r="T92" s="51"/>
      <c r="U92" s="51"/>
      <c r="V92" s="51"/>
      <c r="W92" s="51"/>
    </row>
    <row r="93" spans="1:23" ht="14.1" customHeight="1" x14ac:dyDescent="0.2">
      <c r="A93" s="55"/>
      <c r="B93" s="51" t="str">
        <f t="shared" si="52"/>
        <v>Fwy: posted 75 mph, no aux lane</v>
      </c>
      <c r="C93" s="65">
        <f t="shared" si="53"/>
        <v>1584</v>
      </c>
      <c r="D93" s="80">
        <v>0</v>
      </c>
      <c r="E93" s="51"/>
      <c r="F93" s="51" t="s">
        <v>63</v>
      </c>
      <c r="G93" s="81">
        <v>0.88</v>
      </c>
      <c r="H93" s="93">
        <v>2400</v>
      </c>
      <c r="I93" s="51"/>
      <c r="J93" s="51"/>
      <c r="K93" s="51"/>
      <c r="L93" s="51"/>
      <c r="M93" s="51"/>
      <c r="N93" s="51"/>
      <c r="O93" s="51"/>
      <c r="P93" s="51"/>
      <c r="Q93" s="51"/>
      <c r="R93" s="51"/>
      <c r="S93" s="51"/>
      <c r="T93" s="51"/>
      <c r="U93" s="51"/>
      <c r="V93" s="51"/>
      <c r="W93" s="51"/>
    </row>
    <row r="94" spans="1:23" x14ac:dyDescent="0.2">
      <c r="A94" s="55"/>
      <c r="B94" s="51" t="str">
        <f t="shared" si="52"/>
        <v>Fwy: posted 75 mph, aux lane</v>
      </c>
      <c r="C94" s="65">
        <f t="shared" si="53"/>
        <v>1584</v>
      </c>
      <c r="D94" s="80">
        <v>700</v>
      </c>
      <c r="E94" s="51"/>
      <c r="G94" s="47"/>
      <c r="H94" s="93">
        <v>2400</v>
      </c>
      <c r="I94" s="51"/>
      <c r="J94" s="51"/>
      <c r="K94" s="51"/>
      <c r="L94" s="51"/>
      <c r="M94" s="51"/>
      <c r="N94" s="51"/>
      <c r="O94" s="51"/>
      <c r="P94" s="51"/>
      <c r="Q94" s="51"/>
      <c r="R94" s="51"/>
      <c r="S94" s="51"/>
      <c r="T94" s="51"/>
      <c r="U94" s="51"/>
      <c r="V94" s="51"/>
      <c r="W94" s="51"/>
    </row>
    <row r="95" spans="1:23" x14ac:dyDescent="0.2">
      <c r="A95" s="55"/>
      <c r="B95" s="51" t="str">
        <f t="shared" si="52"/>
        <v>Fwy: HOV lane</v>
      </c>
      <c r="C95" s="65">
        <f t="shared" si="53"/>
        <v>1584</v>
      </c>
      <c r="D95" s="80">
        <v>0</v>
      </c>
      <c r="E95" s="51"/>
      <c r="G95" s="47"/>
      <c r="H95" s="93">
        <v>2400</v>
      </c>
      <c r="I95" s="51"/>
      <c r="J95" s="51"/>
      <c r="K95" s="51"/>
      <c r="L95" s="51"/>
      <c r="M95" s="51"/>
      <c r="N95" s="51"/>
      <c r="O95" s="51"/>
      <c r="P95" s="51"/>
      <c r="Q95" s="51"/>
      <c r="R95" s="51"/>
      <c r="S95" s="51"/>
      <c r="T95" s="51"/>
      <c r="U95" s="51"/>
      <c r="V95" s="51"/>
      <c r="W95" s="51"/>
    </row>
    <row r="96" spans="1:23" x14ac:dyDescent="0.2">
      <c r="A96" s="55"/>
      <c r="B96" s="51" t="s">
        <v>34</v>
      </c>
      <c r="C96" s="65">
        <f t="shared" si="53"/>
        <v>1584</v>
      </c>
      <c r="D96" s="80">
        <v>0</v>
      </c>
      <c r="E96" s="51"/>
      <c r="F96" s="51"/>
      <c r="G96" s="68"/>
      <c r="H96" s="93">
        <v>2400</v>
      </c>
      <c r="I96" s="51"/>
      <c r="J96" s="51"/>
      <c r="K96" s="51"/>
      <c r="L96" s="51"/>
      <c r="M96" s="51"/>
      <c r="N96" s="51"/>
      <c r="O96" s="51"/>
      <c r="P96" s="51"/>
      <c r="Q96" s="51"/>
      <c r="R96" s="51"/>
      <c r="S96" s="51"/>
      <c r="T96" s="51"/>
      <c r="U96" s="51"/>
      <c r="V96" s="51"/>
      <c r="W96" s="51"/>
    </row>
    <row r="97" spans="1:23" x14ac:dyDescent="0.2">
      <c r="A97" s="55"/>
      <c r="B97" s="51" t="s">
        <v>40</v>
      </c>
      <c r="C97" s="65">
        <f t="shared" si="53"/>
        <v>1584</v>
      </c>
      <c r="D97" s="80">
        <v>0</v>
      </c>
      <c r="E97" s="51"/>
      <c r="F97" s="51"/>
      <c r="G97" s="68"/>
      <c r="H97" s="93">
        <v>2400</v>
      </c>
      <c r="I97" s="51"/>
      <c r="J97" s="51"/>
      <c r="K97" s="51"/>
      <c r="L97" s="51"/>
      <c r="M97" s="51"/>
      <c r="N97" s="51"/>
      <c r="O97" s="51"/>
      <c r="P97" s="51"/>
      <c r="Q97" s="51"/>
      <c r="R97" s="51"/>
      <c r="S97" s="51"/>
      <c r="T97" s="51"/>
      <c r="U97" s="51"/>
      <c r="V97" s="51"/>
      <c r="W97" s="51"/>
    </row>
    <row r="98" spans="1:23" x14ac:dyDescent="0.2">
      <c r="A98" s="55"/>
      <c r="B98" s="51" t="s">
        <v>41</v>
      </c>
      <c r="C98" s="65">
        <f t="shared" si="53"/>
        <v>1584</v>
      </c>
      <c r="D98" s="80">
        <v>0</v>
      </c>
      <c r="E98" s="51"/>
      <c r="F98" s="51"/>
      <c r="G98" s="68"/>
      <c r="H98" s="51"/>
      <c r="I98" s="51"/>
      <c r="J98" s="51"/>
      <c r="K98" s="51"/>
      <c r="L98" s="51"/>
      <c r="M98" s="51"/>
      <c r="N98" s="51"/>
      <c r="O98" s="51"/>
      <c r="P98" s="51"/>
      <c r="Q98" s="51"/>
      <c r="R98" s="51"/>
      <c r="S98" s="51"/>
      <c r="T98" s="51"/>
      <c r="U98" s="51"/>
      <c r="V98" s="51"/>
      <c r="W98" s="51"/>
    </row>
    <row r="99" spans="1:23" x14ac:dyDescent="0.2">
      <c r="A99" s="55"/>
      <c r="D99" s="47"/>
      <c r="E99" s="51"/>
      <c r="F99" s="51"/>
      <c r="G99" s="68"/>
      <c r="H99" s="51"/>
      <c r="I99" s="51"/>
      <c r="J99" s="51"/>
      <c r="K99" s="51"/>
      <c r="L99" s="51"/>
      <c r="M99" s="51"/>
      <c r="N99" s="51"/>
      <c r="O99" s="51"/>
      <c r="P99" s="51"/>
      <c r="Q99" s="51"/>
      <c r="R99" s="51"/>
      <c r="S99" s="51"/>
      <c r="T99" s="51"/>
      <c r="U99" s="51"/>
      <c r="V99" s="51"/>
      <c r="W99" s="51"/>
    </row>
    <row r="100" spans="1:23" x14ac:dyDescent="0.2">
      <c r="A100" s="55"/>
      <c r="B100" s="51" t="s">
        <v>11</v>
      </c>
      <c r="C100" s="81">
        <v>0.95</v>
      </c>
      <c r="D100" s="57"/>
      <c r="E100" s="51"/>
      <c r="F100" s="51"/>
      <c r="G100" s="68"/>
      <c r="H100" s="51"/>
      <c r="I100" s="51"/>
      <c r="J100" s="51"/>
      <c r="K100" s="51"/>
      <c r="L100" s="51"/>
      <c r="M100" s="51"/>
      <c r="N100" s="51"/>
      <c r="O100" s="51"/>
      <c r="P100" s="51"/>
      <c r="Q100" s="51"/>
      <c r="R100" s="51"/>
      <c r="S100" s="51"/>
      <c r="T100" s="51"/>
      <c r="U100" s="51"/>
      <c r="V100" s="51"/>
      <c r="W100" s="51"/>
    </row>
    <row r="101" spans="1:23" x14ac:dyDescent="0.2">
      <c r="A101" s="55"/>
      <c r="B101" s="51" t="s">
        <v>12</v>
      </c>
      <c r="C101" s="86">
        <v>1</v>
      </c>
      <c r="D101" s="57"/>
      <c r="E101" s="51"/>
      <c r="F101" s="51"/>
      <c r="G101" s="68"/>
      <c r="H101" s="51"/>
      <c r="I101" s="51"/>
      <c r="J101" s="51"/>
      <c r="K101" s="51"/>
      <c r="L101" s="51"/>
      <c r="M101" s="51"/>
      <c r="N101" s="51"/>
      <c r="O101" s="51"/>
      <c r="P101" s="51"/>
      <c r="Q101" s="51"/>
      <c r="R101" s="51"/>
      <c r="S101" s="51"/>
      <c r="T101" s="51"/>
      <c r="U101" s="51"/>
      <c r="V101" s="51"/>
      <c r="W101" s="51"/>
    </row>
    <row r="102" spans="1:23" x14ac:dyDescent="0.2">
      <c r="A102" s="55"/>
      <c r="B102" s="77"/>
      <c r="C102" s="51"/>
      <c r="D102" s="55"/>
      <c r="E102" s="51"/>
      <c r="F102" s="51"/>
      <c r="G102" s="68"/>
      <c r="H102" s="51"/>
      <c r="I102" s="51"/>
      <c r="J102" s="78"/>
      <c r="K102" s="78"/>
      <c r="L102" s="78"/>
      <c r="M102" s="78"/>
      <c r="N102" s="78"/>
      <c r="O102" s="78"/>
      <c r="P102" s="78"/>
      <c r="Q102" s="78"/>
      <c r="R102" s="78"/>
      <c r="S102" s="78"/>
      <c r="T102" s="78"/>
      <c r="U102" s="78"/>
      <c r="V102" s="78"/>
      <c r="W102" s="78"/>
    </row>
    <row r="103" spans="1:23" ht="15" x14ac:dyDescent="0.2">
      <c r="B103" s="76" t="s">
        <v>42</v>
      </c>
      <c r="C103" s="51"/>
      <c r="D103" s="55"/>
      <c r="E103" s="77"/>
      <c r="F103" s="77"/>
      <c r="G103" s="78"/>
      <c r="H103" s="78"/>
      <c r="I103" s="78"/>
      <c r="J103" s="78"/>
      <c r="K103" s="78"/>
      <c r="L103" s="78"/>
      <c r="M103" s="78"/>
      <c r="N103" s="78"/>
      <c r="O103" s="78"/>
      <c r="P103" s="78"/>
      <c r="Q103" s="78"/>
      <c r="R103" s="78"/>
      <c r="S103" s="78"/>
      <c r="T103" s="78"/>
      <c r="U103" s="78"/>
      <c r="V103" s="78"/>
      <c r="W103" s="78"/>
    </row>
    <row r="104" spans="1:23" ht="14.1" customHeight="1" x14ac:dyDescent="0.2">
      <c r="B104" s="77" t="s">
        <v>107</v>
      </c>
      <c r="C104" s="77"/>
      <c r="D104" s="77"/>
      <c r="E104" s="51"/>
      <c r="F104" s="51"/>
      <c r="G104" s="51"/>
      <c r="H104" s="51"/>
      <c r="I104" s="51"/>
      <c r="J104" s="51"/>
      <c r="K104" s="51"/>
      <c r="L104" s="51"/>
      <c r="M104" s="51"/>
      <c r="N104" s="51"/>
      <c r="O104" s="51"/>
      <c r="P104" s="51"/>
      <c r="Q104" s="51"/>
      <c r="R104" s="51"/>
      <c r="S104" s="51"/>
      <c r="T104" s="51"/>
      <c r="U104" s="51"/>
      <c r="V104" s="51"/>
      <c r="W104" s="51"/>
    </row>
    <row r="105" spans="1:23" ht="14.1" customHeight="1" x14ac:dyDescent="0.2">
      <c r="B105" s="77" t="s">
        <v>70</v>
      </c>
      <c r="C105" s="51"/>
      <c r="D105" s="51"/>
      <c r="E105" s="51"/>
      <c r="F105" s="51"/>
      <c r="G105" s="51"/>
      <c r="H105" s="51"/>
      <c r="I105" s="51"/>
      <c r="J105" s="51"/>
      <c r="K105" s="51"/>
      <c r="L105" s="51"/>
      <c r="M105" s="51"/>
      <c r="N105" s="51"/>
      <c r="O105" s="51"/>
      <c r="P105" s="51"/>
      <c r="Q105" s="51"/>
      <c r="R105" s="51"/>
      <c r="S105" s="51"/>
      <c r="T105" s="51"/>
      <c r="U105" s="51"/>
      <c r="V105" s="51"/>
      <c r="W105" s="51"/>
    </row>
    <row r="106" spans="1:23" ht="14.1" customHeight="1" x14ac:dyDescent="0.2">
      <c r="B106" s="77" t="s">
        <v>64</v>
      </c>
      <c r="C106" s="51"/>
      <c r="D106" s="51"/>
      <c r="E106" s="87"/>
      <c r="F106" s="87"/>
      <c r="G106" s="87"/>
      <c r="H106" s="87"/>
      <c r="I106" s="87"/>
      <c r="J106" s="87"/>
      <c r="K106" s="87"/>
      <c r="L106" s="87"/>
      <c r="M106" s="87"/>
      <c r="N106" s="87"/>
      <c r="O106" s="87"/>
      <c r="P106" s="87"/>
      <c r="Q106" s="87"/>
      <c r="R106" s="87"/>
      <c r="S106" s="87"/>
      <c r="T106" s="87"/>
      <c r="U106" s="87"/>
      <c r="V106" s="87"/>
      <c r="W106" s="87"/>
    </row>
    <row r="107" spans="1:23" x14ac:dyDescent="0.2">
      <c r="B107" s="77" t="s">
        <v>65</v>
      </c>
      <c r="C107" s="87"/>
      <c r="D107" s="87"/>
      <c r="E107" s="88"/>
      <c r="F107" s="88"/>
      <c r="G107" s="88"/>
      <c r="H107" s="88"/>
      <c r="I107" s="88"/>
      <c r="J107" s="88"/>
      <c r="K107" s="88"/>
      <c r="L107" s="88"/>
      <c r="M107" s="88"/>
      <c r="N107" s="88"/>
      <c r="O107" s="88"/>
      <c r="P107" s="88"/>
      <c r="Q107" s="88"/>
      <c r="R107" s="88"/>
      <c r="S107" s="88"/>
      <c r="T107" s="88"/>
      <c r="U107" s="88"/>
      <c r="V107" s="88"/>
      <c r="W107" s="88"/>
    </row>
    <row r="108" spans="1:23" x14ac:dyDescent="0.2">
      <c r="B108" s="88"/>
      <c r="C108" s="88"/>
      <c r="D108" s="88"/>
      <c r="E108" s="88"/>
      <c r="F108" s="88"/>
      <c r="G108" s="88"/>
      <c r="H108" s="88"/>
      <c r="I108" s="88"/>
      <c r="J108" s="88"/>
      <c r="K108" s="88"/>
      <c r="L108" s="88"/>
      <c r="M108" s="88"/>
      <c r="N108" s="88"/>
      <c r="O108" s="88"/>
      <c r="P108" s="88"/>
      <c r="Q108" s="88"/>
      <c r="R108" s="88"/>
      <c r="S108" s="88"/>
      <c r="T108" s="88"/>
      <c r="U108" s="88"/>
      <c r="V108" s="88"/>
      <c r="W108" s="88"/>
    </row>
    <row r="109" spans="1:23" x14ac:dyDescent="0.2">
      <c r="B109" s="88"/>
      <c r="C109" s="88"/>
      <c r="D109" s="88"/>
      <c r="E109" s="88"/>
      <c r="F109" s="88"/>
      <c r="G109" s="88"/>
      <c r="H109" s="88"/>
      <c r="I109" s="88"/>
      <c r="J109" s="88"/>
      <c r="K109" s="88"/>
      <c r="L109" s="88"/>
      <c r="M109" s="88"/>
      <c r="N109" s="88"/>
      <c r="O109" s="88"/>
      <c r="P109" s="88"/>
      <c r="Q109" s="88"/>
      <c r="R109" s="88"/>
      <c r="S109" s="88"/>
      <c r="T109" s="88"/>
      <c r="U109" s="88"/>
      <c r="V109" s="88"/>
      <c r="W109" s="88"/>
    </row>
    <row r="110" spans="1:23" x14ac:dyDescent="0.2">
      <c r="B110" s="88"/>
      <c r="C110" s="88"/>
      <c r="D110" s="88"/>
      <c r="E110" s="88"/>
      <c r="F110" s="88"/>
      <c r="G110" s="88"/>
      <c r="H110" s="88"/>
      <c r="I110" s="88"/>
      <c r="J110" s="88"/>
      <c r="K110" s="88"/>
      <c r="L110" s="88"/>
      <c r="M110" s="88"/>
      <c r="N110" s="88"/>
      <c r="O110" s="88"/>
      <c r="P110" s="88"/>
      <c r="Q110" s="88"/>
      <c r="R110" s="88"/>
      <c r="S110" s="88"/>
      <c r="T110" s="88"/>
      <c r="U110" s="88"/>
      <c r="V110" s="88"/>
      <c r="W110" s="88"/>
    </row>
    <row r="111" spans="1:23" x14ac:dyDescent="0.2">
      <c r="B111" s="88"/>
      <c r="C111" s="88"/>
      <c r="D111" s="88"/>
      <c r="E111" s="88"/>
      <c r="F111" s="88"/>
      <c r="G111" s="88"/>
      <c r="H111" s="88"/>
      <c r="I111" s="88"/>
      <c r="J111" s="88"/>
      <c r="K111" s="88"/>
      <c r="L111" s="88"/>
      <c r="M111" s="88"/>
      <c r="N111" s="88"/>
      <c r="O111" s="88"/>
      <c r="P111" s="88"/>
      <c r="Q111" s="88"/>
      <c r="R111" s="88"/>
      <c r="S111" s="88"/>
      <c r="T111" s="88"/>
      <c r="U111" s="88"/>
      <c r="V111" s="88"/>
      <c r="W111" s="88"/>
    </row>
    <row r="112" spans="1:23" x14ac:dyDescent="0.2">
      <c r="B112" s="88"/>
      <c r="C112" s="88"/>
      <c r="D112" s="88"/>
      <c r="E112" s="88"/>
      <c r="F112" s="88"/>
      <c r="G112" s="88"/>
      <c r="H112" s="88"/>
      <c r="I112" s="88"/>
      <c r="J112" s="88"/>
      <c r="K112" s="88"/>
      <c r="L112" s="88"/>
      <c r="M112" s="88"/>
      <c r="N112" s="88"/>
      <c r="O112" s="88"/>
      <c r="P112" s="88"/>
      <c r="Q112" s="88"/>
      <c r="R112" s="88"/>
      <c r="S112" s="88"/>
      <c r="T112" s="88"/>
      <c r="U112" s="88"/>
      <c r="V112" s="88"/>
      <c r="W112" s="88"/>
    </row>
    <row r="113" spans="2:23" x14ac:dyDescent="0.2">
      <c r="B113" s="88"/>
      <c r="C113" s="88"/>
      <c r="D113" s="88"/>
      <c r="E113" s="88"/>
      <c r="F113" s="88"/>
      <c r="G113" s="88"/>
      <c r="H113" s="88"/>
      <c r="I113" s="88"/>
      <c r="J113" s="88"/>
      <c r="K113" s="88"/>
      <c r="L113" s="88"/>
      <c r="M113" s="88"/>
      <c r="N113" s="88"/>
      <c r="O113" s="88"/>
      <c r="P113" s="88"/>
      <c r="Q113" s="88"/>
      <c r="R113" s="88"/>
      <c r="S113" s="88"/>
      <c r="T113" s="88"/>
      <c r="U113" s="88"/>
      <c r="V113" s="88"/>
      <c r="W113" s="88"/>
    </row>
    <row r="114" spans="2:23" x14ac:dyDescent="0.2">
      <c r="B114" s="88"/>
      <c r="C114" s="88"/>
      <c r="D114" s="88"/>
      <c r="E114" s="88"/>
      <c r="F114" s="88"/>
      <c r="G114" s="88"/>
      <c r="H114" s="88"/>
      <c r="I114" s="88"/>
      <c r="J114" s="88"/>
      <c r="K114" s="88"/>
      <c r="L114" s="88"/>
      <c r="M114" s="88"/>
      <c r="N114" s="88"/>
      <c r="O114" s="88"/>
      <c r="P114" s="88"/>
      <c r="Q114" s="88"/>
      <c r="R114" s="88"/>
      <c r="S114" s="88"/>
      <c r="T114" s="88"/>
      <c r="U114" s="88"/>
      <c r="V114" s="88"/>
      <c r="W114" s="88"/>
    </row>
    <row r="115" spans="2:23" x14ac:dyDescent="0.2">
      <c r="B115" s="88"/>
      <c r="C115" s="88"/>
      <c r="D115" s="88"/>
      <c r="E115" s="88"/>
      <c r="F115" s="88"/>
      <c r="G115" s="88"/>
      <c r="H115" s="88"/>
      <c r="I115" s="88"/>
      <c r="J115" s="88"/>
      <c r="K115" s="88"/>
      <c r="L115" s="88"/>
      <c r="M115" s="88"/>
      <c r="N115" s="88"/>
      <c r="O115" s="88"/>
      <c r="P115" s="88"/>
      <c r="Q115" s="88"/>
      <c r="R115" s="88"/>
      <c r="S115" s="88"/>
      <c r="T115" s="88"/>
      <c r="U115" s="88"/>
      <c r="V115" s="88"/>
      <c r="W115" s="88"/>
    </row>
    <row r="116" spans="2:23" x14ac:dyDescent="0.2">
      <c r="B116" s="88"/>
      <c r="C116" s="88"/>
      <c r="D116" s="88"/>
      <c r="E116" s="88"/>
      <c r="F116" s="88"/>
      <c r="G116" s="88"/>
      <c r="H116" s="88"/>
      <c r="I116" s="88"/>
      <c r="J116" s="88"/>
      <c r="K116" s="88"/>
      <c r="L116" s="88"/>
      <c r="M116" s="88"/>
      <c r="N116" s="88"/>
      <c r="O116" s="88"/>
      <c r="P116" s="88"/>
      <c r="Q116" s="88"/>
      <c r="R116" s="88"/>
      <c r="S116" s="88"/>
      <c r="T116" s="88"/>
      <c r="U116" s="88"/>
      <c r="V116" s="88"/>
      <c r="W116" s="88"/>
    </row>
    <row r="117" spans="2:23" x14ac:dyDescent="0.2">
      <c r="B117" s="88"/>
      <c r="C117" s="88"/>
      <c r="D117" s="88"/>
      <c r="E117" s="88"/>
      <c r="F117" s="88"/>
      <c r="G117" s="88"/>
      <c r="H117" s="88"/>
      <c r="I117" s="88"/>
      <c r="J117" s="88"/>
      <c r="K117" s="88"/>
      <c r="L117" s="88"/>
      <c r="M117" s="88"/>
      <c r="N117" s="88"/>
      <c r="O117" s="88"/>
      <c r="P117" s="88"/>
      <c r="Q117" s="88"/>
      <c r="R117" s="88"/>
      <c r="S117" s="88"/>
      <c r="T117" s="88"/>
      <c r="U117" s="88"/>
      <c r="V117" s="88"/>
      <c r="W117" s="88"/>
    </row>
    <row r="118" spans="2:23" x14ac:dyDescent="0.2">
      <c r="B118" s="88"/>
      <c r="C118" s="88"/>
      <c r="D118" s="88"/>
      <c r="E118" s="88"/>
      <c r="F118" s="88"/>
      <c r="G118" s="88"/>
      <c r="H118" s="88"/>
      <c r="I118" s="88"/>
      <c r="J118" s="88"/>
      <c r="K118" s="88"/>
      <c r="L118" s="88"/>
      <c r="M118" s="88"/>
      <c r="N118" s="88"/>
      <c r="O118" s="88"/>
      <c r="P118" s="88"/>
      <c r="Q118" s="88"/>
      <c r="R118" s="88"/>
      <c r="S118" s="88"/>
      <c r="T118" s="88"/>
      <c r="U118" s="88"/>
      <c r="V118" s="88"/>
      <c r="W118" s="88"/>
    </row>
    <row r="119" spans="2:23" x14ac:dyDescent="0.2">
      <c r="B119" s="88"/>
      <c r="C119" s="88"/>
      <c r="D119" s="88"/>
      <c r="E119" s="88"/>
      <c r="F119" s="88"/>
      <c r="G119" s="88"/>
      <c r="H119" s="88"/>
      <c r="I119" s="88"/>
      <c r="J119" s="88"/>
      <c r="K119" s="88"/>
      <c r="L119" s="88"/>
      <c r="M119" s="88"/>
      <c r="N119" s="88"/>
      <c r="O119" s="88"/>
      <c r="P119" s="88"/>
      <c r="Q119" s="88"/>
      <c r="R119" s="88"/>
      <c r="S119" s="88"/>
      <c r="T119" s="88"/>
      <c r="U119" s="88"/>
      <c r="V119" s="88"/>
      <c r="W119" s="88"/>
    </row>
    <row r="120" spans="2:23" x14ac:dyDescent="0.2">
      <c r="B120" s="88"/>
      <c r="C120" s="88"/>
      <c r="D120" s="88"/>
      <c r="E120" s="88"/>
      <c r="F120" s="88"/>
      <c r="G120" s="88"/>
      <c r="H120" s="88"/>
      <c r="I120" s="88"/>
      <c r="J120" s="88"/>
      <c r="K120" s="88"/>
      <c r="L120" s="88"/>
      <c r="M120" s="88"/>
      <c r="N120" s="88"/>
      <c r="O120" s="88"/>
      <c r="P120" s="88"/>
      <c r="Q120" s="88"/>
      <c r="R120" s="88"/>
      <c r="S120" s="88"/>
      <c r="T120" s="88"/>
      <c r="U120" s="88"/>
      <c r="V120" s="88"/>
      <c r="W120" s="88"/>
    </row>
    <row r="121" spans="2:23" x14ac:dyDescent="0.2">
      <c r="B121" s="88"/>
      <c r="C121" s="88"/>
      <c r="D121" s="88"/>
      <c r="E121" s="88"/>
      <c r="F121" s="88"/>
      <c r="G121" s="88"/>
      <c r="H121" s="88"/>
      <c r="I121" s="88"/>
      <c r="J121" s="88"/>
      <c r="K121" s="88"/>
      <c r="L121" s="88"/>
      <c r="M121" s="88"/>
      <c r="N121" s="88"/>
      <c r="O121" s="88"/>
      <c r="P121" s="88"/>
      <c r="Q121" s="88"/>
      <c r="R121" s="88"/>
      <c r="S121" s="88"/>
      <c r="T121" s="88"/>
      <c r="U121" s="88"/>
      <c r="V121" s="88"/>
      <c r="W121" s="88"/>
    </row>
    <row r="122" spans="2:23" x14ac:dyDescent="0.2">
      <c r="B122" s="88"/>
      <c r="C122" s="88"/>
      <c r="D122" s="88"/>
      <c r="E122" s="88"/>
      <c r="F122" s="88"/>
      <c r="G122" s="88"/>
      <c r="H122" s="88"/>
      <c r="I122" s="88"/>
      <c r="J122" s="88"/>
      <c r="K122" s="88"/>
      <c r="L122" s="88"/>
      <c r="M122" s="88"/>
      <c r="N122" s="88"/>
      <c r="O122" s="88"/>
      <c r="P122" s="88"/>
      <c r="Q122" s="88"/>
      <c r="R122" s="88"/>
      <c r="S122" s="88"/>
      <c r="T122" s="88"/>
      <c r="U122" s="88"/>
      <c r="V122" s="88"/>
      <c r="W122" s="88"/>
    </row>
    <row r="123" spans="2:23" x14ac:dyDescent="0.2">
      <c r="B123" s="88"/>
      <c r="C123" s="88"/>
      <c r="D123" s="88"/>
      <c r="E123" s="88"/>
      <c r="F123" s="88"/>
      <c r="G123" s="88"/>
      <c r="H123" s="88"/>
      <c r="I123" s="88"/>
      <c r="J123" s="88"/>
      <c r="K123" s="88"/>
      <c r="L123" s="88"/>
      <c r="M123" s="88"/>
      <c r="N123" s="88"/>
      <c r="O123" s="88"/>
      <c r="P123" s="88"/>
      <c r="Q123" s="88"/>
      <c r="R123" s="88"/>
      <c r="S123" s="88"/>
      <c r="T123" s="88"/>
      <c r="U123" s="88"/>
      <c r="V123" s="88"/>
      <c r="W123" s="88"/>
    </row>
    <row r="124" spans="2:23" x14ac:dyDescent="0.2">
      <c r="B124" s="88"/>
      <c r="C124" s="88"/>
      <c r="D124" s="88"/>
      <c r="E124" s="88"/>
      <c r="F124" s="88"/>
      <c r="G124" s="88"/>
      <c r="H124" s="88"/>
      <c r="I124" s="88"/>
      <c r="J124" s="88"/>
      <c r="K124" s="88"/>
      <c r="L124" s="88"/>
      <c r="M124" s="88"/>
      <c r="N124" s="88"/>
      <c r="O124" s="88"/>
      <c r="P124" s="88"/>
      <c r="Q124" s="88"/>
      <c r="R124" s="88"/>
      <c r="S124" s="88"/>
      <c r="T124" s="88"/>
      <c r="U124" s="88"/>
      <c r="V124" s="88"/>
      <c r="W124" s="88"/>
    </row>
    <row r="125" spans="2:23" x14ac:dyDescent="0.2">
      <c r="B125" s="88"/>
      <c r="C125" s="88"/>
      <c r="D125" s="88"/>
      <c r="E125" s="88"/>
      <c r="F125" s="88"/>
      <c r="G125" s="88"/>
      <c r="H125" s="88"/>
      <c r="I125" s="88"/>
      <c r="J125" s="88"/>
      <c r="K125" s="88"/>
      <c r="L125" s="88"/>
      <c r="M125" s="88"/>
      <c r="N125" s="88"/>
      <c r="O125" s="88"/>
      <c r="P125" s="88"/>
      <c r="Q125" s="88"/>
      <c r="R125" s="88"/>
      <c r="S125" s="88"/>
      <c r="T125" s="88"/>
      <c r="U125" s="88"/>
      <c r="V125" s="88"/>
      <c r="W125" s="88"/>
    </row>
    <row r="126" spans="2:23" x14ac:dyDescent="0.2">
      <c r="B126" s="88"/>
      <c r="C126" s="88"/>
      <c r="D126" s="88"/>
      <c r="E126" s="88"/>
      <c r="F126" s="88"/>
      <c r="G126" s="88"/>
      <c r="H126" s="88"/>
      <c r="I126" s="88"/>
      <c r="J126" s="88"/>
      <c r="K126" s="88"/>
      <c r="L126" s="88"/>
      <c r="M126" s="88"/>
      <c r="N126" s="88"/>
      <c r="O126" s="88"/>
      <c r="P126" s="88"/>
      <c r="Q126" s="88"/>
      <c r="R126" s="88"/>
      <c r="S126" s="88"/>
      <c r="T126" s="88"/>
      <c r="U126" s="88"/>
      <c r="V126" s="88"/>
      <c r="W126" s="88"/>
    </row>
    <row r="127" spans="2:23" x14ac:dyDescent="0.2">
      <c r="B127" s="88"/>
      <c r="C127" s="88"/>
      <c r="D127" s="88"/>
      <c r="E127" s="88"/>
      <c r="F127" s="88"/>
      <c r="G127" s="88"/>
      <c r="H127" s="88"/>
      <c r="I127" s="88"/>
      <c r="J127" s="88"/>
      <c r="K127" s="88"/>
      <c r="L127" s="88"/>
      <c r="M127" s="88"/>
      <c r="N127" s="88"/>
      <c r="O127" s="88"/>
      <c r="P127" s="88"/>
      <c r="Q127" s="88"/>
      <c r="R127" s="88"/>
      <c r="S127" s="88"/>
      <c r="T127" s="88"/>
      <c r="U127" s="88"/>
      <c r="V127" s="88"/>
      <c r="W127" s="88"/>
    </row>
    <row r="128" spans="2:23" x14ac:dyDescent="0.2">
      <c r="B128" s="88"/>
      <c r="C128" s="88"/>
      <c r="D128" s="88"/>
      <c r="E128" s="88"/>
      <c r="F128" s="88"/>
      <c r="G128" s="88"/>
      <c r="H128" s="88"/>
      <c r="I128" s="88"/>
      <c r="J128" s="88"/>
      <c r="K128" s="88"/>
      <c r="L128" s="88"/>
      <c r="M128" s="88"/>
      <c r="N128" s="88"/>
      <c r="O128" s="88"/>
      <c r="P128" s="88"/>
      <c r="Q128" s="88"/>
      <c r="R128" s="88"/>
      <c r="S128" s="88"/>
      <c r="T128" s="88"/>
      <c r="U128" s="88"/>
      <c r="V128" s="88"/>
      <c r="W128" s="88"/>
    </row>
    <row r="129" spans="2:23" x14ac:dyDescent="0.2">
      <c r="B129" s="88"/>
      <c r="C129" s="88"/>
      <c r="D129" s="88"/>
      <c r="E129" s="88"/>
      <c r="F129" s="88"/>
      <c r="G129" s="88"/>
      <c r="H129" s="88"/>
      <c r="I129" s="88"/>
      <c r="J129" s="88"/>
      <c r="K129" s="88"/>
      <c r="L129" s="88"/>
      <c r="M129" s="88"/>
      <c r="N129" s="88"/>
      <c r="O129" s="88"/>
      <c r="P129" s="88"/>
      <c r="Q129" s="88"/>
      <c r="R129" s="88"/>
      <c r="S129" s="88"/>
      <c r="T129" s="88"/>
      <c r="U129" s="88"/>
      <c r="V129" s="88"/>
      <c r="W129" s="88"/>
    </row>
    <row r="130" spans="2:23" x14ac:dyDescent="0.2">
      <c r="B130" s="88"/>
      <c r="C130" s="88"/>
      <c r="D130" s="88"/>
      <c r="E130" s="88"/>
      <c r="F130" s="88"/>
      <c r="G130" s="88"/>
      <c r="H130" s="88"/>
      <c r="I130" s="88"/>
      <c r="J130" s="88"/>
      <c r="K130" s="88"/>
      <c r="L130" s="88"/>
      <c r="M130" s="88"/>
      <c r="N130" s="88"/>
      <c r="O130" s="88"/>
      <c r="P130" s="88"/>
      <c r="Q130" s="88"/>
      <c r="R130" s="88"/>
      <c r="S130" s="88"/>
      <c r="T130" s="88"/>
      <c r="U130" s="88"/>
      <c r="V130" s="88"/>
      <c r="W130" s="88"/>
    </row>
    <row r="131" spans="2:23" x14ac:dyDescent="0.2">
      <c r="B131" s="88"/>
      <c r="C131" s="88"/>
      <c r="D131" s="88"/>
      <c r="E131" s="88"/>
      <c r="F131" s="88"/>
      <c r="G131" s="88"/>
      <c r="H131" s="88"/>
      <c r="I131" s="88"/>
      <c r="J131" s="88"/>
      <c r="K131" s="88"/>
      <c r="L131" s="88"/>
      <c r="M131" s="88"/>
      <c r="N131" s="88"/>
      <c r="O131" s="88"/>
      <c r="P131" s="88"/>
      <c r="Q131" s="88"/>
      <c r="R131" s="88"/>
      <c r="S131" s="88"/>
      <c r="T131" s="88"/>
      <c r="U131" s="88"/>
      <c r="V131" s="88"/>
      <c r="W131" s="88"/>
    </row>
    <row r="132" spans="2:23" x14ac:dyDescent="0.2">
      <c r="B132" s="88"/>
      <c r="C132" s="88"/>
      <c r="D132" s="88"/>
      <c r="E132" s="88"/>
      <c r="F132" s="88"/>
      <c r="G132" s="88"/>
      <c r="H132" s="88"/>
      <c r="I132" s="88"/>
      <c r="J132" s="88"/>
      <c r="K132" s="88"/>
      <c r="L132" s="88"/>
      <c r="M132" s="88"/>
      <c r="N132" s="88"/>
      <c r="O132" s="88"/>
      <c r="P132" s="88"/>
      <c r="Q132" s="88"/>
      <c r="R132" s="88"/>
      <c r="S132" s="88"/>
      <c r="T132" s="88"/>
      <c r="U132" s="88"/>
      <c r="V132" s="88"/>
      <c r="W132" s="88"/>
    </row>
    <row r="133" spans="2:23" x14ac:dyDescent="0.2">
      <c r="B133" s="88"/>
      <c r="C133" s="88"/>
      <c r="D133" s="88"/>
      <c r="E133" s="88"/>
      <c r="F133" s="88"/>
      <c r="G133" s="88"/>
      <c r="H133" s="88"/>
      <c r="I133" s="88"/>
      <c r="J133" s="88"/>
      <c r="K133" s="88"/>
      <c r="L133" s="88"/>
      <c r="M133" s="88"/>
      <c r="N133" s="88"/>
      <c r="O133" s="88"/>
      <c r="P133" s="88"/>
      <c r="Q133" s="88"/>
      <c r="R133" s="88"/>
      <c r="S133" s="88"/>
      <c r="T133" s="88"/>
      <c r="U133" s="88"/>
      <c r="V133" s="88"/>
      <c r="W133" s="88"/>
    </row>
    <row r="134" spans="2:23" x14ac:dyDescent="0.2">
      <c r="B134" s="88"/>
      <c r="C134" s="88"/>
      <c r="D134" s="88"/>
      <c r="E134" s="88"/>
      <c r="F134" s="88"/>
      <c r="G134" s="88"/>
      <c r="H134" s="88"/>
      <c r="I134" s="88"/>
      <c r="J134" s="88"/>
      <c r="K134" s="88"/>
      <c r="L134" s="88"/>
      <c r="M134" s="88"/>
      <c r="N134" s="88"/>
      <c r="O134" s="88"/>
      <c r="P134" s="88"/>
      <c r="Q134" s="88"/>
      <c r="R134" s="88"/>
      <c r="S134" s="88"/>
      <c r="T134" s="88"/>
      <c r="U134" s="88"/>
      <c r="V134" s="88"/>
      <c r="W134" s="88"/>
    </row>
    <row r="135" spans="2:23" x14ac:dyDescent="0.2">
      <c r="B135" s="88"/>
      <c r="C135" s="88"/>
      <c r="D135" s="88"/>
      <c r="E135" s="88"/>
      <c r="F135" s="88"/>
      <c r="G135" s="88"/>
      <c r="H135" s="88"/>
      <c r="I135" s="88"/>
      <c r="J135" s="88"/>
      <c r="K135" s="88"/>
      <c r="L135" s="88"/>
      <c r="M135" s="88"/>
      <c r="N135" s="88"/>
      <c r="O135" s="88"/>
      <c r="P135" s="88"/>
      <c r="Q135" s="88"/>
      <c r="R135" s="88"/>
      <c r="S135" s="88"/>
      <c r="T135" s="88"/>
      <c r="U135" s="88"/>
      <c r="V135" s="88"/>
      <c r="W135" s="88"/>
    </row>
    <row r="136" spans="2:23" x14ac:dyDescent="0.2">
      <c r="B136" s="88"/>
      <c r="C136" s="88"/>
      <c r="D136" s="88"/>
      <c r="E136" s="88"/>
      <c r="F136" s="88"/>
      <c r="G136" s="88"/>
      <c r="H136" s="88"/>
      <c r="I136" s="88"/>
      <c r="J136" s="88"/>
      <c r="K136" s="88"/>
      <c r="L136" s="88"/>
      <c r="M136" s="88"/>
      <c r="N136" s="88"/>
      <c r="O136" s="88"/>
      <c r="P136" s="88"/>
      <c r="Q136" s="88"/>
      <c r="R136" s="88"/>
      <c r="S136" s="88"/>
      <c r="T136" s="88"/>
      <c r="U136" s="88"/>
      <c r="V136" s="88"/>
      <c r="W136" s="88"/>
    </row>
    <row r="137" spans="2:23" x14ac:dyDescent="0.2">
      <c r="B137" s="88"/>
      <c r="C137" s="88"/>
      <c r="D137" s="88"/>
      <c r="E137" s="88"/>
      <c r="F137" s="88"/>
      <c r="G137" s="88"/>
      <c r="H137" s="88"/>
      <c r="I137" s="88"/>
      <c r="J137" s="88"/>
      <c r="K137" s="88"/>
      <c r="L137" s="88"/>
      <c r="M137" s="88"/>
      <c r="N137" s="88"/>
      <c r="O137" s="88"/>
      <c r="P137" s="88"/>
      <c r="Q137" s="88"/>
      <c r="R137" s="88"/>
      <c r="S137" s="88"/>
      <c r="T137" s="88"/>
      <c r="U137" s="88"/>
      <c r="V137" s="88"/>
      <c r="W137" s="88"/>
    </row>
    <row r="138" spans="2:23" x14ac:dyDescent="0.2">
      <c r="B138" s="88"/>
      <c r="C138" s="88"/>
      <c r="D138" s="88"/>
      <c r="E138" s="88"/>
      <c r="F138" s="88"/>
      <c r="G138" s="88"/>
      <c r="H138" s="88"/>
      <c r="I138" s="88"/>
      <c r="J138" s="88"/>
      <c r="K138" s="88"/>
      <c r="L138" s="88"/>
      <c r="M138" s="88"/>
      <c r="N138" s="88"/>
      <c r="O138" s="88"/>
      <c r="P138" s="88"/>
      <c r="Q138" s="88"/>
      <c r="R138" s="88"/>
      <c r="S138" s="88"/>
      <c r="T138" s="88"/>
      <c r="U138" s="88"/>
      <c r="V138" s="88"/>
      <c r="W138" s="88"/>
    </row>
    <row r="139" spans="2:23" x14ac:dyDescent="0.2">
      <c r="B139" s="88"/>
      <c r="C139" s="88"/>
      <c r="D139" s="88"/>
      <c r="E139" s="88"/>
      <c r="F139" s="88"/>
      <c r="G139" s="88"/>
      <c r="H139" s="88"/>
      <c r="I139" s="88"/>
      <c r="J139" s="88"/>
      <c r="K139" s="88"/>
      <c r="L139" s="88"/>
      <c r="M139" s="88"/>
      <c r="N139" s="88"/>
      <c r="O139" s="88"/>
      <c r="P139" s="88"/>
      <c r="Q139" s="88"/>
      <c r="R139" s="88"/>
      <c r="S139" s="88"/>
      <c r="T139" s="88"/>
      <c r="U139" s="88"/>
      <c r="V139" s="88"/>
      <c r="W139" s="88"/>
    </row>
    <row r="140" spans="2:23" x14ac:dyDescent="0.2">
      <c r="B140" s="88"/>
      <c r="C140" s="88"/>
      <c r="D140" s="88"/>
      <c r="E140" s="88"/>
      <c r="F140" s="88"/>
      <c r="G140" s="88"/>
      <c r="H140" s="88"/>
      <c r="I140" s="88"/>
      <c r="J140" s="88"/>
      <c r="K140" s="88"/>
      <c r="L140" s="88"/>
      <c r="M140" s="88"/>
      <c r="N140" s="88"/>
      <c r="O140" s="88"/>
      <c r="P140" s="88"/>
      <c r="Q140" s="88"/>
      <c r="R140" s="88"/>
      <c r="S140" s="88"/>
      <c r="T140" s="88"/>
      <c r="U140" s="88"/>
      <c r="V140" s="88"/>
      <c r="W140" s="88"/>
    </row>
    <row r="141" spans="2:23" x14ac:dyDescent="0.2">
      <c r="B141" s="88"/>
      <c r="C141" s="88"/>
      <c r="D141" s="88"/>
      <c r="E141" s="88"/>
      <c r="F141" s="88"/>
      <c r="G141" s="88"/>
      <c r="H141" s="88"/>
      <c r="I141" s="88"/>
      <c r="J141" s="88"/>
      <c r="K141" s="88"/>
      <c r="L141" s="88"/>
      <c r="M141" s="88"/>
      <c r="N141" s="88"/>
      <c r="O141" s="88"/>
      <c r="P141" s="88"/>
      <c r="Q141" s="88"/>
      <c r="R141" s="88"/>
      <c r="S141" s="88"/>
      <c r="T141" s="88"/>
      <c r="U141" s="88"/>
      <c r="V141" s="88"/>
      <c r="W141" s="88"/>
    </row>
    <row r="142" spans="2:23" x14ac:dyDescent="0.2">
      <c r="B142" s="88"/>
      <c r="C142" s="88"/>
      <c r="D142" s="88"/>
      <c r="E142" s="88"/>
      <c r="F142" s="88"/>
      <c r="G142" s="88"/>
      <c r="H142" s="88"/>
      <c r="I142" s="88"/>
      <c r="J142" s="88"/>
      <c r="K142" s="88"/>
      <c r="L142" s="88"/>
      <c r="M142" s="88"/>
      <c r="N142" s="88"/>
      <c r="O142" s="88"/>
      <c r="P142" s="88"/>
      <c r="Q142" s="88"/>
      <c r="R142" s="88"/>
      <c r="S142" s="88"/>
      <c r="T142" s="88"/>
      <c r="U142" s="88"/>
      <c r="V142" s="88"/>
      <c r="W142" s="88"/>
    </row>
    <row r="143" spans="2:23" x14ac:dyDescent="0.2">
      <c r="B143" s="88"/>
      <c r="C143" s="88"/>
      <c r="D143" s="88"/>
      <c r="E143" s="88"/>
      <c r="F143" s="88"/>
      <c r="G143" s="88"/>
      <c r="H143" s="88"/>
      <c r="I143" s="88"/>
      <c r="J143" s="88"/>
      <c r="K143" s="88"/>
      <c r="L143" s="88"/>
      <c r="M143" s="88"/>
      <c r="N143" s="88"/>
      <c r="O143" s="88"/>
      <c r="P143" s="88"/>
      <c r="Q143" s="88"/>
      <c r="R143" s="88"/>
      <c r="S143" s="88"/>
      <c r="T143" s="88"/>
      <c r="U143" s="88"/>
      <c r="V143" s="88"/>
      <c r="W143" s="88"/>
    </row>
    <row r="144" spans="2:23" x14ac:dyDescent="0.2">
      <c r="B144" s="88"/>
      <c r="C144" s="88"/>
      <c r="D144" s="88"/>
      <c r="E144" s="88"/>
      <c r="F144" s="88"/>
      <c r="G144" s="88"/>
      <c r="H144" s="88"/>
      <c r="I144" s="88"/>
      <c r="J144" s="88"/>
      <c r="K144" s="88"/>
      <c r="L144" s="88"/>
      <c r="M144" s="88"/>
      <c r="N144" s="88"/>
      <c r="O144" s="88"/>
      <c r="P144" s="88"/>
      <c r="Q144" s="88"/>
      <c r="R144" s="88"/>
      <c r="S144" s="88"/>
      <c r="T144" s="88"/>
      <c r="U144" s="88"/>
      <c r="V144" s="88"/>
      <c r="W144" s="88"/>
    </row>
    <row r="145" spans="2:23" x14ac:dyDescent="0.2">
      <c r="B145" s="88"/>
      <c r="C145" s="88"/>
      <c r="D145" s="88"/>
      <c r="E145" s="88"/>
      <c r="F145" s="88"/>
      <c r="G145" s="88"/>
      <c r="H145" s="88"/>
      <c r="I145" s="88"/>
      <c r="J145" s="88"/>
      <c r="K145" s="88"/>
      <c r="L145" s="88"/>
      <c r="M145" s="88"/>
      <c r="N145" s="88"/>
      <c r="O145" s="88"/>
      <c r="P145" s="88"/>
      <c r="Q145" s="88"/>
      <c r="R145" s="88"/>
      <c r="S145" s="88"/>
      <c r="T145" s="88"/>
      <c r="U145" s="88"/>
      <c r="V145" s="88"/>
      <c r="W145" s="88"/>
    </row>
    <row r="146" spans="2:23" x14ac:dyDescent="0.2">
      <c r="B146" s="88"/>
      <c r="C146" s="88"/>
      <c r="D146" s="88"/>
      <c r="E146" s="88"/>
      <c r="F146" s="88"/>
      <c r="G146" s="88"/>
      <c r="H146" s="88"/>
      <c r="I146" s="88"/>
      <c r="J146" s="88"/>
      <c r="K146" s="88"/>
      <c r="L146" s="88"/>
      <c r="M146" s="88"/>
      <c r="N146" s="88"/>
      <c r="O146" s="88"/>
      <c r="P146" s="88"/>
      <c r="Q146" s="88"/>
      <c r="R146" s="88"/>
      <c r="S146" s="88"/>
      <c r="T146" s="88"/>
      <c r="U146" s="88"/>
      <c r="V146" s="88"/>
      <c r="W146" s="88"/>
    </row>
    <row r="147" spans="2:23" x14ac:dyDescent="0.2">
      <c r="B147" s="88"/>
      <c r="C147" s="88"/>
      <c r="D147" s="88"/>
      <c r="E147" s="88"/>
      <c r="F147" s="88"/>
      <c r="G147" s="88"/>
      <c r="H147" s="88"/>
      <c r="I147" s="88"/>
      <c r="J147" s="88"/>
      <c r="K147" s="88"/>
      <c r="L147" s="88"/>
      <c r="M147" s="88"/>
      <c r="N147" s="88"/>
      <c r="O147" s="88"/>
      <c r="P147" s="88"/>
      <c r="Q147" s="88"/>
      <c r="R147" s="88"/>
      <c r="S147" s="88"/>
      <c r="T147" s="88"/>
      <c r="U147" s="88"/>
      <c r="V147" s="88"/>
      <c r="W147" s="88"/>
    </row>
    <row r="148" spans="2:23" x14ac:dyDescent="0.2">
      <c r="B148" s="88"/>
      <c r="C148" s="88"/>
      <c r="D148" s="88"/>
      <c r="E148" s="88"/>
      <c r="F148" s="88"/>
      <c r="G148" s="88"/>
      <c r="H148" s="88"/>
      <c r="I148" s="88"/>
      <c r="J148" s="88"/>
      <c r="K148" s="88"/>
      <c r="L148" s="88"/>
      <c r="M148" s="88"/>
      <c r="N148" s="88"/>
      <c r="O148" s="88"/>
      <c r="P148" s="88"/>
      <c r="Q148" s="88"/>
      <c r="R148" s="88"/>
      <c r="S148" s="88"/>
      <c r="T148" s="88"/>
      <c r="U148" s="88"/>
      <c r="V148" s="88"/>
      <c r="W148" s="88"/>
    </row>
    <row r="149" spans="2:23" x14ac:dyDescent="0.2">
      <c r="B149" s="88"/>
      <c r="C149" s="88"/>
      <c r="D149" s="88"/>
      <c r="E149" s="88"/>
      <c r="F149" s="88"/>
      <c r="G149" s="88"/>
      <c r="H149" s="88"/>
      <c r="I149" s="88"/>
      <c r="J149" s="88"/>
      <c r="K149" s="88"/>
      <c r="L149" s="88"/>
      <c r="M149" s="88"/>
      <c r="N149" s="88"/>
      <c r="O149" s="88"/>
      <c r="P149" s="88"/>
      <c r="Q149" s="88"/>
      <c r="R149" s="88"/>
      <c r="S149" s="88"/>
      <c r="T149" s="88"/>
      <c r="U149" s="88"/>
      <c r="V149" s="88"/>
      <c r="W149" s="88"/>
    </row>
    <row r="150" spans="2:23" x14ac:dyDescent="0.2">
      <c r="B150" s="88"/>
      <c r="C150" s="88"/>
      <c r="D150" s="88"/>
      <c r="E150" s="88"/>
      <c r="F150" s="88"/>
      <c r="G150" s="88"/>
      <c r="H150" s="88"/>
      <c r="I150" s="88"/>
      <c r="J150" s="88"/>
      <c r="K150" s="88"/>
      <c r="L150" s="88"/>
      <c r="M150" s="88"/>
      <c r="N150" s="88"/>
      <c r="O150" s="88"/>
      <c r="P150" s="88"/>
      <c r="Q150" s="88"/>
      <c r="R150" s="88"/>
      <c r="S150" s="88"/>
      <c r="T150" s="88"/>
      <c r="U150" s="88"/>
      <c r="V150" s="88"/>
      <c r="W150" s="88"/>
    </row>
    <row r="151" spans="2:23" x14ac:dyDescent="0.2">
      <c r="B151" s="88"/>
      <c r="C151" s="88"/>
      <c r="D151" s="88"/>
      <c r="E151" s="88"/>
      <c r="F151" s="88"/>
      <c r="G151" s="88"/>
      <c r="H151" s="88"/>
      <c r="I151" s="88"/>
      <c r="J151" s="88"/>
      <c r="K151" s="88"/>
      <c r="L151" s="88"/>
      <c r="M151" s="88"/>
      <c r="N151" s="88"/>
      <c r="O151" s="88"/>
      <c r="P151" s="88"/>
      <c r="Q151" s="88"/>
      <c r="R151" s="88"/>
      <c r="S151" s="88"/>
      <c r="T151" s="88"/>
      <c r="U151" s="88"/>
      <c r="V151" s="88"/>
      <c r="W151" s="88"/>
    </row>
    <row r="152" spans="2:23" x14ac:dyDescent="0.2">
      <c r="B152" s="88"/>
      <c r="C152" s="88"/>
      <c r="D152" s="88"/>
      <c r="E152" s="88"/>
      <c r="F152" s="88"/>
      <c r="G152" s="88"/>
      <c r="H152" s="88"/>
      <c r="I152" s="88"/>
      <c r="J152" s="88"/>
      <c r="K152" s="88"/>
      <c r="L152" s="88"/>
      <c r="M152" s="88"/>
      <c r="N152" s="88"/>
      <c r="O152" s="88"/>
      <c r="P152" s="88"/>
      <c r="Q152" s="88"/>
      <c r="R152" s="88"/>
      <c r="S152" s="88"/>
      <c r="T152" s="88"/>
      <c r="U152" s="88"/>
      <c r="V152" s="88"/>
      <c r="W152" s="88"/>
    </row>
    <row r="153" spans="2:23" x14ac:dyDescent="0.2">
      <c r="B153" s="88"/>
      <c r="C153" s="88"/>
      <c r="D153" s="88"/>
      <c r="E153" s="88"/>
      <c r="F153" s="88"/>
      <c r="G153" s="88"/>
      <c r="H153" s="88"/>
      <c r="I153" s="88"/>
      <c r="J153" s="88"/>
      <c r="K153" s="88"/>
      <c r="L153" s="88"/>
      <c r="M153" s="88"/>
      <c r="N153" s="88"/>
      <c r="O153" s="88"/>
      <c r="P153" s="88"/>
      <c r="Q153" s="88"/>
      <c r="R153" s="88"/>
      <c r="S153" s="88"/>
      <c r="T153" s="88"/>
      <c r="U153" s="88"/>
      <c r="V153" s="88"/>
      <c r="W153" s="88"/>
    </row>
    <row r="154" spans="2:23" x14ac:dyDescent="0.2">
      <c r="B154" s="88"/>
      <c r="C154" s="88"/>
      <c r="D154" s="88"/>
      <c r="E154" s="88"/>
      <c r="F154" s="88"/>
      <c r="G154" s="88"/>
      <c r="H154" s="88"/>
      <c r="I154" s="88"/>
      <c r="J154" s="88"/>
      <c r="K154" s="88"/>
      <c r="L154" s="88"/>
      <c r="M154" s="88"/>
      <c r="N154" s="88"/>
      <c r="O154" s="88"/>
      <c r="P154" s="88"/>
      <c r="Q154" s="88"/>
      <c r="R154" s="88"/>
      <c r="S154" s="88"/>
      <c r="T154" s="88"/>
      <c r="U154" s="88"/>
      <c r="V154" s="88"/>
      <c r="W154" s="88"/>
    </row>
    <row r="155" spans="2:23" x14ac:dyDescent="0.2">
      <c r="B155" s="88"/>
      <c r="C155" s="88"/>
      <c r="D155" s="88"/>
      <c r="E155" s="88"/>
      <c r="F155" s="88"/>
      <c r="G155" s="88"/>
      <c r="H155" s="88"/>
      <c r="I155" s="88"/>
      <c r="J155" s="88"/>
      <c r="K155" s="88"/>
      <c r="L155" s="88"/>
      <c r="M155" s="88"/>
      <c r="N155" s="88"/>
      <c r="O155" s="88"/>
      <c r="P155" s="88"/>
      <c r="Q155" s="88"/>
      <c r="R155" s="88"/>
      <c r="S155" s="88"/>
      <c r="T155" s="88"/>
      <c r="U155" s="88"/>
      <c r="V155" s="88"/>
      <c r="W155" s="88"/>
    </row>
    <row r="156" spans="2:23" x14ac:dyDescent="0.2">
      <c r="B156" s="88"/>
      <c r="C156" s="88"/>
      <c r="D156" s="88"/>
      <c r="E156" s="88"/>
      <c r="F156" s="88"/>
      <c r="G156" s="88"/>
      <c r="H156" s="88"/>
      <c r="I156" s="88"/>
      <c r="J156" s="88"/>
      <c r="K156" s="88"/>
      <c r="L156" s="88"/>
      <c r="M156" s="88"/>
      <c r="N156" s="88"/>
      <c r="O156" s="88"/>
      <c r="P156" s="88"/>
      <c r="Q156" s="88"/>
      <c r="R156" s="88"/>
      <c r="S156" s="88"/>
      <c r="T156" s="88"/>
      <c r="U156" s="88"/>
      <c r="V156" s="88"/>
      <c r="W156" s="88"/>
    </row>
    <row r="157" spans="2:23" x14ac:dyDescent="0.2">
      <c r="B157" s="88"/>
      <c r="C157" s="88"/>
      <c r="D157" s="88"/>
      <c r="E157" s="88"/>
      <c r="F157" s="88"/>
      <c r="G157" s="88"/>
      <c r="H157" s="88"/>
      <c r="I157" s="88"/>
      <c r="J157" s="88"/>
      <c r="K157" s="88"/>
      <c r="L157" s="88"/>
      <c r="M157" s="88"/>
      <c r="N157" s="88"/>
      <c r="O157" s="88"/>
      <c r="P157" s="88"/>
      <c r="Q157" s="88"/>
      <c r="R157" s="88"/>
      <c r="S157" s="88"/>
      <c r="T157" s="88"/>
      <c r="U157" s="88"/>
      <c r="V157" s="88"/>
      <c r="W157" s="88"/>
    </row>
    <row r="158" spans="2:23" x14ac:dyDescent="0.2">
      <c r="B158" s="88"/>
      <c r="C158" s="88"/>
      <c r="D158" s="88"/>
      <c r="E158" s="88"/>
      <c r="F158" s="88"/>
      <c r="G158" s="88"/>
      <c r="H158" s="88"/>
      <c r="I158" s="88"/>
      <c r="J158" s="88"/>
      <c r="K158" s="88"/>
      <c r="L158" s="88"/>
      <c r="M158" s="88"/>
      <c r="N158" s="88"/>
      <c r="O158" s="88"/>
      <c r="P158" s="88"/>
      <c r="Q158" s="88"/>
      <c r="R158" s="88"/>
      <c r="S158" s="88"/>
      <c r="T158" s="88"/>
      <c r="U158" s="88"/>
      <c r="V158" s="88"/>
      <c r="W158" s="88"/>
    </row>
    <row r="159" spans="2:23" x14ac:dyDescent="0.2">
      <c r="B159" s="88"/>
      <c r="C159" s="88"/>
      <c r="D159" s="88"/>
      <c r="E159" s="88"/>
      <c r="F159" s="88"/>
      <c r="G159" s="88"/>
      <c r="H159" s="88"/>
      <c r="I159" s="88"/>
      <c r="J159" s="88"/>
      <c r="K159" s="88"/>
      <c r="L159" s="88"/>
      <c r="M159" s="88"/>
      <c r="N159" s="88"/>
      <c r="O159" s="88"/>
      <c r="P159" s="88"/>
      <c r="Q159" s="88"/>
      <c r="R159" s="88"/>
      <c r="S159" s="88"/>
      <c r="T159" s="88"/>
      <c r="U159" s="88"/>
      <c r="V159" s="88"/>
      <c r="W159" s="88"/>
    </row>
    <row r="160" spans="2:23" x14ac:dyDescent="0.2">
      <c r="B160" s="88"/>
      <c r="C160" s="88"/>
      <c r="D160" s="88"/>
      <c r="E160" s="88"/>
      <c r="F160" s="88"/>
      <c r="G160" s="88"/>
      <c r="H160" s="88"/>
      <c r="I160" s="88"/>
      <c r="J160" s="88"/>
      <c r="K160" s="88"/>
      <c r="L160" s="88"/>
      <c r="M160" s="88"/>
      <c r="N160" s="88"/>
      <c r="O160" s="88"/>
      <c r="P160" s="88"/>
      <c r="Q160" s="88"/>
      <c r="R160" s="88"/>
      <c r="S160" s="88"/>
      <c r="T160" s="88"/>
      <c r="U160" s="88"/>
      <c r="V160" s="88"/>
      <c r="W160" s="88"/>
    </row>
    <row r="161" spans="2:26" x14ac:dyDescent="0.2">
      <c r="B161" s="88"/>
      <c r="C161" s="88"/>
      <c r="D161" s="88"/>
      <c r="E161" s="88"/>
      <c r="F161" s="88"/>
      <c r="G161" s="88"/>
      <c r="H161" s="88"/>
      <c r="I161" s="88"/>
      <c r="J161" s="88"/>
      <c r="K161" s="88"/>
      <c r="L161" s="88"/>
      <c r="M161" s="88"/>
      <c r="N161" s="88"/>
      <c r="O161" s="88"/>
      <c r="P161" s="88"/>
      <c r="Q161" s="88"/>
      <c r="R161" s="88"/>
      <c r="S161" s="88"/>
      <c r="T161" s="88"/>
      <c r="U161" s="88"/>
      <c r="V161" s="88"/>
      <c r="W161" s="88"/>
    </row>
    <row r="162" spans="2:26" x14ac:dyDescent="0.2">
      <c r="B162" s="88"/>
      <c r="C162" s="88"/>
      <c r="D162" s="88"/>
      <c r="E162" s="88"/>
      <c r="F162" s="88"/>
      <c r="G162" s="88"/>
      <c r="H162" s="88"/>
      <c r="I162" s="88"/>
      <c r="J162" s="88"/>
      <c r="K162" s="88"/>
      <c r="L162" s="88"/>
      <c r="M162" s="88"/>
      <c r="N162" s="88"/>
      <c r="O162" s="88"/>
      <c r="P162" s="88"/>
      <c r="Q162" s="88"/>
      <c r="R162" s="88"/>
      <c r="S162" s="88"/>
      <c r="T162" s="88"/>
      <c r="U162" s="88"/>
      <c r="V162" s="88"/>
      <c r="W162" s="88"/>
    </row>
    <row r="163" spans="2:26" x14ac:dyDescent="0.2">
      <c r="B163" s="88"/>
      <c r="C163" s="88"/>
      <c r="D163" s="88"/>
      <c r="E163" s="88"/>
      <c r="F163" s="88"/>
      <c r="G163" s="88"/>
      <c r="H163" s="88"/>
      <c r="I163" s="88"/>
      <c r="J163" s="88"/>
      <c r="K163" s="88"/>
      <c r="L163" s="88"/>
      <c r="M163" s="88"/>
      <c r="N163" s="88"/>
      <c r="O163" s="88"/>
      <c r="P163" s="88"/>
      <c r="Q163" s="88"/>
      <c r="R163" s="88"/>
      <c r="S163" s="88"/>
      <c r="T163" s="88"/>
      <c r="U163" s="88"/>
      <c r="V163" s="88"/>
      <c r="W163" s="88"/>
    </row>
    <row r="164" spans="2:26" x14ac:dyDescent="0.2">
      <c r="B164" s="88"/>
      <c r="C164" s="88"/>
      <c r="D164" s="88"/>
      <c r="E164" s="88"/>
      <c r="F164" s="88"/>
      <c r="G164" s="88"/>
      <c r="H164" s="88"/>
      <c r="I164" s="88"/>
      <c r="J164" s="88"/>
      <c r="K164" s="88"/>
      <c r="L164" s="88"/>
      <c r="M164" s="88"/>
      <c r="N164" s="88"/>
      <c r="O164" s="88"/>
      <c r="P164" s="88"/>
      <c r="Q164" s="88"/>
      <c r="R164" s="88"/>
      <c r="S164" s="88"/>
      <c r="T164" s="88"/>
      <c r="U164" s="88"/>
      <c r="V164" s="88"/>
      <c r="W164" s="88"/>
    </row>
    <row r="165" spans="2:26" x14ac:dyDescent="0.2">
      <c r="B165" s="88"/>
      <c r="C165" s="88"/>
      <c r="D165" s="88"/>
      <c r="E165" s="88"/>
      <c r="F165" s="88"/>
      <c r="G165" s="88"/>
      <c r="H165" s="88"/>
      <c r="I165" s="88"/>
      <c r="J165" s="88"/>
      <c r="K165" s="88"/>
      <c r="L165" s="88"/>
      <c r="M165" s="88"/>
      <c r="N165" s="88"/>
      <c r="O165" s="88"/>
      <c r="P165" s="88"/>
      <c r="Q165" s="88"/>
      <c r="R165" s="88"/>
      <c r="S165" s="88"/>
      <c r="T165" s="88"/>
      <c r="U165" s="88"/>
      <c r="V165" s="88"/>
      <c r="W165" s="88"/>
    </row>
    <row r="166" spans="2:26" x14ac:dyDescent="0.2">
      <c r="B166" s="88"/>
      <c r="C166" s="88"/>
      <c r="D166" s="88"/>
      <c r="E166" s="88"/>
      <c r="F166" s="88"/>
      <c r="G166" s="88"/>
      <c r="H166" s="88"/>
      <c r="I166" s="88"/>
      <c r="J166" s="88"/>
      <c r="K166" s="88"/>
      <c r="L166" s="88"/>
      <c r="M166" s="88"/>
      <c r="N166" s="88"/>
      <c r="O166" s="88"/>
      <c r="P166" s="88"/>
      <c r="Q166" s="88"/>
      <c r="R166" s="88"/>
      <c r="S166" s="88"/>
      <c r="T166" s="88"/>
      <c r="U166" s="88"/>
      <c r="V166" s="88"/>
      <c r="W166" s="88"/>
    </row>
    <row r="167" spans="2:26" x14ac:dyDescent="0.2">
      <c r="B167" s="88"/>
      <c r="C167" s="88"/>
      <c r="D167" s="88"/>
    </row>
    <row r="176" spans="2:26" x14ac:dyDescent="0.2">
      <c r="X176" s="73"/>
      <c r="Y176" s="89"/>
      <c r="Z176" s="73"/>
    </row>
    <row r="177" spans="25:30" x14ac:dyDescent="0.2">
      <c r="Y177" s="59"/>
    </row>
    <row r="178" spans="25:30" x14ac:dyDescent="0.2">
      <c r="Y178" s="59"/>
      <c r="AD178" s="58"/>
    </row>
    <row r="179" spans="25:30" x14ac:dyDescent="0.2">
      <c r="Y179" s="59"/>
      <c r="Z179" s="58"/>
      <c r="AA179" s="58"/>
      <c r="AB179" s="58"/>
      <c r="AC179" s="58"/>
      <c r="AD179" s="58"/>
    </row>
    <row r="180" spans="25:30" x14ac:dyDescent="0.2">
      <c r="Y180" s="59"/>
      <c r="Z180" s="58"/>
      <c r="AA180" s="58"/>
      <c r="AB180" s="58"/>
      <c r="AC180" s="58"/>
      <c r="AD180" s="58"/>
    </row>
    <row r="181" spans="25:30" x14ac:dyDescent="0.2">
      <c r="Y181" s="59"/>
      <c r="Z181" s="58"/>
      <c r="AA181" s="58"/>
      <c r="AB181" s="58"/>
      <c r="AC181" s="58"/>
      <c r="AD181" s="58"/>
    </row>
    <row r="182" spans="25:30" x14ac:dyDescent="0.2">
      <c r="Y182" s="59"/>
      <c r="Z182" s="58"/>
      <c r="AA182" s="58"/>
      <c r="AB182" s="58"/>
      <c r="AC182" s="58"/>
      <c r="AD182" s="58"/>
    </row>
    <row r="183" spans="25:30" x14ac:dyDescent="0.2">
      <c r="Y183" s="59"/>
      <c r="Z183" s="58"/>
      <c r="AA183" s="58"/>
      <c r="AB183" s="58"/>
      <c r="AC183" s="58"/>
      <c r="AD183" s="58"/>
    </row>
    <row r="184" spans="25:30" x14ac:dyDescent="0.2">
      <c r="Y184" s="59"/>
      <c r="Z184" s="58"/>
      <c r="AA184" s="58"/>
      <c r="AB184" s="58"/>
      <c r="AC184" s="58"/>
      <c r="AD184" s="58"/>
    </row>
    <row r="185" spans="25:30" x14ac:dyDescent="0.2">
      <c r="Y185" s="59"/>
      <c r="Z185" s="58"/>
      <c r="AA185" s="58"/>
      <c r="AB185" s="58"/>
      <c r="AC185" s="58"/>
    </row>
    <row r="186" spans="25:30" x14ac:dyDescent="0.2">
      <c r="Z186" s="58"/>
    </row>
    <row r="187" spans="25:30" x14ac:dyDescent="0.2">
      <c r="Z187" s="58"/>
    </row>
    <row r="188" spans="25:30" x14ac:dyDescent="0.2">
      <c r="Z188" s="58"/>
    </row>
    <row r="189" spans="25:30" x14ac:dyDescent="0.2">
      <c r="Z189" s="58"/>
    </row>
    <row r="190" spans="25:30" x14ac:dyDescent="0.2">
      <c r="Z190" s="58"/>
    </row>
    <row r="204" spans="23:23" x14ac:dyDescent="0.2">
      <c r="W204" s="90"/>
    </row>
    <row r="205" spans="23:23" x14ac:dyDescent="0.2">
      <c r="W205" s="91"/>
    </row>
    <row r="206" spans="23:23" x14ac:dyDescent="0.2">
      <c r="W206" s="90"/>
    </row>
    <row r="207" spans="23:23" x14ac:dyDescent="0.2">
      <c r="W207" s="90"/>
    </row>
    <row r="208" spans="23:23" x14ac:dyDescent="0.2">
      <c r="W208" s="90"/>
    </row>
    <row r="209" spans="23:23" x14ac:dyDescent="0.2">
      <c r="W209" s="90"/>
    </row>
    <row r="210" spans="23:23" x14ac:dyDescent="0.2">
      <c r="W210" s="90"/>
    </row>
    <row r="211" spans="23:23" x14ac:dyDescent="0.2">
      <c r="W211" s="90"/>
    </row>
    <row r="212" spans="23:23" x14ac:dyDescent="0.2">
      <c r="W212" s="91"/>
    </row>
    <row r="213" spans="23:23" x14ac:dyDescent="0.2">
      <c r="W213" s="91"/>
    </row>
  </sheetData>
  <mergeCells count="1">
    <mergeCell ref="A2:I2"/>
  </mergeCells>
  <dataValidations count="1">
    <dataValidation type="list" allowBlank="1" showInputMessage="1" showErrorMessage="1" sqref="I5" xr:uid="{00000000-0002-0000-0200-000000000000}">
      <formula1>$C$78:$G$78</formula1>
    </dataValidation>
  </dataValidations>
  <printOptions horizontalCentered="1"/>
  <pageMargins left="0.75" right="0.75" top="1" bottom="0.75" header="0.5" footer="0.5"/>
  <pageSetup scale="89" fitToHeight="2" orientation="portrait" r:id="rId1"/>
  <headerFooter alignWithMargins="0">
    <oddFooter>&amp;L&amp;"Calibri,Regular"&amp;9&amp;F</oddFooter>
  </headerFooter>
  <rowBreaks count="1" manualBreakCount="1">
    <brk id="51" max="8"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4f6cb59-cbe6-41b5-a9db-eacec253e177" xsi:nil="true"/>
    <lcf76f155ced4ddcb4097134ff3c332f xmlns="a2c698e1-2d77-42e8-aac5-3e909622d87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155667F9881B4BA7A1677CC00602EB" ma:contentTypeVersion="17" ma:contentTypeDescription="Create a new document." ma:contentTypeScope="" ma:versionID="9540893d6548e888fe1d08d6ea3787ba">
  <xsd:schema xmlns:xsd="http://www.w3.org/2001/XMLSchema" xmlns:xs="http://www.w3.org/2001/XMLSchema" xmlns:p="http://schemas.microsoft.com/office/2006/metadata/properties" xmlns:ns2="a2c698e1-2d77-42e8-aac5-3e909622d876" xmlns:ns3="94f6cb59-cbe6-41b5-a9db-eacec253e177" targetNamespace="http://schemas.microsoft.com/office/2006/metadata/properties" ma:root="true" ma:fieldsID="cdeee47aeab60c4cf8213e9b0bea5d84" ns2:_="" ns3:_="">
    <xsd:import namespace="a2c698e1-2d77-42e8-aac5-3e909622d876"/>
    <xsd:import namespace="94f6cb59-cbe6-41b5-a9db-eacec253e17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c698e1-2d77-42e8-aac5-3e909622d8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0067f10-bfb6-4e40-a26b-11675d44c69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f6cb59-cbe6-41b5-a9db-eacec253e17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2bc0251-423f-408a-ac0f-8bb46f030e87}" ma:internalName="TaxCatchAll" ma:showField="CatchAllData" ma:web="94f6cb59-cbe6-41b5-a9db-eacec253e1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10963C-E811-45B4-B69D-F651AB898998}">
  <ds:schemaRefs>
    <ds:schemaRef ds:uri="http://schemas.microsoft.com/sharepoint/v3/contenttype/forms"/>
  </ds:schemaRefs>
</ds:datastoreItem>
</file>

<file path=customXml/itemProps2.xml><?xml version="1.0" encoding="utf-8"?>
<ds:datastoreItem xmlns:ds="http://schemas.openxmlformats.org/officeDocument/2006/customXml" ds:itemID="{5EED2FFB-2338-4D57-86A5-9FA1231306C5}">
  <ds:schemaRefs>
    <ds:schemaRef ds:uri="http://purl.org/dc/terms/"/>
    <ds:schemaRef ds:uri="http://purl.org/dc/elements/1.1/"/>
    <ds:schemaRef ds:uri="a2c698e1-2d77-42e8-aac5-3e909622d876"/>
    <ds:schemaRef ds:uri="http://purl.org/dc/dcmitype/"/>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94f6cb59-cbe6-41b5-a9db-eacec253e177"/>
  </ds:schemaRefs>
</ds:datastoreItem>
</file>

<file path=customXml/itemProps3.xml><?xml version="1.0" encoding="utf-8"?>
<ds:datastoreItem xmlns:ds="http://schemas.openxmlformats.org/officeDocument/2006/customXml" ds:itemID="{2D963FDB-FDF5-4FC3-986F-E080E1AF96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c698e1-2d77-42e8-aac5-3e909622d876"/>
    <ds:schemaRef ds:uri="94f6cb59-cbe6-41b5-a9db-eacec253e1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Overview</vt:lpstr>
      <vt:lpstr>Instructions</vt:lpstr>
      <vt:lpstr>Freeway Corridor Throughput</vt:lpstr>
      <vt:lpstr>Throughput Calculations</vt:lpstr>
      <vt:lpstr>Regional Network Analysis</vt:lpstr>
      <vt:lpstr>Regional Network Examples</vt:lpstr>
      <vt:lpstr>WFRC Speed V8.3</vt:lpstr>
      <vt:lpstr>WFRC Cap1hr1ln V8.3</vt:lpstr>
      <vt:lpstr>ArtExpFactors</vt:lpstr>
      <vt:lpstr>ATypeCap</vt:lpstr>
      <vt:lpstr>FwyCapFactors</vt:lpstr>
      <vt:lpstr>FwyFleLookup</vt:lpstr>
      <vt:lpstr>'WFRC Cap1hr1ln V8.3'!Print_Area</vt:lpstr>
      <vt:lpstr>'WFRC Speed V8.3'!Print_Area</vt:lpstr>
      <vt:lpstr>'WFRC Cap1hr1ln V8.3'!Print_Titles</vt:lpstr>
      <vt:lpstr>'WFRC Speed V8.3'!Print_Titles</vt:lpstr>
    </vt:vector>
  </TitlesOfParts>
  <Company>WFRC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Brown</dc:creator>
  <cp:lastModifiedBy>DiAngelis, Heather</cp:lastModifiedBy>
  <cp:lastPrinted>2015-10-02T21:42:07Z</cp:lastPrinted>
  <dcterms:created xsi:type="dcterms:W3CDTF">1999-12-15T20:56:47Z</dcterms:created>
  <dcterms:modified xsi:type="dcterms:W3CDTF">2023-12-08T20:52:35Z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0x01010066155667F9881B4BA7A1677CC00602EB</vt:lpwstr>
  </property>
  <property fmtid="{D5CDD505-2E9C-101B-9397-08002B2CF9AE}" pid="3" name="MediaServiceImageTags">
    <vt:lpwstr/>
  </property>
</Properties>
</file>