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rc\trb\TRB-DVD\CRPEditors\Publication-Ready Files\NCHRP 08-124\Supplemental Files\"/>
    </mc:Choice>
  </mc:AlternateContent>
  <xr:revisionPtr revIDLastSave="0" documentId="13_ncr:1_{A3E84AFE-F89E-40FF-A6BF-F755B72E3C51}" xr6:coauthVersionLast="47" xr6:coauthVersionMax="47" xr10:uidLastSave="{00000000-0000-0000-0000-000000000000}"/>
  <bookViews>
    <workbookView xWindow="2385" yWindow="2055" windowWidth="25155" windowHeight="13230" xr2:uid="{5363F16A-4F73-452C-AECB-6BECB61FBABA}"/>
  </bookViews>
  <sheets>
    <sheet name="Overview" sheetId="6" r:id="rId1"/>
    <sheet name="Instructions" sheetId="5" r:id="rId2"/>
    <sheet name="Walkability User Interface" sheetId="3" r:id="rId3"/>
    <sheet name="Walkability Calculation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 l="1"/>
  <c r="H3" i="1"/>
  <c r="C57" i="3"/>
  <c r="I124" i="1"/>
  <c r="H124" i="1"/>
  <c r="K126" i="1"/>
  <c r="K23" i="3" s="1"/>
  <c r="J126" i="1"/>
  <c r="J23" i="3" s="1"/>
  <c r="F126" i="1"/>
  <c r="E126" i="1"/>
  <c r="D126" i="1"/>
  <c r="C126" i="1"/>
  <c r="B26" i="3"/>
  <c r="B27" i="3" s="1"/>
  <c r="B28" i="3" s="1"/>
  <c r="B29" i="3" s="1"/>
  <c r="B30" i="3" s="1"/>
  <c r="B31" i="3" s="1"/>
  <c r="B32" i="3" s="1"/>
  <c r="B33" i="3" s="1"/>
  <c r="B34" i="3" s="1"/>
  <c r="B35" i="3" s="1"/>
  <c r="B36" i="3" s="1"/>
  <c r="B37" i="3" s="1"/>
  <c r="B38" i="3" s="1"/>
  <c r="B39" i="3" s="1"/>
  <c r="B40" i="3" s="1"/>
  <c r="B41" i="3" s="1"/>
  <c r="B42" i="3" s="1"/>
  <c r="B43" i="3" s="1"/>
  <c r="B44" i="3" s="1"/>
  <c r="B45" i="3" s="1"/>
  <c r="B5" i="3"/>
  <c r="B6" i="3"/>
  <c r="B7" i="3"/>
  <c r="B8" i="3"/>
  <c r="B9" i="3" s="1"/>
  <c r="B10" i="3" s="1"/>
  <c r="B11" i="3" s="1"/>
  <c r="B12" i="3" s="1"/>
  <c r="B13" i="3" s="1"/>
  <c r="B14" i="3" s="1"/>
  <c r="B15" i="3" s="1"/>
  <c r="B16" i="3" s="1"/>
  <c r="B17" i="3" s="1"/>
  <c r="B18" i="3" s="1"/>
  <c r="B19" i="3" s="1"/>
  <c r="B20" i="3" s="1"/>
  <c r="B21" i="3" s="1"/>
  <c r="B22" i="3" s="1"/>
  <c r="B23" i="3" s="1"/>
  <c r="B24" i="3" s="1"/>
  <c r="B25" i="3" s="1"/>
  <c r="B4" i="3"/>
  <c r="H161" i="1"/>
  <c r="B2" i="1"/>
  <c r="H10" i="1" s="1"/>
  <c r="C13" i="1"/>
  <c r="E7" i="3"/>
  <c r="D7" i="3"/>
  <c r="H125" i="1" l="1"/>
  <c r="I125" i="1"/>
  <c r="I126" i="1" s="1"/>
  <c r="I23" i="3" s="1"/>
  <c r="L125" i="1"/>
  <c r="L126" i="1" s="1"/>
  <c r="L23" i="3" s="1"/>
  <c r="J125" i="1"/>
  <c r="H126" i="1"/>
  <c r="H23" i="3" s="1"/>
  <c r="K125" i="1"/>
  <c r="J53" i="3"/>
  <c r="K53" i="3"/>
  <c r="L53" i="3"/>
  <c r="G62" i="3"/>
  <c r="G61" i="3"/>
  <c r="R35" i="3"/>
  <c r="Q35" i="3"/>
  <c r="R28" i="3"/>
  <c r="Q28" i="3"/>
  <c r="R19" i="3"/>
  <c r="Q19" i="3"/>
  <c r="O35" i="3"/>
  <c r="N35" i="3"/>
  <c r="O28" i="3"/>
  <c r="N28" i="3"/>
  <c r="O19" i="3"/>
  <c r="N19" i="3"/>
  <c r="I43" i="3"/>
  <c r="I53" i="3" s="1"/>
  <c r="H43" i="3"/>
  <c r="H53" i="3" s="1"/>
  <c r="I35" i="3"/>
  <c r="H35" i="3"/>
  <c r="I28" i="3"/>
  <c r="H28" i="3"/>
  <c r="E35" i="3"/>
  <c r="D35" i="3"/>
  <c r="E28" i="3"/>
  <c r="D28" i="3"/>
  <c r="E19" i="3"/>
  <c r="D19" i="3"/>
  <c r="I19" i="3"/>
  <c r="H19" i="3"/>
  <c r="I7" i="3"/>
  <c r="H7" i="3"/>
  <c r="G38" i="3" l="1"/>
  <c r="F38" i="3"/>
  <c r="I208" i="1"/>
  <c r="H208" i="1"/>
  <c r="F213" i="1"/>
  <c r="E213" i="1"/>
  <c r="D213" i="1"/>
  <c r="C213" i="1"/>
  <c r="C83" i="1"/>
  <c r="H9" i="1" l="1"/>
  <c r="I141" i="1"/>
  <c r="I131" i="1"/>
  <c r="L171" i="1"/>
  <c r="D171" i="1"/>
  <c r="E171" i="1"/>
  <c r="F171" i="1"/>
  <c r="C171" i="1"/>
  <c r="J59" i="3"/>
  <c r="K59" i="3"/>
  <c r="L59" i="3"/>
  <c r="M59" i="3"/>
  <c r="I59" i="3"/>
  <c r="I93" i="1"/>
  <c r="I99" i="1" s="1"/>
  <c r="I219" i="1"/>
  <c r="I215" i="1"/>
  <c r="I200" i="1"/>
  <c r="I194" i="1"/>
  <c r="I188" i="1"/>
  <c r="I182" i="1"/>
  <c r="I173" i="1"/>
  <c r="I175" i="1" s="1"/>
  <c r="I169" i="1"/>
  <c r="I161" i="1"/>
  <c r="I155" i="1"/>
  <c r="I132" i="1"/>
  <c r="I118" i="1"/>
  <c r="I106" i="1"/>
  <c r="I112" i="1" s="1"/>
  <c r="I85" i="1"/>
  <c r="I72" i="1"/>
  <c r="I78" i="1" s="1"/>
  <c r="I66" i="1"/>
  <c r="I54" i="1"/>
  <c r="I48" i="1"/>
  <c r="I35" i="1"/>
  <c r="I41" i="1" s="1"/>
  <c r="I21" i="1"/>
  <c r="I27" i="1" s="1"/>
  <c r="I15" i="1"/>
  <c r="I9" i="1"/>
  <c r="H93" i="1"/>
  <c r="H99" i="1" s="1"/>
  <c r="G20" i="3"/>
  <c r="F20" i="3"/>
  <c r="F8" i="3"/>
  <c r="C97" i="1"/>
  <c r="F104" i="1"/>
  <c r="E104" i="1"/>
  <c r="D104" i="1"/>
  <c r="C104" i="1"/>
  <c r="F97" i="1"/>
  <c r="E97" i="1"/>
  <c r="D97" i="1"/>
  <c r="I32" i="3" l="1"/>
  <c r="I171" i="1"/>
  <c r="F83" i="1"/>
  <c r="E83" i="1"/>
  <c r="D83" i="1"/>
  <c r="D27" i="1"/>
  <c r="E27" i="1"/>
  <c r="F27" i="1"/>
  <c r="C27" i="1"/>
  <c r="I31" i="3" l="1"/>
  <c r="E33" i="1"/>
  <c r="E186" i="1"/>
  <c r="H182" i="1"/>
  <c r="H188" i="1"/>
  <c r="H194" i="1"/>
  <c r="H200" i="1"/>
  <c r="J212" i="1"/>
  <c r="J121" i="1"/>
  <c r="D121" i="1"/>
  <c r="E121" i="1"/>
  <c r="F121" i="1"/>
  <c r="C121" i="1"/>
  <c r="L25" i="3"/>
  <c r="K25" i="3"/>
  <c r="J25" i="3"/>
  <c r="K221" i="1"/>
  <c r="C221" i="1"/>
  <c r="H219" i="1"/>
  <c r="K217" i="1"/>
  <c r="C217" i="1"/>
  <c r="H215" i="1"/>
  <c r="F175" i="1"/>
  <c r="E175" i="1"/>
  <c r="D175" i="1"/>
  <c r="C175" i="1"/>
  <c r="J175" i="1"/>
  <c r="K175" i="1"/>
  <c r="H173" i="1"/>
  <c r="H169" i="1"/>
  <c r="H171" i="1" s="1"/>
  <c r="H155" i="1"/>
  <c r="H141" i="1"/>
  <c r="H132" i="1"/>
  <c r="H118" i="1"/>
  <c r="H106" i="1"/>
  <c r="H112" i="1" s="1"/>
  <c r="F87" i="1"/>
  <c r="E87" i="1"/>
  <c r="D87" i="1"/>
  <c r="C87" i="1"/>
  <c r="J87" i="1"/>
  <c r="K87" i="1"/>
  <c r="H85" i="1"/>
  <c r="H72" i="1"/>
  <c r="H78" i="1" s="1"/>
  <c r="H66" i="1"/>
  <c r="H54" i="1"/>
  <c r="H48" i="1"/>
  <c r="H35" i="1"/>
  <c r="H41" i="1" s="1"/>
  <c r="H21" i="1"/>
  <c r="H27" i="1" s="1"/>
  <c r="H15" i="1"/>
  <c r="G37" i="3"/>
  <c r="F37" i="3"/>
  <c r="C206" i="1"/>
  <c r="K213" i="1" l="1"/>
  <c r="K38" i="3" s="1"/>
  <c r="L210" i="1"/>
  <c r="H210" i="1"/>
  <c r="I209" i="1"/>
  <c r="I212" i="1"/>
  <c r="I213" i="1" s="1"/>
  <c r="I38" i="3" s="1"/>
  <c r="J211" i="1"/>
  <c r="L209" i="1"/>
  <c r="H209" i="1"/>
  <c r="L212" i="1"/>
  <c r="L213" i="1" s="1"/>
  <c r="L38" i="3" s="1"/>
  <c r="H212" i="1"/>
  <c r="I211" i="1"/>
  <c r="J210" i="1"/>
  <c r="L211" i="1"/>
  <c r="H211" i="1"/>
  <c r="H213" i="1" s="1"/>
  <c r="H38" i="3" s="1"/>
  <c r="I210" i="1"/>
  <c r="J209" i="1"/>
  <c r="J213" i="1" s="1"/>
  <c r="J38" i="3" s="1"/>
  <c r="K16" i="3"/>
  <c r="K32" i="3"/>
  <c r="K39" i="3"/>
  <c r="K40" i="3"/>
  <c r="I204" i="1"/>
  <c r="I202" i="1"/>
  <c r="I197" i="1"/>
  <c r="I195" i="1"/>
  <c r="I190" i="1"/>
  <c r="I192" i="1" s="1"/>
  <c r="I185" i="1"/>
  <c r="I183" i="1"/>
  <c r="I170" i="1"/>
  <c r="I165" i="1"/>
  <c r="I163" i="1"/>
  <c r="I158" i="1"/>
  <c r="I156" i="1"/>
  <c r="I148" i="1"/>
  <c r="I146" i="1"/>
  <c r="I144" i="1"/>
  <c r="I142" i="1"/>
  <c r="I137" i="1"/>
  <c r="I133" i="1"/>
  <c r="I37" i="1"/>
  <c r="I120" i="1"/>
  <c r="I115" i="1"/>
  <c r="I113" i="1"/>
  <c r="I108" i="1"/>
  <c r="I86" i="1"/>
  <c r="I87" i="1" s="1"/>
  <c r="I81" i="1"/>
  <c r="I79" i="1"/>
  <c r="I74" i="1"/>
  <c r="I69" i="1"/>
  <c r="I70" i="1" s="1"/>
  <c r="I67" i="1"/>
  <c r="I62" i="1"/>
  <c r="I57" i="1"/>
  <c r="I55" i="1"/>
  <c r="I50" i="1"/>
  <c r="I45" i="1"/>
  <c r="I46" i="1" s="1"/>
  <c r="I43" i="1"/>
  <c r="I103" i="1"/>
  <c r="I101" i="1"/>
  <c r="I12" i="1"/>
  <c r="I10" i="1"/>
  <c r="I17" i="1"/>
  <c r="H24" i="1"/>
  <c r="H22" i="1"/>
  <c r="I29" i="1"/>
  <c r="H30" i="1"/>
  <c r="H95" i="1"/>
  <c r="H119" i="1"/>
  <c r="H75" i="1"/>
  <c r="H63" i="1"/>
  <c r="H51" i="1"/>
  <c r="H44" i="1"/>
  <c r="H100" i="1"/>
  <c r="I24" i="1"/>
  <c r="H31" i="1"/>
  <c r="I96" i="1"/>
  <c r="H204" i="1"/>
  <c r="H202" i="1"/>
  <c r="H197" i="1"/>
  <c r="H195" i="1"/>
  <c r="H190" i="1"/>
  <c r="H185" i="1"/>
  <c r="H183" i="1"/>
  <c r="H170" i="1"/>
  <c r="H165" i="1"/>
  <c r="H163" i="1"/>
  <c r="H158" i="1"/>
  <c r="H156" i="1"/>
  <c r="H148" i="1"/>
  <c r="H146" i="1"/>
  <c r="H144" i="1"/>
  <c r="H142" i="1"/>
  <c r="H150" i="1" s="1"/>
  <c r="H137" i="1"/>
  <c r="H133" i="1"/>
  <c r="H37" i="1"/>
  <c r="H120" i="1"/>
  <c r="H115" i="1"/>
  <c r="H113" i="1"/>
  <c r="H108" i="1"/>
  <c r="H86" i="1"/>
  <c r="H87" i="1" s="1"/>
  <c r="H81" i="1"/>
  <c r="H79" i="1"/>
  <c r="H83" i="1" s="1"/>
  <c r="H74" i="1"/>
  <c r="H69" i="1"/>
  <c r="H67" i="1"/>
  <c r="H62" i="1"/>
  <c r="H57" i="1"/>
  <c r="H55" i="1"/>
  <c r="H50" i="1"/>
  <c r="H45" i="1"/>
  <c r="H43" i="1"/>
  <c r="H103" i="1"/>
  <c r="H101" i="1"/>
  <c r="H12" i="1"/>
  <c r="I16" i="1"/>
  <c r="I23" i="1"/>
  <c r="I32" i="1"/>
  <c r="I33" i="1" s="1"/>
  <c r="I28" i="1"/>
  <c r="H29" i="1"/>
  <c r="I94" i="1"/>
  <c r="H96" i="1"/>
  <c r="H174" i="1"/>
  <c r="H145" i="1"/>
  <c r="H136" i="1"/>
  <c r="H38" i="1"/>
  <c r="H114" i="1"/>
  <c r="H107" i="1"/>
  <c r="H80" i="1"/>
  <c r="H68" i="1"/>
  <c r="H61" i="1"/>
  <c r="H49" i="1"/>
  <c r="H102" i="1"/>
  <c r="H18" i="1"/>
  <c r="I22" i="1"/>
  <c r="H17" i="1"/>
  <c r="I205" i="1"/>
  <c r="I203" i="1"/>
  <c r="I201" i="1"/>
  <c r="I196" i="1"/>
  <c r="I191" i="1"/>
  <c r="I189" i="1"/>
  <c r="I184" i="1"/>
  <c r="I174" i="1"/>
  <c r="I166" i="1"/>
  <c r="I164" i="1"/>
  <c r="I162" i="1"/>
  <c r="I157" i="1"/>
  <c r="I149" i="1"/>
  <c r="I147" i="1"/>
  <c r="I145" i="1"/>
  <c r="I143" i="1"/>
  <c r="I138" i="1"/>
  <c r="I136" i="1"/>
  <c r="I38" i="1"/>
  <c r="I36" i="1"/>
  <c r="I119" i="1"/>
  <c r="I114" i="1"/>
  <c r="I109" i="1"/>
  <c r="I107" i="1"/>
  <c r="I82" i="1"/>
  <c r="I80" i="1"/>
  <c r="I75" i="1"/>
  <c r="I73" i="1"/>
  <c r="I68" i="1"/>
  <c r="I63" i="1"/>
  <c r="I61" i="1"/>
  <c r="I56" i="1"/>
  <c r="I51" i="1"/>
  <c r="I49" i="1"/>
  <c r="I44" i="1"/>
  <c r="I42" i="1"/>
  <c r="I102" i="1"/>
  <c r="I100" i="1"/>
  <c r="I11" i="1"/>
  <c r="I18" i="1"/>
  <c r="H16" i="1"/>
  <c r="H23" i="1"/>
  <c r="I31" i="1"/>
  <c r="H32" i="1"/>
  <c r="H28" i="1"/>
  <c r="I95" i="1"/>
  <c r="H94" i="1"/>
  <c r="H205" i="1"/>
  <c r="H203" i="1"/>
  <c r="H201" i="1"/>
  <c r="H196" i="1"/>
  <c r="H191" i="1"/>
  <c r="H189" i="1"/>
  <c r="H184" i="1"/>
  <c r="H166" i="1"/>
  <c r="H164" i="1"/>
  <c r="H162" i="1"/>
  <c r="H157" i="1"/>
  <c r="H149" i="1"/>
  <c r="H147" i="1"/>
  <c r="H143" i="1"/>
  <c r="H138" i="1"/>
  <c r="H36" i="1"/>
  <c r="H109" i="1"/>
  <c r="H82" i="1"/>
  <c r="H73" i="1"/>
  <c r="H56" i="1"/>
  <c r="H42" i="1"/>
  <c r="H11" i="1"/>
  <c r="I30" i="1"/>
  <c r="K203" i="1"/>
  <c r="K206" i="1" s="1"/>
  <c r="J32" i="3"/>
  <c r="J16" i="3"/>
  <c r="J74" i="1"/>
  <c r="K196" i="1"/>
  <c r="L32" i="1"/>
  <c r="L144" i="1"/>
  <c r="K190" i="1"/>
  <c r="K192" i="1" s="1"/>
  <c r="L114" i="1"/>
  <c r="K55" i="1"/>
  <c r="K164" i="1"/>
  <c r="L56" i="1"/>
  <c r="K75" i="1"/>
  <c r="J146" i="1"/>
  <c r="K191" i="1"/>
  <c r="K23" i="1"/>
  <c r="J37" i="1"/>
  <c r="J61" i="1"/>
  <c r="K86" i="1"/>
  <c r="K136" i="1"/>
  <c r="J156" i="1"/>
  <c r="K183" i="1"/>
  <c r="K205" i="1"/>
  <c r="L103" i="1"/>
  <c r="L104" i="1" s="1"/>
  <c r="L102" i="1"/>
  <c r="L101" i="1"/>
  <c r="L100" i="1"/>
  <c r="K103" i="1"/>
  <c r="K102" i="1"/>
  <c r="K104" i="1" s="1"/>
  <c r="K101" i="1"/>
  <c r="K100" i="1"/>
  <c r="J103" i="1"/>
  <c r="J102" i="1"/>
  <c r="J101" i="1"/>
  <c r="J100" i="1"/>
  <c r="J104" i="1" s="1"/>
  <c r="J43" i="1"/>
  <c r="J119" i="1"/>
  <c r="L165" i="1"/>
  <c r="K197" i="1"/>
  <c r="L28" i="1"/>
  <c r="K38" i="1"/>
  <c r="J67" i="1"/>
  <c r="L107" i="1"/>
  <c r="L137" i="1"/>
  <c r="K157" i="1"/>
  <c r="K184" i="1"/>
  <c r="K204" i="1"/>
  <c r="J30" i="1"/>
  <c r="K44" i="1"/>
  <c r="K46" i="1" s="1"/>
  <c r="L49" i="1"/>
  <c r="L61" i="1"/>
  <c r="K68" i="1"/>
  <c r="K70" i="1" s="1"/>
  <c r="L79" i="1"/>
  <c r="J109" i="1"/>
  <c r="K120" i="1"/>
  <c r="J142" i="1"/>
  <c r="K147" i="1"/>
  <c r="L158" i="1"/>
  <c r="J170" i="1"/>
  <c r="J171" i="1" s="1"/>
  <c r="K185" i="1"/>
  <c r="K201" i="1"/>
  <c r="J197" i="1"/>
  <c r="L96" i="1"/>
  <c r="L95" i="1"/>
  <c r="L94" i="1"/>
  <c r="K96" i="1"/>
  <c r="K95" i="1"/>
  <c r="K94" i="1"/>
  <c r="J94" i="1"/>
  <c r="J96" i="1"/>
  <c r="J95" i="1"/>
  <c r="J82" i="1"/>
  <c r="J83" i="1" s="1"/>
  <c r="L82" i="1"/>
  <c r="K82" i="1"/>
  <c r="L24" i="1"/>
  <c r="K31" i="1"/>
  <c r="L45" i="1"/>
  <c r="J51" i="1"/>
  <c r="J63" i="1"/>
  <c r="L69" i="1"/>
  <c r="J81" i="1"/>
  <c r="K113" i="1"/>
  <c r="L133" i="1"/>
  <c r="K143" i="1"/>
  <c r="L148" i="1"/>
  <c r="J163" i="1"/>
  <c r="K174" i="1"/>
  <c r="K189" i="1"/>
  <c r="K202" i="1"/>
  <c r="K195" i="1"/>
  <c r="J10" i="1"/>
  <c r="J11" i="1"/>
  <c r="J12" i="1"/>
  <c r="J16" i="1"/>
  <c r="J17" i="1"/>
  <c r="J18" i="1"/>
  <c r="J22" i="1"/>
  <c r="K24" i="1"/>
  <c r="J23" i="1"/>
  <c r="J29" i="1"/>
  <c r="K30" i="1"/>
  <c r="K33" i="1" s="1"/>
  <c r="L31" i="1"/>
  <c r="J42" i="1"/>
  <c r="K43" i="1"/>
  <c r="L44" i="1"/>
  <c r="J36" i="1"/>
  <c r="K37" i="1"/>
  <c r="L38" i="1"/>
  <c r="J50" i="1"/>
  <c r="K51" i="1"/>
  <c r="L55" i="1"/>
  <c r="J57" i="1"/>
  <c r="J62" i="1"/>
  <c r="K63" i="1"/>
  <c r="K67" i="1"/>
  <c r="L68" i="1"/>
  <c r="J73" i="1"/>
  <c r="K74" i="1"/>
  <c r="L75" i="1"/>
  <c r="J80" i="1"/>
  <c r="K81" i="1"/>
  <c r="L86" i="1"/>
  <c r="L87" i="1" s="1"/>
  <c r="J108" i="1"/>
  <c r="K109" i="1"/>
  <c r="L113" i="1"/>
  <c r="J115" i="1"/>
  <c r="K119" i="1"/>
  <c r="K121" i="1" s="1"/>
  <c r="L120" i="1"/>
  <c r="L136" i="1"/>
  <c r="J138" i="1"/>
  <c r="K142" i="1"/>
  <c r="L143" i="1"/>
  <c r="J145" i="1"/>
  <c r="K146" i="1"/>
  <c r="L147" i="1"/>
  <c r="J149" i="1"/>
  <c r="K156" i="1"/>
  <c r="L157" i="1"/>
  <c r="J162" i="1"/>
  <c r="K163" i="1"/>
  <c r="L164" i="1"/>
  <c r="J166" i="1"/>
  <c r="K170" i="1"/>
  <c r="K171" i="1" s="1"/>
  <c r="L174" i="1"/>
  <c r="L175" i="1" s="1"/>
  <c r="L183" i="1"/>
  <c r="L184" i="1"/>
  <c r="L185" i="1"/>
  <c r="L189" i="1"/>
  <c r="L190" i="1"/>
  <c r="L191" i="1"/>
  <c r="L192" i="1" s="1"/>
  <c r="L201" i="1"/>
  <c r="L202" i="1"/>
  <c r="L203" i="1"/>
  <c r="L204" i="1"/>
  <c r="L205" i="1"/>
  <c r="L195" i="1"/>
  <c r="L196" i="1"/>
  <c r="L197" i="1"/>
  <c r="K10" i="1"/>
  <c r="K11" i="1"/>
  <c r="K12" i="1"/>
  <c r="K16" i="1"/>
  <c r="K17" i="1"/>
  <c r="K18" i="1"/>
  <c r="K22" i="1"/>
  <c r="J24" i="1"/>
  <c r="J28" i="1"/>
  <c r="K29" i="1"/>
  <c r="L30" i="1"/>
  <c r="J32" i="1"/>
  <c r="K42" i="1"/>
  <c r="L43" i="1"/>
  <c r="J45" i="1"/>
  <c r="K36" i="1"/>
  <c r="L37" i="1"/>
  <c r="J49" i="1"/>
  <c r="K50" i="1"/>
  <c r="L51" i="1"/>
  <c r="J56" i="1"/>
  <c r="K57" i="1"/>
  <c r="K62" i="1"/>
  <c r="L63" i="1"/>
  <c r="L67" i="1"/>
  <c r="J69" i="1"/>
  <c r="K73" i="1"/>
  <c r="L74" i="1"/>
  <c r="J79" i="1"/>
  <c r="K80" i="1"/>
  <c r="K83" i="1" s="1"/>
  <c r="L81" i="1"/>
  <c r="L83" i="1" s="1"/>
  <c r="J107" i="1"/>
  <c r="K108" i="1"/>
  <c r="L109" i="1"/>
  <c r="J114" i="1"/>
  <c r="K115" i="1"/>
  <c r="L119" i="1"/>
  <c r="J133" i="1"/>
  <c r="J137" i="1"/>
  <c r="K138" i="1"/>
  <c r="L142" i="1"/>
  <c r="J144" i="1"/>
  <c r="K145" i="1"/>
  <c r="L146" i="1"/>
  <c r="J148" i="1"/>
  <c r="K149" i="1"/>
  <c r="L156" i="1"/>
  <c r="J158" i="1"/>
  <c r="K162" i="1"/>
  <c r="L163" i="1"/>
  <c r="J165" i="1"/>
  <c r="K166" i="1"/>
  <c r="L170" i="1"/>
  <c r="L31" i="3" s="1"/>
  <c r="L10" i="1"/>
  <c r="L11" i="1"/>
  <c r="L12" i="1"/>
  <c r="L16" i="1"/>
  <c r="L17" i="1"/>
  <c r="L18" i="1"/>
  <c r="L22" i="1"/>
  <c r="L23" i="1"/>
  <c r="K28" i="1"/>
  <c r="L29" i="1"/>
  <c r="J31" i="1"/>
  <c r="K32" i="1"/>
  <c r="L42" i="1"/>
  <c r="J44" i="1"/>
  <c r="K45" i="1"/>
  <c r="L36" i="1"/>
  <c r="J38" i="1"/>
  <c r="K49" i="1"/>
  <c r="L50" i="1"/>
  <c r="J55" i="1"/>
  <c r="K56" i="1"/>
  <c r="L57" i="1"/>
  <c r="L62" i="1"/>
  <c r="K61" i="1"/>
  <c r="J68" i="1"/>
  <c r="K69" i="1"/>
  <c r="L73" i="1"/>
  <c r="J75" i="1"/>
  <c r="K79" i="1"/>
  <c r="L80" i="1"/>
  <c r="J86" i="1"/>
  <c r="K107" i="1"/>
  <c r="L108" i="1"/>
  <c r="J113" i="1"/>
  <c r="K114" i="1"/>
  <c r="K116" i="1" s="1"/>
  <c r="L115" i="1"/>
  <c r="J120" i="1"/>
  <c r="K133" i="1"/>
  <c r="J136" i="1"/>
  <c r="K137" i="1"/>
  <c r="L138" i="1"/>
  <c r="J143" i="1"/>
  <c r="K144" i="1"/>
  <c r="L145" i="1"/>
  <c r="J147" i="1"/>
  <c r="K148" i="1"/>
  <c r="K150" i="1" s="1"/>
  <c r="L149" i="1"/>
  <c r="J157" i="1"/>
  <c r="K158" i="1"/>
  <c r="L162" i="1"/>
  <c r="J164" i="1"/>
  <c r="K165" i="1"/>
  <c r="L166" i="1"/>
  <c r="J174" i="1"/>
  <c r="J183" i="1"/>
  <c r="J184" i="1"/>
  <c r="J185" i="1"/>
  <c r="J189" i="1"/>
  <c r="J192" i="1" s="1"/>
  <c r="J190" i="1"/>
  <c r="J191" i="1"/>
  <c r="J201" i="1"/>
  <c r="J202" i="1"/>
  <c r="J203" i="1"/>
  <c r="J204" i="1"/>
  <c r="J205" i="1"/>
  <c r="J195" i="1"/>
  <c r="J196" i="1"/>
  <c r="H31" i="3"/>
  <c r="H175" i="1"/>
  <c r="F198" i="1"/>
  <c r="E198" i="1"/>
  <c r="D198" i="1"/>
  <c r="C198" i="1"/>
  <c r="G36" i="3"/>
  <c r="F36" i="3"/>
  <c r="C192" i="1"/>
  <c r="C223" i="1" s="1"/>
  <c r="F186" i="1"/>
  <c r="C186" i="1"/>
  <c r="D186" i="1"/>
  <c r="G29" i="3"/>
  <c r="F29" i="3"/>
  <c r="H131" i="1"/>
  <c r="G22" i="3"/>
  <c r="F22" i="3"/>
  <c r="F21" i="3"/>
  <c r="G21" i="3"/>
  <c r="G15" i="3"/>
  <c r="F15" i="3"/>
  <c r="G14" i="3"/>
  <c r="F14" i="3"/>
  <c r="G13" i="3"/>
  <c r="F13" i="3"/>
  <c r="G12" i="3"/>
  <c r="F12" i="3"/>
  <c r="G11" i="3"/>
  <c r="F11" i="3"/>
  <c r="G10" i="3"/>
  <c r="F10" i="3"/>
  <c r="G9" i="3"/>
  <c r="F9" i="3"/>
  <c r="G8" i="3"/>
  <c r="H167" i="1" l="1"/>
  <c r="H192" i="1"/>
  <c r="I116" i="1"/>
  <c r="I21" i="3" s="1"/>
  <c r="J19" i="1"/>
  <c r="J9" i="3" s="1"/>
  <c r="I150" i="1"/>
  <c r="I152" i="1" s="1"/>
  <c r="I25" i="3" s="1"/>
  <c r="I104" i="1"/>
  <c r="I20" i="3" s="1"/>
  <c r="I83" i="1"/>
  <c r="I15" i="3" s="1"/>
  <c r="H206" i="1"/>
  <c r="H37" i="3" s="1"/>
  <c r="I206" i="1"/>
  <c r="I37" i="3" s="1"/>
  <c r="I24" i="3"/>
  <c r="K37" i="3"/>
  <c r="I36" i="3"/>
  <c r="K21" i="3"/>
  <c r="L36" i="3"/>
  <c r="L16" i="3"/>
  <c r="J31" i="3"/>
  <c r="K10" i="3"/>
  <c r="I10" i="3"/>
  <c r="I16" i="3"/>
  <c r="I121" i="1"/>
  <c r="H32" i="3"/>
  <c r="K15" i="3"/>
  <c r="L32" i="3"/>
  <c r="H36" i="3"/>
  <c r="K31" i="3"/>
  <c r="K22" i="3"/>
  <c r="K14" i="3"/>
  <c r="K36" i="3"/>
  <c r="I14" i="3"/>
  <c r="H16" i="3"/>
  <c r="H70" i="1"/>
  <c r="K128" i="1"/>
  <c r="H116" i="1"/>
  <c r="I11" i="3"/>
  <c r="K11" i="3"/>
  <c r="I139" i="1"/>
  <c r="I110" i="1"/>
  <c r="K76" i="1"/>
  <c r="I167" i="1"/>
  <c r="I39" i="1"/>
  <c r="I19" i="1"/>
  <c r="I159" i="1"/>
  <c r="I25" i="1"/>
  <c r="I52" i="1"/>
  <c r="I186" i="1"/>
  <c r="I13" i="1"/>
  <c r="I97" i="1"/>
  <c r="I198" i="1"/>
  <c r="I76" i="1"/>
  <c r="I58" i="1"/>
  <c r="J36" i="3"/>
  <c r="K110" i="1"/>
  <c r="H104" i="1"/>
  <c r="J20" i="3"/>
  <c r="K20" i="3"/>
  <c r="L20" i="3"/>
  <c r="K58" i="1"/>
  <c r="K198" i="1"/>
  <c r="K25" i="1"/>
  <c r="K52" i="1"/>
  <c r="K64" i="1"/>
  <c r="J186" i="1"/>
  <c r="H198" i="1"/>
  <c r="K39" i="1"/>
  <c r="K19" i="1"/>
  <c r="K159" i="1"/>
  <c r="L198" i="1"/>
  <c r="K167" i="1"/>
  <c r="K186" i="1"/>
  <c r="H33" i="1"/>
  <c r="J198" i="1"/>
  <c r="L97" i="1"/>
  <c r="H186" i="1"/>
  <c r="J97" i="1"/>
  <c r="K13" i="1"/>
  <c r="H97" i="1"/>
  <c r="K97" i="1"/>
  <c r="L186" i="1"/>
  <c r="L121" i="1"/>
  <c r="H15" i="3"/>
  <c r="H46" i="1"/>
  <c r="H110" i="1"/>
  <c r="H121" i="1"/>
  <c r="K223" i="1"/>
  <c r="H159" i="1"/>
  <c r="H76" i="1"/>
  <c r="H25" i="3"/>
  <c r="H52" i="1"/>
  <c r="H25" i="1"/>
  <c r="H39" i="1"/>
  <c r="H13" i="1"/>
  <c r="H19" i="1"/>
  <c r="H58" i="1"/>
  <c r="F192" i="1"/>
  <c r="E192" i="1"/>
  <c r="D192" i="1"/>
  <c r="C167" i="1"/>
  <c r="F39" i="1"/>
  <c r="D39" i="1"/>
  <c r="C39" i="1"/>
  <c r="E39" i="1"/>
  <c r="C25" i="1"/>
  <c r="E25" i="1"/>
  <c r="F25" i="1"/>
  <c r="D25" i="1"/>
  <c r="L150" i="1"/>
  <c r="L139" i="1"/>
  <c r="L152" i="1" s="1"/>
  <c r="L206" i="1"/>
  <c r="L15" i="3"/>
  <c r="L76" i="1"/>
  <c r="L167" i="1"/>
  <c r="L70" i="1"/>
  <c r="L64" i="1"/>
  <c r="L116" i="1"/>
  <c r="L110" i="1"/>
  <c r="L58" i="1"/>
  <c r="L52" i="1"/>
  <c r="L159" i="1"/>
  <c r="L46" i="1"/>
  <c r="L39" i="1"/>
  <c r="L33" i="1"/>
  <c r="L25" i="1"/>
  <c r="L19" i="1"/>
  <c r="L13" i="1"/>
  <c r="J150" i="1"/>
  <c r="J139" i="1"/>
  <c r="J152" i="1" s="1"/>
  <c r="J206" i="1"/>
  <c r="J15" i="3"/>
  <c r="J76" i="1"/>
  <c r="J167" i="1"/>
  <c r="J22" i="3"/>
  <c r="J70" i="1"/>
  <c r="J64" i="1"/>
  <c r="J116" i="1"/>
  <c r="J110" i="1"/>
  <c r="J58" i="1"/>
  <c r="J52" i="1"/>
  <c r="J159" i="1"/>
  <c r="J46" i="1"/>
  <c r="J39" i="1"/>
  <c r="J33" i="1"/>
  <c r="J25" i="1"/>
  <c r="J13" i="1"/>
  <c r="K41" i="3" l="1"/>
  <c r="H21" i="3"/>
  <c r="L29" i="3"/>
  <c r="I9" i="3"/>
  <c r="I22" i="3"/>
  <c r="L10" i="3"/>
  <c r="L12" i="3"/>
  <c r="H13" i="3"/>
  <c r="H22" i="3"/>
  <c r="K30" i="3"/>
  <c r="K12" i="3"/>
  <c r="I12" i="3"/>
  <c r="I26" i="3"/>
  <c r="J128" i="1"/>
  <c r="L13" i="3"/>
  <c r="L14" i="3"/>
  <c r="L37" i="3"/>
  <c r="H9" i="3"/>
  <c r="H12" i="3"/>
  <c r="H30" i="3"/>
  <c r="L22" i="3"/>
  <c r="K8" i="3"/>
  <c r="I30" i="3"/>
  <c r="H14" i="3"/>
  <c r="L21" i="3"/>
  <c r="K9" i="3"/>
  <c r="K13" i="3"/>
  <c r="L8" i="3"/>
  <c r="L9" i="3"/>
  <c r="L30" i="3"/>
  <c r="L24" i="3"/>
  <c r="H8" i="3"/>
  <c r="H29" i="3"/>
  <c r="H10" i="3"/>
  <c r="K29" i="3"/>
  <c r="I13" i="3"/>
  <c r="I89" i="1"/>
  <c r="I128" i="1"/>
  <c r="K89" i="1"/>
  <c r="J89" i="1"/>
  <c r="H20" i="3"/>
  <c r="H128" i="1"/>
  <c r="L128" i="1"/>
  <c r="L11" i="3"/>
  <c r="L89" i="1"/>
  <c r="H11" i="3"/>
  <c r="H89" i="1"/>
  <c r="I177" i="1"/>
  <c r="I29" i="3"/>
  <c r="I8" i="3"/>
  <c r="J11" i="3"/>
  <c r="J21" i="3"/>
  <c r="J24" i="3"/>
  <c r="J10" i="3"/>
  <c r="J12" i="3"/>
  <c r="J37" i="3"/>
  <c r="J29" i="3"/>
  <c r="J30" i="3"/>
  <c r="J8" i="3"/>
  <c r="J13" i="3"/>
  <c r="J14" i="3"/>
  <c r="K177" i="1"/>
  <c r="H177" i="1"/>
  <c r="J177" i="1"/>
  <c r="L177" i="1"/>
  <c r="C70" i="1"/>
  <c r="F70" i="1"/>
  <c r="E70" i="1"/>
  <c r="D70" i="1"/>
  <c r="D116" i="1"/>
  <c r="D128" i="1" s="1"/>
  <c r="E116" i="1"/>
  <c r="E128" i="1" s="1"/>
  <c r="F116" i="1"/>
  <c r="F128" i="1" s="1"/>
  <c r="C116" i="1"/>
  <c r="C128" i="1" s="1"/>
  <c r="D46" i="1"/>
  <c r="E46" i="1"/>
  <c r="F46" i="1"/>
  <c r="C46" i="1"/>
  <c r="C159" i="1"/>
  <c r="D159" i="1"/>
  <c r="E159" i="1"/>
  <c r="F159" i="1"/>
  <c r="C19" i="1"/>
  <c r="D33" i="1"/>
  <c r="F33" i="1"/>
  <c r="C33" i="1"/>
  <c r="C147" i="1"/>
  <c r="D147" i="1"/>
  <c r="C148" i="1"/>
  <c r="D148" i="1"/>
  <c r="D150" i="1" s="1"/>
  <c r="C149" i="1"/>
  <c r="D149" i="1"/>
  <c r="D146" i="1"/>
  <c r="C146" i="1"/>
  <c r="E150" i="1"/>
  <c r="F150" i="1"/>
  <c r="C150" i="1"/>
  <c r="D139" i="1"/>
  <c r="D152" i="1" s="1"/>
  <c r="C139" i="1"/>
  <c r="C152" i="1" s="1"/>
  <c r="F134" i="1"/>
  <c r="E134" i="1"/>
  <c r="D134" i="1"/>
  <c r="C134" i="1"/>
  <c r="D206" i="1"/>
  <c r="E206" i="1"/>
  <c r="F206" i="1"/>
  <c r="D76" i="1"/>
  <c r="E76" i="1"/>
  <c r="F76" i="1"/>
  <c r="C76" i="1"/>
  <c r="C110" i="1"/>
  <c r="D110" i="1"/>
  <c r="E110" i="1"/>
  <c r="F110" i="1"/>
  <c r="H33" i="3" l="1"/>
  <c r="H17" i="3"/>
  <c r="K17" i="3"/>
  <c r="K33" i="3"/>
  <c r="L33" i="3"/>
  <c r="L17" i="3"/>
  <c r="I4" i="1"/>
  <c r="J26" i="3"/>
  <c r="L26" i="3"/>
  <c r="I134" i="1"/>
  <c r="H134" i="1"/>
  <c r="H139" i="1" s="1"/>
  <c r="H152" i="1" s="1"/>
  <c r="J33" i="3"/>
  <c r="J17" i="3"/>
  <c r="I17" i="3"/>
  <c r="I33" i="3"/>
  <c r="L134" i="1"/>
  <c r="J134" i="1"/>
  <c r="K134" i="1"/>
  <c r="K139" i="1" s="1"/>
  <c r="K152" i="1" s="1"/>
  <c r="E139" i="1"/>
  <c r="E152" i="1" s="1"/>
  <c r="J4" i="1"/>
  <c r="L4" i="1"/>
  <c r="C177" i="1"/>
  <c r="H24" i="3" l="1"/>
  <c r="H26" i="3" s="1"/>
  <c r="H4" i="1"/>
  <c r="K24" i="3"/>
  <c r="K26" i="3" s="1"/>
  <c r="K5" i="1"/>
  <c r="K4" i="1"/>
  <c r="J216" i="1"/>
  <c r="J217" i="1" s="1"/>
  <c r="J220" i="1"/>
  <c r="J221" i="1" s="1"/>
  <c r="L216" i="1"/>
  <c r="L217" i="1" s="1"/>
  <c r="L220" i="1"/>
  <c r="L221" i="1" s="1"/>
  <c r="D167" i="1"/>
  <c r="D177" i="1" s="1"/>
  <c r="E167" i="1"/>
  <c r="F167" i="1"/>
  <c r="E64" i="1"/>
  <c r="D64" i="1"/>
  <c r="F64" i="1"/>
  <c r="C64" i="1"/>
  <c r="D135" i="1"/>
  <c r="E135" i="1"/>
  <c r="F135" i="1"/>
  <c r="F139" i="1" s="1"/>
  <c r="F152" i="1" s="1"/>
  <c r="C135" i="1"/>
  <c r="D58" i="1"/>
  <c r="E58" i="1"/>
  <c r="F58" i="1"/>
  <c r="C58" i="1"/>
  <c r="D52" i="1"/>
  <c r="E52" i="1"/>
  <c r="F52" i="1"/>
  <c r="C52" i="1"/>
  <c r="D19" i="1"/>
  <c r="E19" i="1"/>
  <c r="F19" i="1"/>
  <c r="E13" i="1"/>
  <c r="F13" i="1"/>
  <c r="D13" i="1"/>
  <c r="D89" i="1" s="1"/>
  <c r="F89" i="1" l="1"/>
  <c r="C89" i="1"/>
  <c r="C4" i="1" s="1"/>
  <c r="E89" i="1"/>
  <c r="L40" i="3"/>
  <c r="L39" i="3"/>
  <c r="H135" i="1"/>
  <c r="I135" i="1"/>
  <c r="J40" i="3"/>
  <c r="J39" i="3"/>
  <c r="K44" i="3"/>
  <c r="K220" i="1"/>
  <c r="K216" i="1"/>
  <c r="J135" i="1"/>
  <c r="K135" i="1"/>
  <c r="L135" i="1"/>
  <c r="L223" i="1"/>
  <c r="L5" i="1" s="1"/>
  <c r="J223" i="1"/>
  <c r="J5" i="1" s="1"/>
  <c r="F177" i="1"/>
  <c r="E177" i="1"/>
  <c r="D4" i="1"/>
  <c r="J41" i="3" l="1"/>
  <c r="L41" i="3"/>
  <c r="F4" i="1"/>
  <c r="E4" i="1"/>
  <c r="C5" i="1"/>
  <c r="L44" i="3" l="1"/>
  <c r="J44" i="3"/>
  <c r="L51" i="3" s="1"/>
  <c r="C216" i="1"/>
  <c r="C220" i="1"/>
  <c r="E216" i="1"/>
  <c r="E220" i="1"/>
  <c r="F216" i="1"/>
  <c r="F220" i="1"/>
  <c r="D216" i="1"/>
  <c r="D217" i="1" s="1"/>
  <c r="D220" i="1"/>
  <c r="D221" i="1" s="1"/>
  <c r="L49" i="3" l="1"/>
  <c r="L48" i="3"/>
  <c r="L50" i="3" s="1"/>
  <c r="J51" i="3"/>
  <c r="J54" i="3" s="1"/>
  <c r="K51" i="3"/>
  <c r="I220" i="1"/>
  <c r="I221" i="1" s="1"/>
  <c r="H220" i="1"/>
  <c r="H221" i="1" s="1"/>
  <c r="I216" i="1"/>
  <c r="I217" i="1" s="1"/>
  <c r="H216" i="1"/>
  <c r="H217" i="1" s="1"/>
  <c r="F221" i="1"/>
  <c r="F217" i="1"/>
  <c r="D223" i="1"/>
  <c r="D5" i="1" s="1"/>
  <c r="E221" i="1"/>
  <c r="E217" i="1"/>
  <c r="F223" i="1" l="1"/>
  <c r="F5" i="1" s="1"/>
  <c r="H39" i="3"/>
  <c r="H40" i="3"/>
  <c r="I40" i="3"/>
  <c r="I223" i="1"/>
  <c r="I5" i="1" s="1"/>
  <c r="I39" i="3"/>
  <c r="E223" i="1"/>
  <c r="E5" i="1" s="1"/>
  <c r="H223" i="1"/>
  <c r="H5" i="1" s="1"/>
  <c r="K54" i="3" l="1"/>
  <c r="K45" i="3" s="1"/>
  <c r="L54" i="3"/>
  <c r="J4" i="3"/>
  <c r="J45" i="3"/>
  <c r="K4" i="3"/>
  <c r="H41" i="3"/>
  <c r="I41" i="3"/>
  <c r="H44" i="3" l="1"/>
  <c r="L45" i="3"/>
  <c r="L4" i="3"/>
  <c r="I44" i="3"/>
  <c r="I51" i="3" l="1"/>
  <c r="H51" i="3"/>
  <c r="H54" i="3" s="1"/>
  <c r="I54" i="3"/>
  <c r="H62" i="3" s="1"/>
  <c r="H45" i="3" l="1"/>
  <c r="H61" i="3"/>
  <c r="K61" i="3" s="1"/>
  <c r="H4" i="3"/>
  <c r="I4" i="3"/>
  <c r="I45" i="3"/>
  <c r="M62" i="3"/>
  <c r="I61" i="3" l="1"/>
  <c r="M61" i="3"/>
  <c r="J61" i="3"/>
  <c r="L61" i="3"/>
  <c r="I62" i="3"/>
  <c r="L62" i="3"/>
  <c r="J62" i="3"/>
  <c r="K6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L1" authorId="0" shapeId="0" xr:uid="{2519FF30-551E-497A-9D6F-AC5F4AAD386E}">
      <text>
        <r>
          <rPr>
            <sz val="11"/>
            <color indexed="81"/>
            <rFont val="Tahoma"/>
            <family val="2"/>
          </rPr>
          <t>Use this area to store scenarios.  This means once you have created a scenario in columns B and C, you can copy/paste those to these columns, or insert more if you need to store more than two scenarios.  Then you can restore previous scenarios for walkability evaluation by simply copy/paste from here back to B and C.</t>
        </r>
      </text>
    </comment>
    <comment ref="C8" authorId="0" shapeId="0" xr:uid="{2E4E9BA4-815A-4D0C-B012-A1D2888015B2}">
      <text>
        <r>
          <rPr>
            <sz val="11"/>
            <color indexed="81"/>
            <rFont val="Tahoma"/>
            <family val="2"/>
          </rPr>
          <t>A minimum sidewalk is 4' for suburban SF neighborhoods and 6' for suburban commercial.  Walkable urban environments need 7-8' sidewalks, and very urban (3-10+ story development) may do well with even larger walkways).</t>
        </r>
      </text>
    </comment>
    <comment ref="C10" authorId="0" shapeId="0" xr:uid="{1D0A7C51-CD21-4DCD-8E22-0D0C1E7910FC}">
      <text>
        <r>
          <rPr>
            <b/>
            <sz val="11"/>
            <color indexed="81"/>
            <rFont val="Tahoma"/>
            <family val="2"/>
          </rPr>
          <t>Street Tree situation, from Worst to Best</t>
        </r>
        <r>
          <rPr>
            <sz val="11"/>
            <color indexed="81"/>
            <rFont val="Tahoma"/>
            <family val="2"/>
          </rPr>
          <t xml:space="preserve">
1: Private, few trees: What trees exist are random species, random placement, and generally on private property
2: Private, many trees: Still random species, placement, and generally on private property, but a lot more of them.
3: Public, but poor: Some small trees, shrubs, flowers in ROW, but narrow space, poor growth.  Not uniform on both sides.
4: Public, good: Many uniform trees on both sides. But small when mature and some may struggle.
5: Public, great!  Many uniform trees on both sides.  Healthy, large shade canopy when mature</t>
        </r>
      </text>
    </comment>
    <comment ref="C11" authorId="0" shapeId="0" xr:uid="{19CEA43F-5825-4150-8486-A38272DA5CB7}">
      <text>
        <r>
          <rPr>
            <sz val="11"/>
            <color indexed="81"/>
            <rFont val="Tahoma"/>
            <family val="2"/>
          </rPr>
          <t>1 = No lighting of pedestrian areas; 
2=Cobra-head lights, more for cars; 
3=Artistic, ped-scale; 
4=Artistic, with banners and/or plant hangers.</t>
        </r>
      </text>
    </comment>
    <comment ref="C12" authorId="0" shapeId="0" xr:uid="{BC12DEB4-D52F-473D-B2A5-0753290206D4}">
      <text>
        <r>
          <rPr>
            <sz val="11"/>
            <color indexed="81"/>
            <rFont val="Tahoma"/>
            <family val="2"/>
          </rPr>
          <t xml:space="preserve">The most walkable areas have 10-ft lanes to motivate drivers to slow down for pedestrian safety, and to ensure more space is avaliable for walkable uses.  11-ft lanes are acceptable on suburban highways as a compromise between speed and pedestrian safety.  12-ft lanes are ok in Industrial areas which usually don't have many pedestrians.  </t>
        </r>
      </text>
    </comment>
    <comment ref="U12" authorId="0" shapeId="0" xr:uid="{9BC39771-B90B-4AA6-8635-B9A83BD8C35F}">
      <text>
        <r>
          <rPr>
            <b/>
            <sz val="9"/>
            <color indexed="81"/>
            <rFont val="Tahoma"/>
            <family val="2"/>
          </rPr>
          <t>Sidewalk Quality 
1=No walk; 2=poor; 3=good; 4=great.</t>
        </r>
      </text>
    </comment>
    <comment ref="C13" authorId="0" shapeId="0" xr:uid="{350B9FFC-F7B2-4CE8-9B79-E9D129D1265C}">
      <text>
        <r>
          <rPr>
            <sz val="11"/>
            <color indexed="81"/>
            <rFont val="Tahoma"/>
            <family val="2"/>
          </rPr>
          <t>The more lanes there are, the less walkable the corridor probably is.  You may not be able to do anything about this, but it is still a factor.</t>
        </r>
      </text>
    </comment>
    <comment ref="C16" authorId="0" shapeId="0" xr:uid="{D136F9E3-6148-4725-8E15-06A88B56B473}">
      <text>
        <r>
          <rPr>
            <b/>
            <sz val="9"/>
            <color indexed="81"/>
            <rFont val="Tahoma"/>
            <family val="2"/>
          </rPr>
          <t>Yes if many crossings offer pedestrian refuge, (or yes if one-way, since one-way doesn't need pedestrian refuge).
No if few crossings offer protected pedestrian refuge</t>
        </r>
      </text>
    </comment>
    <comment ref="C21" authorId="0" shapeId="0" xr:uid="{4D37B221-D2BD-48EE-9F5B-3080F4F4DDF4}">
      <text>
        <r>
          <rPr>
            <b/>
            <sz val="9"/>
            <color indexed="81"/>
            <rFont val="Tahoma"/>
            <family val="2"/>
          </rPr>
          <t xml:space="preserve">A large number of driveways crossing sidewalks is common for auto-oriented areas.  To make it more walkable, consolidate driveways, relocate drive access to cross-streets, and create backage roads if possible to help create alternative locations for drive accessibility.  </t>
        </r>
      </text>
    </comment>
    <comment ref="C22" authorId="0" shapeId="0" xr:uid="{F258F94F-A569-4FFD-82F4-C1AE8FB993E2}">
      <text>
        <r>
          <rPr>
            <b/>
            <sz val="9"/>
            <color indexed="81"/>
            <rFont val="Tahoma"/>
            <family val="2"/>
          </rPr>
          <t xml:space="preserve">How far does a pedestrian have to go to find a safe cross-walk?  Below, an ideal situation would have not more than X-ft between crossing opportunities:
Industrial: 800 ft 
Suburban: 660 ft
Urban: 500 ft
Urban+: 300 ft
</t>
        </r>
      </text>
    </comment>
    <comment ref="C23" authorId="0" shapeId="0" xr:uid="{B58F66F6-A1DF-4E44-AADB-3CA69AFEA220}">
      <text>
        <r>
          <rPr>
            <b/>
            <sz val="9"/>
            <color indexed="81"/>
            <rFont val="Tahoma"/>
            <family val="2"/>
          </rPr>
          <t>No if not allowed, or if technically allowed but is so under-utilized that it does not help with traffic calming nor facilitating higher density development.
Yes if it is allowed and expected to be significantly utilized in the coming decades and walkable development emerges.</t>
        </r>
      </text>
    </comment>
    <comment ref="C24" authorId="0" shapeId="0" xr:uid="{5A3C5DD9-F641-4E15-B4C5-304C6C0E2F4A}">
      <text>
        <r>
          <rPr>
            <b/>
            <sz val="9"/>
            <color indexed="81"/>
            <rFont val="Tahoma"/>
            <family val="2"/>
          </rPr>
          <t>Enter the number that best describes the majority of intersections</t>
        </r>
        <r>
          <rPr>
            <sz val="9"/>
            <color indexed="81"/>
            <rFont val="Tahoma"/>
            <family val="2"/>
          </rPr>
          <t xml:space="preserve">
6: Significant number of 4-phase, very large "double left" intersections
5: Significant number of 4-phase, smaller "single left" intersections
4: Significant number of 2 &amp; 3-phase Alternative Intersections, but generally auto oriented
3: Significant number of 2 &amp; 3-phase Place-Making Alternative Intersections
2: Significant number of Single-Lane Roundabouts
1: Significant number of Multi-Lane Roundabouts
If moving from 2-way to 1-way, put your 2-way answer in the Before and on the next row, enter your 1-way anser on the After.  Vice versa if 1-way to 2-way.  If corridor is staying 2-way in both cases, just use the 2-way row. If 1-way in both, use only the 1-way row.</t>
        </r>
      </text>
    </comment>
    <comment ref="C25" authorId="0" shapeId="0" xr:uid="{1E9B1EBC-20E4-4759-A727-6694B20F82A2}">
      <text>
        <r>
          <rPr>
            <b/>
            <sz val="9"/>
            <color indexed="81"/>
            <rFont val="Tahoma"/>
            <family val="2"/>
          </rPr>
          <t xml:space="preserve">Enter the number that best describes the nature of one-way intersections.  </t>
        </r>
        <r>
          <rPr>
            <sz val="9"/>
            <color indexed="81"/>
            <rFont val="Tahoma"/>
            <family val="2"/>
          </rPr>
          <t xml:space="preserve">
Note 1:  1wy x 2wy means one of the streets is 1-way, the other is 2-way, and thus likely to require 3-phase signals.
Note 2: "Speed Oriented" means wide lanes; wide, under-utilized shoulders; no traffic calming.  
Note 3: Suburban to Urban means area started as suburban but transitioning to urban.  The original street, or original idea if not yet built, would have had maybe a 5 or 7-lane cross section.  One-ways are very good for pedestrians where the alternative is a 5 or 7 lane highway.  But it historic downtowns it is much more controversial and many people think one-ways are bad for pedestrians.  So the points are less if in downtown with a strong grid.
8: 1wy x 2wy, speed-oriented, (3-phase signals), Suburban2Urban
7: 1wy x 1wy, speed-oriented, (2-phase signals), Suburban2Urban
6: 1wy x 2wy, ped-oriented, (3-phase signals), Suburban2Urban
5: 1wy x 1wy, ped-oriented, (2-phase signals), Suburban2Urban
4: 1wy x 2wy, speed-oriented, (3-phase signals), Downtown Grid
3: 1wy x 1wy, speed-oriented, (2-phase signals), Downtown Grid
2: 1wy x 2wy, ped-oriented, (3-phase signals), Downtown Grid
1: 1wy x 1wy, ped-oriented, (2-phase signals), Downtown Grid</t>
        </r>
      </text>
    </comment>
    <comment ref="C29" authorId="0" shapeId="0" xr:uid="{D9E9FDDD-1BB5-4EF9-BCAD-3808FF5D3B0D}">
      <text>
        <r>
          <rPr>
            <b/>
            <sz val="9"/>
            <color indexed="81"/>
            <rFont val="Tahoma"/>
            <family val="2"/>
          </rPr>
          <t>This should be the likely speed of the majority of traffic, which may exceed the posted speed by 5-10 mph if most drivers find the road safe to travel at higher speeds due to auto-oriented design.  Use traffic calming and walkable features described in this tool to help ensure drivers will comply with posted speed limits.  Column G shows the Ideal speed for the area type you selected.</t>
        </r>
      </text>
    </comment>
    <comment ref="C30" authorId="0" shapeId="0" xr:uid="{503C256B-B865-41AC-8345-C76978E206E9}">
      <text>
        <r>
          <rPr>
            <b/>
            <sz val="9"/>
            <color indexed="81"/>
            <rFont val="Tahoma"/>
            <family val="2"/>
          </rPr>
          <t>Walkable areas are often supported by transit.  High frequency corridors get more walkability points than low frequency corridors.</t>
        </r>
      </text>
    </comment>
    <comment ref="U30" authorId="0" shapeId="0" xr:uid="{DBA5D812-6BB8-4EBC-997D-57BEDA1F8FD8}">
      <text>
        <r>
          <rPr>
            <b/>
            <sz val="9"/>
            <color indexed="81"/>
            <rFont val="Tahoma"/>
            <family val="2"/>
          </rPr>
          <t xml:space="preserve">Street Tree situation, from Worst to Best
</t>
        </r>
        <r>
          <rPr>
            <sz val="11"/>
            <color indexed="81"/>
            <rFont val="Tahoma"/>
            <family val="2"/>
          </rPr>
          <t>1: Private, few trees: What trees exist are random species, random placement, and generally on private property
2: Private, many trees: Still random species, placement, and generally on private property, but a lot more of them.
3: Public, but poor: Some small trees, shrubs, flowers in ROW, but narrow space, poor growth.  Not uniform on both sides.
4: Public, good: Many uniform trees on both sides. But small when mature and some may struggle.
5: Public, great!  Many uniform trees on both sides.  Healthy, large shade canopy when mature</t>
        </r>
      </text>
    </comment>
    <comment ref="C31" authorId="0" shapeId="0" xr:uid="{E58E45E8-C132-4DF1-826A-48A28E371EF3}">
      <text>
        <r>
          <rPr>
            <b/>
            <sz val="9"/>
            <color indexed="81"/>
            <rFont val="Tahoma"/>
            <family val="2"/>
          </rPr>
          <t>Many people will avoid cars and even walk more if they have access to free or low-cost transit passes.  Thus, low-fare transit contributes to walkability and to encouraging walkable development.</t>
        </r>
      </text>
    </comment>
    <comment ref="C32" authorId="0" shapeId="0" xr:uid="{56F1A617-7AE0-4EA2-9A63-F4EEFBD95D30}">
      <text>
        <r>
          <rPr>
            <b/>
            <sz val="9"/>
            <color indexed="81"/>
            <rFont val="Tahoma"/>
            <family val="2"/>
          </rPr>
          <t>If you can dedicate a lane to transit, or at least to HOV/HOT use so that Bus Rapid Transit and higher occupancy travel has an advantage, this contributes to walkability.</t>
        </r>
      </text>
    </comment>
    <comment ref="C36" authorId="0" shapeId="0" xr:uid="{49BE29B5-9C01-4FB3-A8D6-3113A1212635}">
      <text>
        <r>
          <rPr>
            <b/>
            <sz val="9"/>
            <color indexed="81"/>
            <rFont val="Tahoma"/>
            <family val="2"/>
          </rPr>
          <t>1: Zoning regulations require developers to provide a significant amount of parking.  This discourages walkability by often forcing development to provide more parking than is really needed, and prevents infill because developers can't afford to create the parking.
2: Some areas are removing parking requirements.  The market will still provide some parking, as necessary to sell properties or secure leases, but it will not overdo it.
3: Parking maximums: Some areas are so popular for walkable development they can afford to implement parking maximums, and they provide circulation to/from the area via transit, peripheral parking, etc.</t>
        </r>
      </text>
    </comment>
    <comment ref="U36" authorId="0" shapeId="0" xr:uid="{4A4C0684-E8B9-46C6-9305-68C89D58F4CB}">
      <text>
        <r>
          <rPr>
            <sz val="11"/>
            <color indexed="81"/>
            <rFont val="Tahoma"/>
            <family val="2"/>
          </rPr>
          <t>This is qualitative.  If lights are few and far between, and if they have an industrial appearance, choose 1.  At the other end, if they are artistic, pedestrian-scale, and maybe have flower hangers or banners, choose 4.</t>
        </r>
      </text>
    </comment>
    <comment ref="C37" authorId="0" shapeId="0" xr:uid="{50FC676A-F735-47CB-BB1B-477C4F72F64D}">
      <text>
        <r>
          <rPr>
            <b/>
            <sz val="9"/>
            <color indexed="81"/>
            <rFont val="Tahoma"/>
            <family val="2"/>
          </rPr>
          <t>See the graphic below for examples of network types.  You likely can't do anything about the network type, but it is important in understanding the overall walkability context of the larger area.</t>
        </r>
      </text>
    </comment>
    <comment ref="C38" authorId="0" shapeId="0" xr:uid="{2F64242E-2F49-4D8F-927B-D7796223482A}">
      <text>
        <r>
          <rPr>
            <sz val="11"/>
            <color indexed="81"/>
            <rFont val="Tahoma"/>
            <family val="2"/>
          </rPr>
          <t>1: Industrial or auto-oriented, and no significant desire to change it.
2: Industrial or auto-oriented, but new form-based codes and signficant desire to catalyze walkable development, extending beyond corridor up to 1/4 mile.
3: Already significantly walkable. Many buildings abut sidewalk and there is desire for more shared-wall buildings abutting sidewalks.
4: Extremely walkable building structure, or desire to create such: Shared wall buildings, 2-3+ stories, most with little or no setback from sidewalks.   Sidewalks, trees, etc. may or may not be walkable (other variables covered here), but buildings themselves are or community wants that.</t>
        </r>
      </text>
    </comment>
    <comment ref="C39" authorId="0" shapeId="0" xr:uid="{C731D8C5-CE2E-4753-B1CF-02535B31F8C8}">
      <text>
        <r>
          <rPr>
            <b/>
            <sz val="9"/>
            <color indexed="81"/>
            <rFont val="Tahoma"/>
            <family val="2"/>
          </rPr>
          <t xml:space="preserve">If the area already has a high share of elderly, or if it will in a few decades given regional trends and a focus on attracting walkable development that is appealing to the elderly, then you get walkability points for "Yes." </t>
        </r>
      </text>
    </comment>
    <comment ref="C40" authorId="0" shapeId="0" xr:uid="{FD3C9932-B786-4898-9EEF-1BED46573F8F}">
      <text>
        <r>
          <rPr>
            <b/>
            <sz val="9"/>
            <color indexed="81"/>
            <rFont val="Tahoma"/>
            <family val="2"/>
          </rPr>
          <t xml:space="preserve">If the area already has a high share of lower income or young adults who are motivated to use alternative modes, or if it will in a few decades given regional trends and a focus on attracting walkable development that is appealing to these groups, then you get walkability points for "Yes." </t>
        </r>
      </text>
    </comment>
    <comment ref="V51" authorId="0" shapeId="0" xr:uid="{F61EB0D0-43F5-4FAA-99AE-0ACB5BEB83D7}">
      <text>
        <r>
          <rPr>
            <b/>
            <sz val="9"/>
            <color indexed="81"/>
            <rFont val="Tahoma"/>
            <family val="2"/>
          </rPr>
          <t>Mike:</t>
        </r>
        <r>
          <rPr>
            <sz val="9"/>
            <color indexed="81"/>
            <rFont val="Tahoma"/>
            <family val="2"/>
          </rPr>
          <t xml:space="preserve">
It is possible to have an arterial with more than 3-lanes each direction, but 3 is considered a "big arterial" while 2 is a "normal arterlal"</t>
        </r>
      </text>
    </comment>
    <comment ref="U72" authorId="0" shapeId="0" xr:uid="{F208E5F1-F0B9-4E5C-9534-A064549B2330}">
      <text>
        <r>
          <rPr>
            <b/>
            <sz val="9"/>
            <color indexed="81"/>
            <rFont val="Tahoma"/>
            <family val="2"/>
          </rPr>
          <t>(1=Many, 2=Several, 3=Few)</t>
        </r>
      </text>
    </comment>
    <comment ref="U78" authorId="0" shapeId="0" xr:uid="{54DB6B4A-D5CB-4EC3-A082-665258BF041A}">
      <text>
        <r>
          <rPr>
            <b/>
            <sz val="9"/>
            <color indexed="81"/>
            <rFont val="Tahoma"/>
            <family val="2"/>
          </rPr>
          <t xml:space="preserve">How far does a pedestrian have to go to find a safe cross-walk?  Below, an ideal situation would have not more than X-ft between crossing opportunities:
Industrial: 800 ft 
Suburban: 660 ft
Urban: 500 ft
Urban+: 300 ft
</t>
        </r>
      </text>
    </comment>
    <comment ref="U102" authorId="0" shapeId="0" xr:uid="{6F50A2B6-9B1D-4BFF-910F-4D56D7CDFB88}">
      <text>
        <r>
          <rPr>
            <sz val="10"/>
            <color indexed="81"/>
            <rFont val="Tahoma"/>
            <family val="2"/>
          </rPr>
          <t>1: Industrial or auto-oriented, and no significant desire to change it.
2: Industrial or auto-oriented, but new form-based codes and signficant desire to catalyze walkable development, extending beyond corridor up to 1/4 mile.
3: Already significantly walkable. Many buildings abut sidewalk and there is desire for more shared-wall buildings abutting sidewalks.
4: Extremely walkable building structure, or desire to create such: Shared wall buildings, 2-3+ stories, most with little or no setback from sidewalks.   Sidewalks, trees, etc. may or may not be walkable (other variables covered here), but buildings themselves are or community wants that.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N3" authorId="0" shapeId="0" xr:uid="{F2AF5AF5-56C1-4B40-B01D-BD1DB88655E7}">
      <text>
        <r>
          <rPr>
            <b/>
            <sz val="9"/>
            <color indexed="81"/>
            <rFont val="Tahoma"/>
            <family val="2"/>
          </rPr>
          <t>Mike:</t>
        </r>
        <r>
          <rPr>
            <sz val="9"/>
            <color indexed="81"/>
            <rFont val="Tahoma"/>
            <family val="2"/>
          </rPr>
          <t xml:space="preserve">
On input sheet, select future area type, say "Urban". Column H then fills in based on the "Urban" selection (Column E). All of the red "User Input" fields are linked to the "Input Sheet" tab.</t>
        </r>
      </text>
    </comment>
    <comment ref="B99" authorId="0" shapeId="0" xr:uid="{A513ED12-6E99-4F1A-8C8D-7708CB9EF6DF}">
      <text>
        <r>
          <rPr>
            <sz val="9"/>
            <color indexed="81"/>
            <rFont val="Tahoma"/>
            <family val="2"/>
          </rPr>
          <t xml:space="preserve">Note: Width is handled separately, and thus not part of the condition.  Condition is whether there is a sidewalk at all, and if so, is it old, cracked, difficult to use, non-ADA compliant, full of weeds, etc.  </t>
        </r>
      </text>
    </comment>
    <comment ref="B216" authorId="0" shapeId="0" xr:uid="{4A8505FF-11AB-407F-BE36-62E704C81B2E}">
      <text>
        <r>
          <rPr>
            <b/>
            <sz val="9"/>
            <color indexed="81"/>
            <rFont val="Tahoma"/>
            <family val="2"/>
          </rPr>
          <t>Mike:</t>
        </r>
        <r>
          <rPr>
            <sz val="9"/>
            <color indexed="81"/>
            <rFont val="Tahoma"/>
            <family val="2"/>
          </rPr>
          <t xml:space="preserve">
If there are a lot of elderly, and if previous settings say it's not very walkable, then penalize the score with -2 (or -3 if urban).  If settings say it is very walkable, then award +2 (or +3 if urban).  If it is average walkable, give +1 based simply on demographics.  But if not many elderly, give zero points because it doesn't matter much as far as the Elderly score is concerned.</t>
        </r>
      </text>
    </comment>
    <comment ref="B220" authorId="0" shapeId="0" xr:uid="{F8B3BA2A-B607-41DB-B302-2A55B9EA2EA6}">
      <text>
        <r>
          <rPr>
            <b/>
            <sz val="9"/>
            <color indexed="81"/>
            <rFont val="Tahoma"/>
            <family val="2"/>
          </rPr>
          <t>Mike:</t>
        </r>
        <r>
          <rPr>
            <sz val="9"/>
            <color indexed="81"/>
            <rFont val="Tahoma"/>
            <family val="2"/>
          </rPr>
          <t xml:space="preserve">
If there are a lot of lower income folks or young adults, and if previous settings say it's not very walkable, then penalize the score with -2 (or -3 if urban).  If settings say it is very walkable, then award +2 (or +3 if urban).  If it is average walkable, give +1 based simply on demographics.  But if demographics of this area are similar to suburban or regional average, give zero points because it doesn't matter much as far as this measure is concerned.
Note: Combined low income and youth together to avoid over emphasizing demographic measures relative to other measures.</t>
        </r>
      </text>
    </comment>
  </commentList>
</comments>
</file>

<file path=xl/sharedStrings.xml><?xml version="1.0" encoding="utf-8"?>
<sst xmlns="http://schemas.openxmlformats.org/spreadsheetml/2006/main" count="547" uniqueCount="332">
  <si>
    <t>Industrial</t>
  </si>
  <si>
    <t>Suburban</t>
  </si>
  <si>
    <t>Urban</t>
  </si>
  <si>
    <t>Sidewalk Width, Min</t>
  </si>
  <si>
    <t>Sidewalk Width, Ideal</t>
  </si>
  <si>
    <t>Above this = negative points, below = positive</t>
  </si>
  <si>
    <t>Yes</t>
  </si>
  <si>
    <t>No</t>
  </si>
  <si>
    <t>Sidewalk Width, Points</t>
  </si>
  <si>
    <t>Sidewalk Width, Actual</t>
  </si>
  <si>
    <t>Buffer between sidewalk and curb edge, Min</t>
  </si>
  <si>
    <t>Buffer between sidewalk and curb edge, Ideal</t>
  </si>
  <si>
    <t>Buffer between sidewalk and curb edge, Actual</t>
  </si>
  <si>
    <t>Buffer between sidewalk and curb edge, Points</t>
  </si>
  <si>
    <t>Quality of street trees within buffer, Points</t>
  </si>
  <si>
    <t>Posted Speed, Ideal</t>
  </si>
  <si>
    <t>Posted Speed, Points</t>
  </si>
  <si>
    <t>Posted Speed, Max</t>
  </si>
  <si>
    <t>Posted Speed, Points Factor</t>
  </si>
  <si>
    <t>Buffer between sidewalk and curb, Points Factor</t>
  </si>
  <si>
    <t>Sidewalk Width, Points Factor</t>
  </si>
  <si>
    <t>Width of travel lanes, Ideal</t>
  </si>
  <si>
    <t>Width of travel lanes, Actual</t>
  </si>
  <si>
    <t>Width of travel lanes, Points Factor</t>
  </si>
  <si>
    <t>Width of travel lanes, Points</t>
  </si>
  <si>
    <t>Width of travel lanes, Max</t>
  </si>
  <si>
    <t>Number of Thru-Lanes per Dir, Max</t>
  </si>
  <si>
    <t>Number of Thru-Lanes per Dir, Actual</t>
  </si>
  <si>
    <t>Number of Thru-Lanes per Dir, Points Factor</t>
  </si>
  <si>
    <t>Number of Thru-Lanes per Dir, Points</t>
  </si>
  <si>
    <t>Number of Thru-Lanes per Dir, Normal</t>
  </si>
  <si>
    <t>If transit frequency at least 30-minutes</t>
  </si>
  <si>
    <t>If transit frequency at least 15-minutes</t>
  </si>
  <si>
    <t>Speed, Posted or Commonly Occuring</t>
  </si>
  <si>
    <t>Applies to arterials that would otherwise have 2 or more lanes each direction if operated as two-way streets</t>
  </si>
  <si>
    <t>Auto oriented designs include Continuous Flow / Displaced Left Turn (CFI/DLT), or other designs with potential for pedestrian-orientation, but were not designed that way.</t>
  </si>
  <si>
    <t>Ped-oriented Quadrants, Bowties/Median-U, RCUTs</t>
  </si>
  <si>
    <t>Quality of street lighting, Min</t>
  </si>
  <si>
    <t>Base score on scale of 1-4: 1 = No lighting of pedestrian areas; 2=Cobra-head lights, more for cars; 3=Artistic, ped-scale; 4=Artistic, with banners and/or plant hangers.</t>
  </si>
  <si>
    <t>Quality of street lighting, Ideal</t>
  </si>
  <si>
    <t>Quality of street lighting, Points Factor</t>
  </si>
  <si>
    <t>Quality of street lighting, Points</t>
  </si>
  <si>
    <t>Ped cross opportunity (in ft), User input</t>
  </si>
  <si>
    <t>Ped cross opportunity, Points awarded</t>
  </si>
  <si>
    <t>Driveways across sidewalks, User Input</t>
  </si>
  <si>
    <t>Driveways across sidewalks, Ideal</t>
  </si>
  <si>
    <t>Driveways across sidewalks, Points Factor</t>
  </si>
  <si>
    <t>Driveways across sidewalks, Points</t>
  </si>
  <si>
    <t>Driveways across sidewalks, Acceptable</t>
  </si>
  <si>
    <t>Bicycle facilities, User Input</t>
  </si>
  <si>
    <t>Bicycle facilities, Acceptable</t>
  </si>
  <si>
    <t>Bicycle facilities, Ideal</t>
  </si>
  <si>
    <t>Bicycle facilities, Points Factor</t>
  </si>
  <si>
    <t>Bicycle facilities, Points</t>
  </si>
  <si>
    <t>Transit Frequency, User input</t>
  </si>
  <si>
    <t>Peak period frequency in minutes. Zero means no transit</t>
  </si>
  <si>
    <t>If transit frequency at least 8-minutes</t>
  </si>
  <si>
    <t>If transit frequency at least 60-minutes</t>
  </si>
  <si>
    <t>Transit Frequency, Points Factor</t>
  </si>
  <si>
    <t>Dedicated transit or HOV/HOT lane, User input</t>
  </si>
  <si>
    <t>1=Dedicated lane; 0=No dedicated lane</t>
  </si>
  <si>
    <t>Dedicated transit or HOV/HOT lane, Points Available</t>
  </si>
  <si>
    <t>Median Type, User Input</t>
  </si>
  <si>
    <t>Median Type, Acceptable</t>
  </si>
  <si>
    <t>Median Type, Ideal</t>
  </si>
  <si>
    <t>Median Type, Points Factor</t>
  </si>
  <si>
    <t>Median Type, Points</t>
  </si>
  <si>
    <t>Pedestrian Refuge in Median, Points Available</t>
  </si>
  <si>
    <t>Pedestrian Refuge in Median, Points Awarded</t>
  </si>
  <si>
    <t>Dedicated transit or HOV/HOT lane, Points Awarded</t>
  </si>
  <si>
    <t>Worst to Best: 1= Haphazard Dendritic, 2 = Section-Line Dendritic, 3 = Semi-Urban, 4 = Loose Grid, 5 = Tight Grid</t>
  </si>
  <si>
    <t>5: Tight grid (through streets less than 600 ft apart)</t>
  </si>
  <si>
    <t>4: Loose grid (through streets 600-1300 ft apart)</t>
  </si>
  <si>
    <t>3: Semi-urban (through streets 1300-2600 ft apart)</t>
  </si>
  <si>
    <t>2: Section-line dendritic (through streets typically 1/2 to 1.0 miles apart)</t>
  </si>
  <si>
    <t>1: Haphazard dendritic (through streets typically 3/4 to 2+ miles apart)</t>
  </si>
  <si>
    <t>Network Type, Points Awarded or Detracted</t>
  </si>
  <si>
    <t>Network Type, Half-mile Buffer, User Input</t>
  </si>
  <si>
    <t>If most common intersections are 2wy x 2wy, User Input</t>
  </si>
  <si>
    <t>1: Significant number of Multi-Lane Roundabouts</t>
  </si>
  <si>
    <t>2: Significant number of Single-Lane Roundabouts</t>
  </si>
  <si>
    <t>6: Significant number of 4-phase, very large "double left" intersections</t>
  </si>
  <si>
    <t>5: Significant number of 4-phase, smaller "single left" intersections</t>
  </si>
  <si>
    <t>4: Significant number of 2 &amp; 3-phase Alternative Intersections, but generally auto oriented</t>
  </si>
  <si>
    <t>3: Significant number of 2 &amp; 3-phase Place-Making Alternative Intersections</t>
  </si>
  <si>
    <t>4: 1wy x 2wy, speed-oriented, (3-phase signals), Downtown Grid</t>
  </si>
  <si>
    <t>3: 1wy x 1wy, speed-oriented, (2-phase signals), Downtown Grid</t>
  </si>
  <si>
    <t>2: 1wy x 2wy, ped-oriented, (3-phase signals), Downtown Grid</t>
  </si>
  <si>
    <t>1: 1wy x 1wy, ped-oriented, (2-phase signals), Downtown Grid</t>
  </si>
  <si>
    <t>If most common ints. are 1wy x 2wy or 1wy x 1wy, User Input</t>
  </si>
  <si>
    <t>Intersection Type, Points Awarded or Detracted</t>
  </si>
  <si>
    <t>8: 1wy x 2wy, speed-oriented, (3-phase signals), Suburban2Urban</t>
  </si>
  <si>
    <t>7: 1wy x 1wy, speed-oriented, (2-phase signals), Suburban2Urban</t>
  </si>
  <si>
    <t>6: 1wy x 2wy, ped-oriented, (3-phase signals), Suburban2Urban</t>
  </si>
  <si>
    <t>5: 1wy x 1wy, ped-oriented, (2-phase signals), Suburban2Urban</t>
  </si>
  <si>
    <t>Intersection Type, Based on One-Way or Two-Way Selection</t>
  </si>
  <si>
    <t>4: Many uniform trees, both sides: small when mature</t>
  </si>
  <si>
    <t>5: Many uniform trees, both sides: tall, large canopy when mature</t>
  </si>
  <si>
    <t>3: Some small trees, shrubs, flowers in ROW, but narrow space, poor growth.</t>
  </si>
  <si>
    <t>Quality of sidewalk area street trees, Min</t>
  </si>
  <si>
    <t>Quality of sidewalk area street trees, Ideal</t>
  </si>
  <si>
    <t>Quality of sidewalk area street trees, Points Factor</t>
  </si>
  <si>
    <t>Quality of sidewalk area street trees, Points Awarded</t>
  </si>
  <si>
    <t>2: Many trees: yet random species, placement, and generally on private property</t>
  </si>
  <si>
    <t>1: Few trees: with random species, placement, and generally on private property</t>
  </si>
  <si>
    <t xml:space="preserve">Use this as a calculator for awarding points. Set all inputs to 1 and see how points turn out. Place those </t>
  </si>
  <si>
    <t>Quality of sidewalk area street trees, Inputs (Formula results)</t>
  </si>
  <si>
    <t>Quality of street lighting, Inputs (Formula Results)</t>
  </si>
  <si>
    <t>Quality of street lighting, (Select best-fit option)</t>
  </si>
  <si>
    <t>Quality of sidewalk area street trees, (Select best-fit option)</t>
  </si>
  <si>
    <t>1: No lighting of any sidewalk areas</t>
  </si>
  <si>
    <t>2: Cobra-head lights, more for autos than pedestrians</t>
  </si>
  <si>
    <t>3: Artistic, pedestrian-scale lighting</t>
  </si>
  <si>
    <t>4: Artistic, pedestrian-scale lighting, with banners and/or plant hangers</t>
  </si>
  <si>
    <t>1: Many driveways across sidewalks</t>
  </si>
  <si>
    <t>3: Very few driveways across sidewalks</t>
  </si>
  <si>
    <t>2: Several driveways across sidewalks</t>
  </si>
  <si>
    <t>points in the radio box version (the 1-3 list).  Then set all to 2 and do again, etc.</t>
  </si>
  <si>
    <t>1: No Path</t>
  </si>
  <si>
    <t>2: Stripped lane near traffic</t>
  </si>
  <si>
    <t>3: Protected cycle track, on or near corridor</t>
  </si>
  <si>
    <t>1: Uncontrolled TWLTL for most of length</t>
  </si>
  <si>
    <t>2: Raised median, but mainly hardscape in median</t>
  </si>
  <si>
    <t>3: Planted median with many trees in great soil</t>
  </si>
  <si>
    <t>Median Type, Points Awarded</t>
  </si>
  <si>
    <t>Design Attributes: Cross Section</t>
  </si>
  <si>
    <t>Design Attributes: Corridor Top View</t>
  </si>
  <si>
    <t>Operational Attributes: Speed, Transit</t>
  </si>
  <si>
    <t>Design Attributes, Top View, Intersections  (Either 2-way or 1-way, but not both)</t>
  </si>
  <si>
    <t>Transit Frequency, Points awarded</t>
  </si>
  <si>
    <t>Parking Policies</t>
  </si>
  <si>
    <t>1: Traditional parking minimums</t>
  </si>
  <si>
    <t>2: Tiny minimums, or even no minimums</t>
  </si>
  <si>
    <t>3: Parking maximums</t>
  </si>
  <si>
    <t>Design, Cross-Section Subtotal</t>
  </si>
  <si>
    <t>Design, Top-View Subtotal</t>
  </si>
  <si>
    <t>Enter 1 if corridor involves many one-way intersections; 2 if mainly two-way intersections</t>
  </si>
  <si>
    <t>Operational Attributes: Speed, Transit: Summary of Points</t>
  </si>
  <si>
    <t>Neighborhood Attributes:  Summary of Points</t>
  </si>
  <si>
    <t>Note: Future Land Plans already accounted for when you select a scenario type</t>
  </si>
  <si>
    <t>Demographics, Social Equity, Points Awarded</t>
  </si>
  <si>
    <t>Seems like points should be based on the appropriateness of all previous calcs.  So if previous says a corridor</t>
  </si>
  <si>
    <t>is unwalkable, but plans have high share of elderly, then rate it as even more unwalkable.  Vice versa.</t>
  </si>
  <si>
    <t>Demographics, Leans Elderly?</t>
  </si>
  <si>
    <t>Points awarded or detracted if leans elderly</t>
  </si>
  <si>
    <t>Points awarded or detracted if leans lower income or young adult</t>
  </si>
  <si>
    <t>Demographics, Leans Lower Income or young adult?</t>
  </si>
  <si>
    <t>Accumulated Points, Pre-Demographic</t>
  </si>
  <si>
    <t>Accumulated Points, Post-Demographic</t>
  </si>
  <si>
    <t>Urban+</t>
  </si>
  <si>
    <t>Ideal</t>
  </si>
  <si>
    <t>Sidewalk Buffer, Min</t>
  </si>
  <si>
    <t>Sidewalk Buffer, Ideal</t>
  </si>
  <si>
    <t>Street Trees, Min</t>
  </si>
  <si>
    <t>Street Trees, Ideal</t>
  </si>
  <si>
    <t>Street Lights, Min</t>
  </si>
  <si>
    <t>Street Lights, Ideal</t>
  </si>
  <si>
    <t>Scale 1-5</t>
  </si>
  <si>
    <t>Scale 1-4</t>
  </si>
  <si>
    <t>Width Lanes, Max</t>
  </si>
  <si>
    <t>Width Lanes, Ideal</t>
  </si>
  <si>
    <t>Lane Width (FT)</t>
  </si>
  <si>
    <t>Ok</t>
  </si>
  <si>
    <t>Number Lanes, Max</t>
  </si>
  <si>
    <t>Number Lanes, Ideal</t>
  </si>
  <si>
    <t>Lanes: number GP lanes each direction</t>
  </si>
  <si>
    <t>Scale 1-3</t>
  </si>
  <si>
    <t>Bike facilities, OK</t>
  </si>
  <si>
    <t>Bike facilities, Ideal</t>
  </si>
  <si>
    <t>Median Type, OK</t>
  </si>
  <si>
    <t>Pedestrian Refuge in Median/Cross-Walk?</t>
  </si>
  <si>
    <t>Driveways, OK</t>
  </si>
  <si>
    <t>Driveways, Ideal</t>
  </si>
  <si>
    <t>Three Opts</t>
  </si>
  <si>
    <t>Driveways across sidewalks (1=Many, 2=Several, 3=Few)</t>
  </si>
  <si>
    <t>Ped cross opportunity (in FT)</t>
  </si>
  <si>
    <t>Ped Cross, OK</t>
  </si>
  <si>
    <t>Ped Cross, Ideal</t>
  </si>
  <si>
    <t>Corridor involves mainly two-way or mainly one-way intersections?</t>
  </si>
  <si>
    <t>Speed, OK</t>
  </si>
  <si>
    <t>Speed, Ideal</t>
  </si>
  <si>
    <t>Transit peak period frequency (minutes - zero if no transit)</t>
  </si>
  <si>
    <t>Transit: dedicated lane or HOV/HOT lane?</t>
  </si>
  <si>
    <t>Parking Policies, User Input</t>
  </si>
  <si>
    <t>Parking Policy, Normal</t>
  </si>
  <si>
    <t>Parking Policy, Ideal for Pedestrians</t>
  </si>
  <si>
    <t>Parking Policy, Points Awarded</t>
  </si>
  <si>
    <t>Parking Policy, Points Factor</t>
  </si>
  <si>
    <t>Parking Policy, Norm</t>
  </si>
  <si>
    <t>Parking Policy, Peds</t>
  </si>
  <si>
    <t>Parking Policy, Points</t>
  </si>
  <si>
    <t>Network Type (1-5 options)</t>
  </si>
  <si>
    <t>Network Type, Common</t>
  </si>
  <si>
    <t>Network Type, Ideal</t>
  </si>
  <si>
    <t>Network Type, Points Factor</t>
  </si>
  <si>
    <t>Network Type, Points Awarded</t>
  </si>
  <si>
    <t>Network Type, Norm</t>
  </si>
  <si>
    <t>Network Type, Peds</t>
  </si>
  <si>
    <t>Network Type (1=Haphazard, 5=Tight Grid)</t>
  </si>
  <si>
    <t>Norm</t>
  </si>
  <si>
    <t>Pedestrian Refuge in Median?, User Input</t>
  </si>
  <si>
    <t>No fare encourages less reliance on cars</t>
  </si>
  <si>
    <t>Demographics, Leans Elderly?, Points Awarded</t>
  </si>
  <si>
    <t>Bike facilities, Points Awarded</t>
  </si>
  <si>
    <t>Worst</t>
  </si>
  <si>
    <t>Best</t>
  </si>
  <si>
    <t>Ave</t>
  </si>
  <si>
    <t>How this works:  See Comment</t>
  </si>
  <si>
    <t>If safe ped crossings at least every 1320 ft (1/4 mile)</t>
  </si>
  <si>
    <t>If safe ped crossings at least every 660 ft (1/8 mile)</t>
  </si>
  <si>
    <t>Transit: Free Fare?, Points if free or nominal</t>
  </si>
  <si>
    <t>Transit: Free Fare?, User input</t>
  </si>
  <si>
    <t>Transit: Free Fare?, Points awarded</t>
  </si>
  <si>
    <t>Transit: Free Fare? ("Yes" if Free or if Pass  &lt;= $50/yr; Otherwise "No")</t>
  </si>
  <si>
    <t>Parking Policy (1=Significant required, 2=Not required, 3=Max allowed)</t>
  </si>
  <si>
    <t>4: No Median (one-way or simply no median)</t>
  </si>
  <si>
    <t xml:space="preserve">Quality of sidewalk </t>
  </si>
  <si>
    <t>Quality of sidewalk, Min</t>
  </si>
  <si>
    <t>Quality of sidewalk, Ideal</t>
  </si>
  <si>
    <t>Quality of sidewalk, Points Factor</t>
  </si>
  <si>
    <t>Quality of sidewalk, (Select best-fit option)</t>
  </si>
  <si>
    <t>1: No sidewalk - must use shoulder or dirt path</t>
  </si>
  <si>
    <t>2: Sidewalk, but pavement in poor condition</t>
  </si>
  <si>
    <t>3: Good condition, but plagued by dirt, gravel, adjacent weeds, etc.</t>
  </si>
  <si>
    <t>4: Great condition.  Pathway and adjacent areas well maintained.</t>
  </si>
  <si>
    <t>Sidewalk Quality, Min</t>
  </si>
  <si>
    <t>Sidewalk Quality, Ideal</t>
  </si>
  <si>
    <t>Sidewalk Quality (Scale 1-4: 1=No walk; 2=poor; 3=good; 4=great)</t>
  </si>
  <si>
    <t>Quality of sidewalk, Points Awarded</t>
  </si>
  <si>
    <t>Normalize Scores on scale of 1-100</t>
  </si>
  <si>
    <t>Diff between worst and best</t>
  </si>
  <si>
    <t>Factor to get to 100</t>
  </si>
  <si>
    <t>Raw scores before normalizing</t>
  </si>
  <si>
    <t>Build</t>
  </si>
  <si>
    <t>Base</t>
  </si>
  <si>
    <t>Point Summary</t>
  </si>
  <si>
    <t>Score</t>
  </si>
  <si>
    <t>Min</t>
  </si>
  <si>
    <t>Max</t>
  </si>
  <si>
    <t>Sidewalk Width, (FT)</t>
  </si>
  <si>
    <t>Normalized from 1 to 100</t>
  </si>
  <si>
    <t>A</t>
  </si>
  <si>
    <t>B</t>
  </si>
  <si>
    <t>C</t>
  </si>
  <si>
    <t>D</t>
  </si>
  <si>
    <t>E</t>
  </si>
  <si>
    <t>F</t>
  </si>
  <si>
    <t>G</t>
  </si>
  <si>
    <t>H</t>
  </si>
  <si>
    <t>I</t>
  </si>
  <si>
    <t>J</t>
  </si>
  <si>
    <t>Median (1=TWLTL, 2=Raised hardscape, 3=planted w/trees, 4=No Med)</t>
  </si>
  <si>
    <t>Logan Main</t>
  </si>
  <si>
    <t>Street lights (scale 1-4; 1=Worst poss, 4=Best poss)</t>
  </si>
  <si>
    <t>Neighborhood Attributes: Parking, Network Type, Building Type, Demographics</t>
  </si>
  <si>
    <t>Building Type, Points Awarded or Detracted</t>
  </si>
  <si>
    <t>Building and Zoning Type, Quarter-mile Buffer, User Input</t>
  </si>
  <si>
    <t>1: Industrial or auto-oriented, no significant desire for walkable development within 1/4-mile of corridor</t>
  </si>
  <si>
    <t>2: Industrial or auto-oriented, but new form-based codes and signficant desire to catalyze walkable development, extending beyond corridor up to 1/4 mile.</t>
  </si>
  <si>
    <t>3: Already significantly walkable. Many buildings abut sidewalk and there is desire for more shared-wall buildings abutting sidewalks.</t>
  </si>
  <si>
    <t>Bldg &amp; Zoning (1-4 options, See Note)</t>
  </si>
  <si>
    <t>4: Extremely walkable building structure, or desire to create such: Shared wall buildings, 2-3+ stories, most with little or no setback from sidewalks.   Sidewalks, trees, etc. may or may not be walkable (other variables covered here), but buildings themselves are or community wants that.</t>
  </si>
  <si>
    <t>Four Opts</t>
  </si>
  <si>
    <t>Bldg &amp; Zoning, Norm</t>
  </si>
  <si>
    <t>Bldg &amp; Zoning, Ideal</t>
  </si>
  <si>
    <t>Area Types</t>
  </si>
  <si>
    <t>Yes or No</t>
  </si>
  <si>
    <t>Comparisons</t>
  </si>
  <si>
    <t>Before</t>
  </si>
  <si>
    <t>After</t>
  </si>
  <si>
    <t>Opt 1</t>
  </si>
  <si>
    <t>Opt 2</t>
  </si>
  <si>
    <t>Opt 3</t>
  </si>
  <si>
    <t>Opt 4</t>
  </si>
  <si>
    <t>Worst to Best</t>
  </si>
  <si>
    <t>Corridor: Logan Main Street, One-way Couplet (Before and After)</t>
  </si>
  <si>
    <t>Present Area Type and Desired or Likely Future Area Type (30-yrs out)</t>
  </si>
  <si>
    <t>Design Attributes: Cross Section View</t>
  </si>
  <si>
    <t>Corridor-Level Walkability Evaluation Tool</t>
  </si>
  <si>
    <t>Buffer between sidewalk and curb edge (park strip / streetscape zone)</t>
  </si>
  <si>
    <t>Street trees near sidewalks (scale 1-5; 1=Worst poss, 5=Best poss)</t>
  </si>
  <si>
    <t>Vlookup identifier (column 2 or 3)</t>
  </si>
  <si>
    <t>Feet</t>
  </si>
  <si>
    <t>Num Lanes</t>
  </si>
  <si>
    <t>Bike Facilities (1=None, 2=Striped shoulder, 3=Protected)</t>
  </si>
  <si>
    <t>Ft between</t>
  </si>
  <si>
    <t>MPH</t>
  </si>
  <si>
    <t>If two-way intersections, select dominant type (6 options, see note)</t>
  </si>
  <si>
    <t>If one-way intersections, select dominant type (8 options, see note)</t>
  </si>
  <si>
    <t>Speed frequently observed: (if faster than posted)</t>
  </si>
  <si>
    <t>Left Graphic</t>
  </si>
  <si>
    <t>Walkability Scores (Scale of 1-100)</t>
  </si>
  <si>
    <t>Neighborhood: Parking Regs, Network Type, Demographics</t>
  </si>
  <si>
    <t>On-Street Parking?, User Input</t>
  </si>
  <si>
    <t>Is on-street parking available and significantly utilized?</t>
  </si>
  <si>
    <t>On-Street Parking (See note)</t>
  </si>
  <si>
    <t>See Note</t>
  </si>
  <si>
    <t>Set up calcs for determining walkability scores</t>
  </si>
  <si>
    <t>Average between worst and best</t>
  </si>
  <si>
    <t>Set Worst = 0, and adjust everything upward by same amount.</t>
  </si>
  <si>
    <t>Factor everything as necessary to fit on a scale of 1-100</t>
  </si>
  <si>
    <t>Short Name:</t>
  </si>
  <si>
    <t>Alt 1</t>
  </si>
  <si>
    <t>Alt 2</t>
  </si>
  <si>
    <t>Set up title for Walkability Score Graphic</t>
  </si>
  <si>
    <t>Note: This is how you must configure a table in Excel for it to</t>
  </si>
  <si>
    <t>produce the graphic at the left.</t>
  </si>
  <si>
    <t>Scroll down for bar chart with score</t>
  </si>
  <si>
    <t>Red in before/after columns is linked to user input.</t>
  </si>
  <si>
    <t>1= Many crossings offer pedestrian refuge;  0 = few if any offer pedestrian refuge</t>
  </si>
  <si>
    <t>See graphic on the main user interface tab</t>
  </si>
  <si>
    <t>Corridor Walkability Impacts Calculator</t>
  </si>
  <si>
    <t>Build: 2022-11-07</t>
  </si>
  <si>
    <t>FOREWORD</t>
  </si>
  <si>
    <t>This tool helps a user determine how walkable a urban arterial corridor is right now (before), vs. how walkable it will be after implementing the options the user describes in the tool (after).  The goal is to create the chart shown at the right, revealing how the before and after design scores for walkability on a scale of 1-100.</t>
  </si>
  <si>
    <t>ACKNOWLEDGMENT OF SPONSORSHIP</t>
  </si>
  <si>
    <t xml:space="preserve">This work was sponsored by the American Association of State Highway and Transportation Officials, in cooperation with the Federal Highway Administration, and was conducted in the National Cooperative Highway Research Program (NCHRP), which is administered by the Transportation Research Board of the National Academies of Sciences, Engineering, and Medicine.  </t>
  </si>
  <si>
    <t>DISCLAIMER</t>
  </si>
  <si>
    <t>COPYRIGHT</t>
  </si>
  <si>
    <t xml:space="preserve">This material and the copyrights therein are owned by the National Academies of Sciences, Engineering, and Medicine.  </t>
  </si>
  <si>
    <t>HANDLING OF COMMENTS AND REVISIONS</t>
  </si>
  <si>
    <t xml:space="preserve">Comments should be directed to the National Cooperative Highway Research Program. Comments and questions should be specific and refer to specific spreadsheet cells.  </t>
  </si>
  <si>
    <t>INSTRUCTIONS</t>
  </si>
  <si>
    <t>The spreadsheet three sheets: Instructions, Walkability User Interface and walkability Calculations</t>
  </si>
  <si>
    <t xml:space="preserve">User-provided data are entered into the the Walkability User Interface as described in the Instructions sheet. </t>
  </si>
  <si>
    <t xml:space="preserve">Each sheet has detailed instructions. </t>
  </si>
  <si>
    <t>VERSION HISTORY</t>
  </si>
  <si>
    <t>2022-11-07</t>
  </si>
  <si>
    <t>First beta version</t>
  </si>
  <si>
    <t>NCHRP Project 08-124</t>
  </si>
  <si>
    <t>This is unedited material as submitted by the contractor for NCHRP Project 08-124, Quantifying the Impacts of Corriodor Management.  The opinions and conclusions expressed or implied in the material are those of the research agency. They are not necessarily those of the Transportation Research Board; the National Academies of Sciences, Engineering, and Medicine; or the program sponsors.</t>
  </si>
  <si>
    <t>This spreadsheet is offered as is, without warranty or promise of support of any kind either expressed or implied. Under no circumstance will the National Academy of Sciences or the Transportation Research Board (collectively “TRB”) be liable for any loss or damage caused by the installation or operation of this product. TRB makes no representation or warranty of any kind, expressed or implied, in fact or in law, including without limitation, the warranty of merchantability or the warranty of fitness for a particular purpose, and shall not in any case be liable for any consequential or special damages.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</si>
</sst>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2"/>
      <color rgb="FFC00000"/>
      <name val="Calibri"/>
      <family val="2"/>
      <scheme val="minor"/>
    </font>
    <font>
      <b/>
      <sz val="11"/>
      <color theme="4" tint="-0.249977111117893"/>
      <name val="Calibri"/>
      <family val="2"/>
      <scheme val="minor"/>
    </font>
    <font>
      <b/>
      <sz val="11"/>
      <color rgb="FFFF0000"/>
      <name val="Calibri"/>
      <family val="2"/>
      <scheme val="minor"/>
    </font>
    <font>
      <sz val="12"/>
      <color rgb="FFC00000"/>
      <name val="Calibri"/>
      <family val="2"/>
      <scheme val="minor"/>
    </font>
    <font>
      <b/>
      <i/>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9C0006"/>
      <name val="Calibri"/>
      <family val="2"/>
      <scheme val="minor"/>
    </font>
    <font>
      <b/>
      <sz val="11"/>
      <color rgb="FF9C5700"/>
      <name val="Calibri"/>
      <family val="2"/>
      <scheme val="minor"/>
    </font>
    <font>
      <b/>
      <sz val="11"/>
      <color rgb="FF006100"/>
      <name val="Calibri"/>
      <family val="2"/>
      <scheme val="minor"/>
    </font>
    <font>
      <sz val="12"/>
      <color theme="1"/>
      <name val="Calibri"/>
      <family val="2"/>
      <scheme val="minor"/>
    </font>
    <font>
      <b/>
      <sz val="12"/>
      <color theme="1"/>
      <name val="Calibri"/>
      <family val="2"/>
      <scheme val="minor"/>
    </font>
    <font>
      <sz val="11"/>
      <color indexed="81"/>
      <name val="Tahoma"/>
      <family val="2"/>
    </font>
    <font>
      <sz val="10"/>
      <color indexed="81"/>
      <name val="Tahoma"/>
      <family val="2"/>
    </font>
    <font>
      <b/>
      <sz val="11"/>
      <color indexed="81"/>
      <name val="Tahoma"/>
      <family val="2"/>
    </font>
    <font>
      <sz val="11"/>
      <color theme="0" tint="-0.14999847407452621"/>
      <name val="Calibri"/>
      <family val="2"/>
      <scheme val="minor"/>
    </font>
    <font>
      <sz val="11"/>
      <color theme="1"/>
      <name val="Calibri"/>
      <family val="2"/>
      <scheme val="minor"/>
    </font>
    <font>
      <sz val="10"/>
      <name val="Arial"/>
      <family val="2"/>
    </font>
    <font>
      <b/>
      <u/>
      <sz val="14"/>
      <name val="Arial"/>
      <family val="2"/>
    </font>
    <font>
      <sz val="22"/>
      <name val="Arial"/>
      <family val="2"/>
    </font>
    <font>
      <b/>
      <sz val="10"/>
      <name val="Arial"/>
      <family val="2"/>
    </font>
    <font>
      <sz val="9"/>
      <name val="Arial"/>
      <family val="2"/>
    </font>
  </fonts>
  <fills count="19">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rgb="FFFF9999"/>
        <bgColor indexed="64"/>
      </patternFill>
    </fill>
    <fill>
      <patternFill patternType="solid">
        <fgColor theme="9" tint="0.39997558519241921"/>
        <bgColor indexed="64"/>
      </patternFill>
    </fill>
    <fill>
      <patternFill patternType="solid">
        <fgColor rgb="FF00B050"/>
        <bgColor indexed="64"/>
      </patternFill>
    </fill>
  </fills>
  <borders count="22">
    <border>
      <left/>
      <right/>
      <top/>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6">
    <xf numFmtId="0" fontId="0" fillId="0" borderId="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23" fillId="0" borderId="0"/>
    <xf numFmtId="0" fontId="24" fillId="0" borderId="0"/>
  </cellStyleXfs>
  <cellXfs count="110">
    <xf numFmtId="0" fontId="0" fillId="0" borderId="0" xfId="0"/>
    <xf numFmtId="0" fontId="1" fillId="0" borderId="0" xfId="0" applyFont="1"/>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1" fillId="0" borderId="0" xfId="0" applyFont="1" applyAlignment="1">
      <alignment wrapText="1"/>
    </xf>
    <xf numFmtId="0" fontId="6" fillId="0" borderId="0" xfId="0" applyFont="1"/>
    <xf numFmtId="0" fontId="1" fillId="2" borderId="0" xfId="0" applyFont="1" applyFill="1"/>
    <xf numFmtId="0" fontId="8" fillId="0" borderId="0" xfId="0" applyFont="1" applyAlignment="1">
      <alignment wrapText="1"/>
    </xf>
    <xf numFmtId="0" fontId="9" fillId="0" borderId="0" xfId="0" applyFont="1"/>
    <xf numFmtId="0" fontId="7"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1" fillId="0" borderId="0" xfId="0" applyFont="1" applyAlignment="1">
      <alignment horizontal="center"/>
    </xf>
    <xf numFmtId="0" fontId="8" fillId="0" borderId="0" xfId="0" applyFont="1" applyAlignment="1">
      <alignment horizontal="center"/>
    </xf>
    <xf numFmtId="1" fontId="7" fillId="0" borderId="0" xfId="0" applyNumberFormat="1" applyFont="1" applyAlignment="1">
      <alignment horizontal="center"/>
    </xf>
    <xf numFmtId="0" fontId="5" fillId="0" borderId="0" xfId="0" applyFont="1" applyAlignment="1">
      <alignment horizontal="left"/>
    </xf>
    <xf numFmtId="0" fontId="8" fillId="3" borderId="0" xfId="0" applyFont="1" applyFill="1" applyAlignment="1">
      <alignment wrapText="1"/>
    </xf>
    <xf numFmtId="0" fontId="5" fillId="3" borderId="0" xfId="0" applyFont="1" applyFill="1" applyAlignment="1">
      <alignment horizontal="center"/>
    </xf>
    <xf numFmtId="0" fontId="6" fillId="4" borderId="0" xfId="0" applyFont="1" applyFill="1"/>
    <xf numFmtId="0" fontId="7" fillId="4" borderId="0" xfId="0" applyFont="1" applyFill="1" applyAlignment="1">
      <alignment horizontal="center"/>
    </xf>
    <xf numFmtId="0" fontId="0" fillId="4" borderId="0" xfId="0" applyFill="1"/>
    <xf numFmtId="0" fontId="1" fillId="5" borderId="0" xfId="0" applyFont="1" applyFill="1"/>
    <xf numFmtId="0" fontId="1" fillId="5" borderId="0" xfId="0" applyFont="1" applyFill="1" applyAlignment="1">
      <alignment horizontal="center"/>
    </xf>
    <xf numFmtId="0" fontId="10" fillId="0" borderId="0" xfId="0" applyFont="1"/>
    <xf numFmtId="0" fontId="10" fillId="6" borderId="0" xfId="0" applyFont="1" applyFill="1" applyAlignment="1">
      <alignment horizontal="center"/>
    </xf>
    <xf numFmtId="0" fontId="8" fillId="0" borderId="0" xfId="0" applyFont="1"/>
    <xf numFmtId="0" fontId="7" fillId="10" borderId="0" xfId="0" applyFont="1" applyFill="1" applyAlignment="1">
      <alignment horizontal="center"/>
    </xf>
    <xf numFmtId="0" fontId="8" fillId="10" borderId="0" xfId="0" applyFont="1" applyFill="1" applyAlignment="1">
      <alignment horizontal="center"/>
    </xf>
    <xf numFmtId="0" fontId="8" fillId="3" borderId="0" xfId="0" applyFont="1"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1" fillId="5" borderId="1" xfId="0" applyFont="1" applyFill="1" applyBorder="1" applyAlignment="1">
      <alignment horizontal="center"/>
    </xf>
    <xf numFmtId="0" fontId="1" fillId="12" borderId="1" xfId="0" applyFont="1" applyFill="1" applyBorder="1" applyAlignment="1">
      <alignment horizontal="center"/>
    </xf>
    <xf numFmtId="0" fontId="14" fillId="8" borderId="1" xfId="2" applyFont="1" applyBorder="1" applyAlignment="1">
      <alignment horizontal="center"/>
    </xf>
    <xf numFmtId="0" fontId="15" fillId="9" borderId="1" xfId="3" applyFont="1" applyBorder="1" applyAlignment="1">
      <alignment horizontal="center"/>
    </xf>
    <xf numFmtId="0" fontId="8" fillId="0" borderId="0" xfId="0" applyFont="1" applyAlignment="1">
      <alignment horizontal="left"/>
    </xf>
    <xf numFmtId="1" fontId="0" fillId="0" borderId="0" xfId="0" applyNumberFormat="1" applyAlignment="1">
      <alignment horizontal="center"/>
    </xf>
    <xf numFmtId="1" fontId="0" fillId="15" borderId="0" xfId="0" applyNumberFormat="1" applyFill="1" applyAlignment="1">
      <alignment horizontal="center"/>
    </xf>
    <xf numFmtId="1" fontId="0" fillId="16" borderId="0" xfId="0" applyNumberFormat="1" applyFill="1" applyAlignment="1">
      <alignment horizontal="center"/>
    </xf>
    <xf numFmtId="1" fontId="0" fillId="13" borderId="0" xfId="0" applyNumberFormat="1" applyFill="1" applyAlignment="1">
      <alignment horizontal="center"/>
    </xf>
    <xf numFmtId="1" fontId="0" fillId="17" borderId="0" xfId="0" applyNumberFormat="1" applyFill="1" applyAlignment="1">
      <alignment horizontal="center"/>
    </xf>
    <xf numFmtId="1" fontId="0" fillId="18" borderId="0" xfId="0" applyNumberFormat="1" applyFill="1" applyAlignment="1">
      <alignment horizontal="center"/>
    </xf>
    <xf numFmtId="0" fontId="1" fillId="12" borderId="2" xfId="0" applyFont="1" applyFill="1" applyBorder="1" applyAlignment="1">
      <alignment horizontal="center"/>
    </xf>
    <xf numFmtId="0" fontId="1" fillId="12" borderId="3" xfId="0" applyFont="1" applyFill="1" applyBorder="1" applyAlignment="1">
      <alignment horizontal="center"/>
    </xf>
    <xf numFmtId="0" fontId="14" fillId="8" borderId="3" xfId="2" applyFont="1" applyBorder="1" applyAlignment="1">
      <alignment horizontal="center"/>
    </xf>
    <xf numFmtId="0" fontId="15" fillId="9" borderId="3" xfId="3" applyFont="1" applyBorder="1" applyAlignment="1">
      <alignment horizontal="center"/>
    </xf>
    <xf numFmtId="1" fontId="1" fillId="12" borderId="5" xfId="0" applyNumberFormat="1" applyFont="1" applyFill="1" applyBorder="1" applyAlignment="1">
      <alignment horizontal="center"/>
    </xf>
    <xf numFmtId="1" fontId="1" fillId="12" borderId="6" xfId="0" applyNumberFormat="1" applyFont="1" applyFill="1" applyBorder="1" applyAlignment="1">
      <alignment horizontal="center"/>
    </xf>
    <xf numFmtId="1" fontId="14" fillId="8" borderId="6" xfId="2" applyNumberFormat="1" applyFont="1" applyBorder="1" applyAlignment="1">
      <alignment horizontal="center"/>
    </xf>
    <xf numFmtId="1" fontId="15" fillId="9" borderId="6" xfId="3" applyNumberFormat="1" applyFont="1" applyBorder="1" applyAlignment="1">
      <alignment horizontal="center"/>
    </xf>
    <xf numFmtId="1" fontId="16" fillId="7" borderId="7" xfId="1" applyNumberFormat="1"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5" borderId="0" xfId="0" applyFont="1" applyFill="1"/>
    <xf numFmtId="1" fontId="2" fillId="5" borderId="0" xfId="0" applyNumberFormat="1" applyFont="1" applyFill="1" applyAlignment="1">
      <alignment horizontal="center"/>
    </xf>
    <xf numFmtId="1" fontId="2" fillId="5" borderId="12" xfId="0" applyNumberFormat="1" applyFont="1" applyFill="1" applyBorder="1" applyAlignment="1">
      <alignment horizontal="center"/>
    </xf>
    <xf numFmtId="0" fontId="0" fillId="0" borderId="11" xfId="0" applyBorder="1"/>
    <xf numFmtId="0" fontId="0" fillId="0" borderId="12" xfId="0" applyBorder="1" applyAlignment="1">
      <alignment horizontal="center"/>
    </xf>
    <xf numFmtId="0" fontId="0" fillId="13" borderId="0" xfId="0" applyFill="1" applyAlignment="1">
      <alignment horizontal="center"/>
    </xf>
    <xf numFmtId="0" fontId="6" fillId="4" borderId="0" xfId="0" applyFont="1" applyFill="1" applyAlignment="1">
      <alignment horizontal="center"/>
    </xf>
    <xf numFmtId="0" fontId="6" fillId="4" borderId="12" xfId="0" applyFont="1" applyFill="1" applyBorder="1" applyAlignment="1">
      <alignment horizontal="center"/>
    </xf>
    <xf numFmtId="0" fontId="12" fillId="8" borderId="0" xfId="2" applyBorder="1" applyAlignment="1">
      <alignment horizontal="center"/>
    </xf>
    <xf numFmtId="0" fontId="13" fillId="9" borderId="0" xfId="3" applyBorder="1" applyAlignment="1">
      <alignment horizontal="center"/>
    </xf>
    <xf numFmtId="0" fontId="11" fillId="7" borderId="12" xfId="1" applyBorder="1" applyAlignment="1">
      <alignment horizontal="center"/>
    </xf>
    <xf numFmtId="0" fontId="16" fillId="7" borderId="13" xfId="1" applyFont="1" applyBorder="1" applyAlignment="1">
      <alignment horizontal="center"/>
    </xf>
    <xf numFmtId="0" fontId="0" fillId="0" borderId="5" xfId="0" applyBorder="1"/>
    <xf numFmtId="0" fontId="0" fillId="0" borderId="6" xfId="0" applyBorder="1" applyAlignment="1">
      <alignment horizontal="center"/>
    </xf>
    <xf numFmtId="0" fontId="0" fillId="0" borderId="8" xfId="0" applyBorder="1"/>
    <xf numFmtId="0" fontId="17" fillId="0" borderId="0" xfId="0" applyFont="1"/>
    <xf numFmtId="0" fontId="18" fillId="0" borderId="0" xfId="0" applyFont="1"/>
    <xf numFmtId="0" fontId="17" fillId="0" borderId="6" xfId="0" applyFont="1" applyBorder="1"/>
    <xf numFmtId="0" fontId="18" fillId="5" borderId="1" xfId="0" applyFont="1" applyFill="1" applyBorder="1"/>
    <xf numFmtId="0" fontId="1" fillId="14" borderId="0" xfId="0" applyFont="1" applyFill="1" applyAlignment="1">
      <alignment horizontal="center"/>
    </xf>
    <xf numFmtId="0" fontId="0" fillId="0" borderId="0" xfId="0" quotePrefix="1" applyAlignment="1">
      <alignment horizontal="left"/>
    </xf>
    <xf numFmtId="20" fontId="0" fillId="0" borderId="0" xfId="0" applyNumberFormat="1" applyAlignment="1">
      <alignment wrapText="1"/>
    </xf>
    <xf numFmtId="1" fontId="16" fillId="7" borderId="4" xfId="1" applyNumberFormat="1" applyFont="1" applyBorder="1" applyAlignment="1">
      <alignment horizontal="center"/>
    </xf>
    <xf numFmtId="0" fontId="18" fillId="14" borderId="0" xfId="0" applyFont="1" applyFill="1" applyAlignment="1">
      <alignment horizontal="left"/>
    </xf>
    <xf numFmtId="0" fontId="17" fillId="0" borderId="0" xfId="0" applyFont="1" applyAlignment="1">
      <alignment horizontal="center"/>
    </xf>
    <xf numFmtId="1" fontId="2" fillId="5" borderId="0" xfId="0" applyNumberFormat="1" applyFont="1" applyFill="1" applyAlignment="1">
      <alignment horizontal="left"/>
    </xf>
    <xf numFmtId="0" fontId="5" fillId="0" borderId="0" xfId="0" applyFont="1" applyAlignment="1">
      <alignment horizontal="center"/>
    </xf>
    <xf numFmtId="2" fontId="0" fillId="0" borderId="0" xfId="0" applyNumberFormat="1" applyAlignment="1">
      <alignment horizontal="center"/>
    </xf>
    <xf numFmtId="0" fontId="22" fillId="0" borderId="0" xfId="0" applyFont="1" applyAlignment="1">
      <alignment horizontal="center"/>
    </xf>
    <xf numFmtId="0" fontId="23" fillId="0" borderId="0" xfId="4"/>
    <xf numFmtId="0" fontId="24" fillId="0" borderId="14" xfId="5" applyBorder="1"/>
    <xf numFmtId="0" fontId="24" fillId="0" borderId="15" xfId="5" applyBorder="1"/>
    <xf numFmtId="0" fontId="24" fillId="0" borderId="16" xfId="5" applyBorder="1"/>
    <xf numFmtId="0" fontId="24" fillId="0" borderId="17" xfId="5" applyBorder="1"/>
    <xf numFmtId="0" fontId="24" fillId="0" borderId="18" xfId="5" applyBorder="1"/>
    <xf numFmtId="0" fontId="24" fillId="0" borderId="19" xfId="5" applyBorder="1"/>
    <xf numFmtId="0" fontId="24" fillId="0" borderId="20" xfId="5" applyBorder="1"/>
    <xf numFmtId="0" fontId="24" fillId="0" borderId="21" xfId="5" applyBorder="1"/>
    <xf numFmtId="0" fontId="27" fillId="0" borderId="0" xfId="5" applyFont="1"/>
    <xf numFmtId="0" fontId="24" fillId="0" borderId="0" xfId="5" applyAlignment="1">
      <alignment vertical="top" wrapText="1"/>
    </xf>
    <xf numFmtId="0" fontId="24" fillId="0" borderId="0" xfId="5" applyAlignment="1">
      <alignment horizontal="left" vertical="top" wrapText="1"/>
    </xf>
    <xf numFmtId="0" fontId="24" fillId="0" borderId="0" xfId="5"/>
    <xf numFmtId="0" fontId="24" fillId="0" borderId="0" xfId="5" applyAlignment="1">
      <alignment wrapText="1"/>
    </xf>
    <xf numFmtId="14" fontId="24" fillId="0" borderId="0" xfId="5" quotePrefix="1" applyNumberFormat="1"/>
    <xf numFmtId="0" fontId="28" fillId="0" borderId="0" xfId="5" applyFont="1"/>
    <xf numFmtId="0" fontId="24" fillId="0" borderId="0" xfId="5" applyAlignment="1">
      <alignment vertical="top" wrapText="1"/>
    </xf>
    <xf numFmtId="0" fontId="24" fillId="0" borderId="0" xfId="5"/>
    <xf numFmtId="0" fontId="24" fillId="0" borderId="0" xfId="5" applyAlignment="1">
      <alignment wrapText="1"/>
    </xf>
    <xf numFmtId="0" fontId="24" fillId="0" borderId="0" xfId="5" applyAlignment="1">
      <alignment horizontal="left" vertical="top" wrapText="1"/>
    </xf>
    <xf numFmtId="0" fontId="25" fillId="0" borderId="0" xfId="5" applyFont="1" applyAlignment="1">
      <alignment horizontal="center"/>
    </xf>
    <xf numFmtId="0" fontId="26" fillId="0" borderId="17" xfId="5" applyFont="1" applyBorder="1" applyAlignment="1">
      <alignment horizontal="center" wrapText="1"/>
    </xf>
    <xf numFmtId="0" fontId="26" fillId="0" borderId="0" xfId="5" applyFont="1" applyAlignment="1">
      <alignment wrapText="1"/>
    </xf>
    <xf numFmtId="0" fontId="26" fillId="0" borderId="18" xfId="5" applyFont="1" applyBorder="1" applyAlignment="1">
      <alignment wrapText="1"/>
    </xf>
    <xf numFmtId="0" fontId="24" fillId="0" borderId="0" xfId="5" applyAlignment="1">
      <alignment horizontal="center" wrapText="1"/>
    </xf>
    <xf numFmtId="0" fontId="1" fillId="14" borderId="0" xfId="0" applyFont="1" applyFill="1" applyAlignment="1">
      <alignment horizontal="center"/>
    </xf>
    <xf numFmtId="0" fontId="1" fillId="14" borderId="12" xfId="0" applyFont="1" applyFill="1" applyBorder="1" applyAlignment="1">
      <alignment horizontal="center"/>
    </xf>
  </cellXfs>
  <cellStyles count="6">
    <cellStyle name="Bad" xfId="2" builtinId="27"/>
    <cellStyle name="Good" xfId="1" builtinId="26"/>
    <cellStyle name="Neutral" xfId="3" builtinId="28"/>
    <cellStyle name="Normal" xfId="0" builtinId="0"/>
    <cellStyle name="Normal 2" xfId="5" xr:uid="{8958D981-21FC-49E5-A272-C700EEC44827}"/>
    <cellStyle name="Normal 3" xfId="4" xr:uid="{FCC24F47-B654-4A25-8B5B-83E5AB9BC02E}"/>
  </cellStyles>
  <dxfs count="0"/>
  <tableStyles count="0" defaultTableStyle="TableStyleMedium2" defaultPivotStyle="PivotStyleLight16"/>
  <colors>
    <mruColors>
      <color rgb="FFFFFFE7"/>
      <color rgb="FFFF9999"/>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866141732283469E-2"/>
          <c:y val="0.21422533030623975"/>
          <c:w val="0.87657830271216097"/>
          <c:h val="0.64449519286760482"/>
        </c:manualLayout>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'Walkability User Interface'!$G$60:$G$62</c:f>
              <c:strCache>
                <c:ptCount val="3"/>
                <c:pt idx="0">
                  <c:v>Worst to Best</c:v>
                </c:pt>
                <c:pt idx="1">
                  <c:v>Before</c:v>
                </c:pt>
                <c:pt idx="2">
                  <c:v>After</c:v>
                </c:pt>
              </c:strCache>
            </c:strRef>
          </c:cat>
          <c:val>
            <c:numRef>
              <c:f>'Walkability User Interface'!$I$60:$I$62</c:f>
              <c:numCache>
                <c:formatCode>0</c:formatCode>
                <c:ptCount val="3"/>
                <c:pt idx="0">
                  <c:v>20</c:v>
                </c:pt>
                <c:pt idx="1">
                  <c:v>0</c:v>
                </c:pt>
                <c:pt idx="2">
                  <c:v>0</c:v>
                </c:pt>
              </c:numCache>
            </c:numRef>
          </c:val>
          <c:extLst>
            <c:ext xmlns:c16="http://schemas.microsoft.com/office/drawing/2014/chart" uri="{C3380CC4-5D6E-409C-BE32-E72D297353CC}">
              <c16:uniqueId val="{00000000-BEEB-4848-BCDB-E3617091B1BF}"/>
            </c:ext>
          </c:extLst>
        </c:ser>
        <c:ser>
          <c:idx val="1"/>
          <c:order val="1"/>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'Walkability User Interface'!$G$60:$G$62</c:f>
              <c:strCache>
                <c:ptCount val="3"/>
                <c:pt idx="0">
                  <c:v>Worst to Best</c:v>
                </c:pt>
                <c:pt idx="1">
                  <c:v>Before</c:v>
                </c:pt>
                <c:pt idx="2">
                  <c:v>After</c:v>
                </c:pt>
              </c:strCache>
            </c:strRef>
          </c:cat>
          <c:val>
            <c:numRef>
              <c:f>'Walkability User Interface'!$J$60:$J$62</c:f>
              <c:numCache>
                <c:formatCode>0</c:formatCode>
                <c:ptCount val="3"/>
                <c:pt idx="0">
                  <c:v>40</c:v>
                </c:pt>
                <c:pt idx="1">
                  <c:v>0</c:v>
                </c:pt>
                <c:pt idx="2">
                  <c:v>0</c:v>
                </c:pt>
              </c:numCache>
            </c:numRef>
          </c:val>
          <c:extLst>
            <c:ext xmlns:c16="http://schemas.microsoft.com/office/drawing/2014/chart" uri="{C3380CC4-5D6E-409C-BE32-E72D297353CC}">
              <c16:uniqueId val="{00000002-BEEB-4848-BCDB-E3617091B1BF}"/>
            </c:ext>
          </c:extLst>
        </c:ser>
        <c:ser>
          <c:idx val="2"/>
          <c:order val="2"/>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'Walkability User Interface'!$G$60:$G$62</c:f>
              <c:strCache>
                <c:ptCount val="3"/>
                <c:pt idx="0">
                  <c:v>Worst to Best</c:v>
                </c:pt>
                <c:pt idx="1">
                  <c:v>Before</c:v>
                </c:pt>
                <c:pt idx="2">
                  <c:v>After</c:v>
                </c:pt>
              </c:strCache>
            </c:strRef>
          </c:cat>
          <c:val>
            <c:numRef>
              <c:f>'Walkability User Interface'!$K$60:$K$62</c:f>
              <c:numCache>
                <c:formatCode>0</c:formatCode>
                <c:ptCount val="3"/>
                <c:pt idx="0">
                  <c:v>60</c:v>
                </c:pt>
                <c:pt idx="1">
                  <c:v>0</c:v>
                </c:pt>
                <c:pt idx="2">
                  <c:v>0</c:v>
                </c:pt>
              </c:numCache>
            </c:numRef>
          </c:val>
          <c:extLst>
            <c:ext xmlns:c16="http://schemas.microsoft.com/office/drawing/2014/chart" uri="{C3380CC4-5D6E-409C-BE32-E72D297353CC}">
              <c16:uniqueId val="{00000003-BEEB-4848-BCDB-E3617091B1BF}"/>
            </c:ext>
          </c:extLst>
        </c:ser>
        <c:ser>
          <c:idx val="3"/>
          <c:order val="3"/>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'Walkability User Interface'!$G$60:$G$62</c:f>
              <c:strCache>
                <c:ptCount val="3"/>
                <c:pt idx="0">
                  <c:v>Worst to Best</c:v>
                </c:pt>
                <c:pt idx="1">
                  <c:v>Before</c:v>
                </c:pt>
                <c:pt idx="2">
                  <c:v>After</c:v>
                </c:pt>
              </c:strCache>
            </c:strRef>
          </c:cat>
          <c:val>
            <c:numRef>
              <c:f>'Walkability User Interface'!$L$60:$L$62</c:f>
              <c:numCache>
                <c:formatCode>0</c:formatCode>
                <c:ptCount val="3"/>
                <c:pt idx="0">
                  <c:v>80</c:v>
                </c:pt>
                <c:pt idx="1">
                  <c:v>62</c:v>
                </c:pt>
                <c:pt idx="2">
                  <c:v>0</c:v>
                </c:pt>
              </c:numCache>
            </c:numRef>
          </c:val>
          <c:extLst>
            <c:ext xmlns:c16="http://schemas.microsoft.com/office/drawing/2014/chart" uri="{C3380CC4-5D6E-409C-BE32-E72D297353CC}">
              <c16:uniqueId val="{00000004-BEEB-4848-BCDB-E3617091B1BF}"/>
            </c:ext>
          </c:extLst>
        </c:ser>
        <c:ser>
          <c:idx val="4"/>
          <c:order val="4"/>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'Walkability User Interface'!$G$60:$G$62</c:f>
              <c:strCache>
                <c:ptCount val="3"/>
                <c:pt idx="0">
                  <c:v>Worst to Best</c:v>
                </c:pt>
                <c:pt idx="1">
                  <c:v>Before</c:v>
                </c:pt>
                <c:pt idx="2">
                  <c:v>After</c:v>
                </c:pt>
              </c:strCache>
            </c:strRef>
          </c:cat>
          <c:val>
            <c:numRef>
              <c:f>'Walkability User Interface'!$M$60:$M$62</c:f>
              <c:numCache>
                <c:formatCode>0</c:formatCode>
                <c:ptCount val="3"/>
                <c:pt idx="0">
                  <c:v>100</c:v>
                </c:pt>
                <c:pt idx="1">
                  <c:v>0</c:v>
                </c:pt>
                <c:pt idx="2">
                  <c:v>91</c:v>
                </c:pt>
              </c:numCache>
            </c:numRef>
          </c:val>
          <c:extLst>
            <c:ext xmlns:c16="http://schemas.microsoft.com/office/drawing/2014/chart" uri="{C3380CC4-5D6E-409C-BE32-E72D297353CC}">
              <c16:uniqueId val="{00000005-BEEB-4848-BCDB-E3617091B1BF}"/>
            </c:ext>
          </c:extLst>
        </c:ser>
        <c:dLbls>
          <c:showLegendKey val="0"/>
          <c:showVal val="0"/>
          <c:showCatName val="0"/>
          <c:showSerName val="0"/>
          <c:showPercent val="0"/>
          <c:showBubbleSize val="0"/>
        </c:dLbls>
        <c:gapWidth val="219"/>
        <c:overlap val="-27"/>
        <c:axId val="952334304"/>
        <c:axId val="950989792"/>
      </c:barChart>
      <c:catAx>
        <c:axId val="95233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400" b="1" i="0" u="none" strike="noStrike" kern="1200" baseline="0">
                <a:solidFill>
                  <a:schemeClr val="tx1">
                    <a:lumMod val="75000"/>
                    <a:lumOff val="25000"/>
                  </a:schemeClr>
                </a:solidFill>
                <a:latin typeface="+mn-lt"/>
                <a:ea typeface="+mn-ea"/>
                <a:cs typeface="+mn-cs"/>
              </a:defRPr>
            </a:pPr>
            <a:endParaRPr lang="en-US"/>
          </a:p>
        </c:txPr>
        <c:crossAx val="950989792"/>
        <c:crosses val="autoZero"/>
        <c:auto val="1"/>
        <c:lblAlgn val="ctr"/>
        <c:lblOffset val="100"/>
        <c:noMultiLvlLbl val="0"/>
      </c:catAx>
      <c:valAx>
        <c:axId val="95098979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lgn="ctr">
              <a:defRPr lang="en-US" sz="1100" b="1" i="0" u="none" strike="noStrike" kern="1200" baseline="0">
                <a:solidFill>
                  <a:schemeClr val="tx1">
                    <a:lumMod val="75000"/>
                    <a:lumOff val="25000"/>
                  </a:schemeClr>
                </a:solidFill>
                <a:latin typeface="+mn-lt"/>
                <a:ea typeface="+mn-ea"/>
                <a:cs typeface="+mn-cs"/>
              </a:defRPr>
            </a:pPr>
            <a:endParaRPr lang="en-US"/>
          </a:p>
        </c:txPr>
        <c:crossAx val="952334304"/>
        <c:crosses val="autoZero"/>
        <c:crossBetween val="between"/>
        <c:majorUnit val="20"/>
        <c:min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chart" Target="../charts/chart1.xml"/><Relationship Id="rId6" Type="http://schemas.openxmlformats.org/officeDocument/2006/relationships/image" Target="../media/image8.jp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133349</xdr:rowOff>
    </xdr:from>
    <xdr:to>
      <xdr:col>11</xdr:col>
      <xdr:colOff>457200</xdr:colOff>
      <xdr:row>24</xdr:row>
      <xdr:rowOff>180974</xdr:rowOff>
    </xdr:to>
    <xdr:sp macro="" textlink="">
      <xdr:nvSpPr>
        <xdr:cNvPr id="2" name="TextBox 1">
          <a:extLst>
            <a:ext uri="{FF2B5EF4-FFF2-40B4-BE49-F238E27FC236}">
              <a16:creationId xmlns:a16="http://schemas.microsoft.com/office/drawing/2014/main" id="{99FECC41-310C-4B31-8E0D-4B81396A0C11}"/>
            </a:ext>
          </a:extLst>
        </xdr:cNvPr>
        <xdr:cNvSpPr txBox="1"/>
      </xdr:nvSpPr>
      <xdr:spPr>
        <a:xfrm>
          <a:off x="238125" y="133349"/>
          <a:ext cx="6924675" cy="4619625"/>
        </a:xfrm>
        <a:prstGeom prst="rect">
          <a:avLst/>
        </a:prstGeom>
        <a:solidFill>
          <a:srgbClr val="FFFF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FF0000"/>
              </a:solidFill>
            </a:rPr>
            <a:t>Overview and Instructions:</a:t>
          </a:r>
        </a:p>
        <a:p>
          <a:r>
            <a:rPr lang="en-US" sz="1100"/>
            <a:t>This tool helps a user determine how walkable a urban arterial corridor is right now (before), vs. how walkable</a:t>
          </a:r>
          <a:r>
            <a:rPr lang="en-US" sz="1100" baseline="0"/>
            <a:t> it will be after implementing the options the user describes in the tool (after).  The goal is to create the chart shown at the right, revealing how the before and after design scores for walkability on a scale of 1-100.</a:t>
          </a:r>
        </a:p>
        <a:p>
          <a:endParaRPr lang="en-US" sz="1100" baseline="0"/>
        </a:p>
        <a:p>
          <a:r>
            <a:rPr lang="en-US" sz="1100" baseline="0"/>
            <a:t>The main interface with the tool is on the "</a:t>
          </a:r>
          <a:r>
            <a:rPr lang="en-US" sz="1100"/>
            <a:t>Walkability User Interface" tab.</a:t>
          </a:r>
          <a:r>
            <a:rPr lang="en-US" sz="1100" baseline="0"/>
            <a:t>  A screenshot of the first portion of that tab is below.  After naming a corridor on Row 2, describe the Before and After area type that the corridor presently supports, and that user hopes it can eventually support.  After that, read each row and determine the before and after situation for that element of urban and corridor design (i.e., complete the grey boxes in Columns B and C).  Click </a:t>
          </a:r>
          <a:r>
            <a:rPr lang="en-US" sz="1100" baseline="0">
              <a:solidFill>
                <a:srgbClr val="FF0000"/>
              </a:solidFill>
            </a:rPr>
            <a:t>red triangles </a:t>
          </a:r>
          <a:r>
            <a:rPr lang="en-US" sz="1100" baseline="0"/>
            <a:t>for guidance on specific topics.</a:t>
          </a:r>
        </a:p>
        <a:p>
          <a:r>
            <a:rPr lang="en-US" sz="1100" baseline="0"/>
            <a:t>  </a:t>
          </a:r>
        </a:p>
        <a:p>
          <a:r>
            <a:rPr lang="en-US" sz="1100" baseline="0"/>
            <a:t>The default settings are an example from Logan, Utah, where there is a proposal to convert their two-way Main Street into two one-way streets.  </a:t>
          </a:r>
          <a:r>
            <a:rPr lang="en-US" sz="1100" baseline="0">
              <a:solidFill>
                <a:srgbClr val="FF0000"/>
              </a:solidFill>
            </a:rPr>
            <a:t>A cross-section view of the proposal is shown below</a:t>
          </a:r>
          <a:r>
            <a:rPr lang="en-US" sz="1100" baseline="0"/>
            <a:t>.  The Evaluation tool reflects this diagram for Main Street.  A second analysis would be required for the companion one-way street.  For a given situation, it may help to design the before/after situation using </a:t>
          </a:r>
          <a:r>
            <a:rPr lang="en-US" sz="1100" baseline="0">
              <a:solidFill>
                <a:srgbClr val="FF0000"/>
              </a:solidFill>
            </a:rPr>
            <a:t>www.StreetPlan.net</a:t>
          </a:r>
          <a:r>
            <a:rPr lang="en-US" sz="1100" baseline="0"/>
            <a:t>, which allows a user to register a free account for designing cross-sections.  Watch some of it's "How To" videos and click on question marks to quickly understand how to use StreetPlan.net.  Contact them for help creating cross-sections or for help with this walkability score tool.</a:t>
          </a:r>
        </a:p>
        <a:p>
          <a:endParaRPr lang="en-US" sz="1100" baseline="0"/>
        </a:p>
        <a:p>
          <a:r>
            <a:rPr lang="en-US" sz="1100" baseline="0"/>
            <a:t>As the user fills in grey fields, the blue columns F and G show the before and after effect on walkability.  Positive points = generally good for pedestrians; Negative = generally bad; 0=Neutral.  </a:t>
          </a:r>
        </a:p>
        <a:p>
          <a:endParaRPr lang="en-US" sz="1100" baseline="0"/>
        </a:p>
        <a:p>
          <a:r>
            <a:rPr lang="en-US" sz="1100" baseline="0"/>
            <a:t>Worst = the worst that a corridor with similar lanes could possibly be in this category.</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Best = </a:t>
          </a:r>
          <a:r>
            <a:rPr lang="en-US" sz="1100" baseline="0">
              <a:solidFill>
                <a:schemeClr val="dk1"/>
              </a:solidFill>
              <a:effectLst/>
              <a:latin typeface="+mn-lt"/>
              <a:ea typeface="+mn-ea"/>
              <a:cs typeface="+mn-cs"/>
            </a:rPr>
            <a:t>the best that a corridor with similar lanes could possibly be.</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Ave = usually the mid-point between worst and best, but often evaluated independently.</a:t>
          </a:r>
          <a:endParaRPr lang="en-US">
            <a:effectLst/>
          </a:endParaRPr>
        </a:p>
        <a:p>
          <a:endParaRPr lang="en-US" sz="1100" baseline="0"/>
        </a:p>
        <a:p>
          <a:endParaRPr lang="en-US" sz="1100"/>
        </a:p>
      </xdr:txBody>
    </xdr:sp>
    <xdr:clientData/>
  </xdr:twoCellAnchor>
  <xdr:twoCellAnchor editAs="oneCell">
    <xdr:from>
      <xdr:col>0</xdr:col>
      <xdr:colOff>276225</xdr:colOff>
      <xdr:row>25</xdr:row>
      <xdr:rowOff>142023</xdr:rowOff>
    </xdr:from>
    <xdr:to>
      <xdr:col>16</xdr:col>
      <xdr:colOff>495300</xdr:colOff>
      <xdr:row>43</xdr:row>
      <xdr:rowOff>9313</xdr:rowOff>
    </xdr:to>
    <xdr:pic>
      <xdr:nvPicPr>
        <xdr:cNvPr id="3" name="Picture 2">
          <a:extLst>
            <a:ext uri="{FF2B5EF4-FFF2-40B4-BE49-F238E27FC236}">
              <a16:creationId xmlns:a16="http://schemas.microsoft.com/office/drawing/2014/main" id="{D2C2D2F1-0343-4A36-AF85-B6BDFDB831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76225" y="4904523"/>
          <a:ext cx="9972675" cy="3296290"/>
        </a:xfrm>
        <a:prstGeom prst="rect">
          <a:avLst/>
        </a:prstGeom>
      </xdr:spPr>
    </xdr:pic>
    <xdr:clientData/>
  </xdr:twoCellAnchor>
  <xdr:twoCellAnchor editAs="oneCell">
    <xdr:from>
      <xdr:col>1</xdr:col>
      <xdr:colOff>38100</xdr:colOff>
      <xdr:row>44</xdr:row>
      <xdr:rowOff>123825</xdr:rowOff>
    </xdr:from>
    <xdr:to>
      <xdr:col>11</xdr:col>
      <xdr:colOff>419100</xdr:colOff>
      <xdr:row>74</xdr:row>
      <xdr:rowOff>143668</xdr:rowOff>
    </xdr:to>
    <xdr:pic>
      <xdr:nvPicPr>
        <xdr:cNvPr id="5" name="Picture 4">
          <a:extLst>
            <a:ext uri="{FF2B5EF4-FFF2-40B4-BE49-F238E27FC236}">
              <a16:creationId xmlns:a16="http://schemas.microsoft.com/office/drawing/2014/main" id="{02CF13D7-BBB3-4182-978D-4744F47850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8505825"/>
          <a:ext cx="6477000" cy="5734843"/>
        </a:xfrm>
        <a:prstGeom prst="rect">
          <a:avLst/>
        </a:prstGeom>
      </xdr:spPr>
    </xdr:pic>
    <xdr:clientData/>
  </xdr:twoCellAnchor>
  <xdr:twoCellAnchor editAs="oneCell">
    <xdr:from>
      <xdr:col>12</xdr:col>
      <xdr:colOff>28575</xdr:colOff>
      <xdr:row>0</xdr:row>
      <xdr:rowOff>171450</xdr:rowOff>
    </xdr:from>
    <xdr:to>
      <xdr:col>18</xdr:col>
      <xdr:colOff>75737</xdr:colOff>
      <xdr:row>18</xdr:row>
      <xdr:rowOff>18640</xdr:rowOff>
    </xdr:to>
    <xdr:pic>
      <xdr:nvPicPr>
        <xdr:cNvPr id="6" name="Picture 5">
          <a:extLst>
            <a:ext uri="{FF2B5EF4-FFF2-40B4-BE49-F238E27FC236}">
              <a16:creationId xmlns:a16="http://schemas.microsoft.com/office/drawing/2014/main" id="{397885B6-180F-4778-937C-2923DBC8644A}"/>
            </a:ext>
          </a:extLst>
        </xdr:cNvPr>
        <xdr:cNvPicPr>
          <a:picLocks noChangeAspect="1"/>
        </xdr:cNvPicPr>
      </xdr:nvPicPr>
      <xdr:blipFill>
        <a:blip xmlns:r="http://schemas.openxmlformats.org/officeDocument/2006/relationships" r:embed="rId3"/>
        <a:stretch>
          <a:fillRect/>
        </a:stretch>
      </xdr:blipFill>
      <xdr:spPr>
        <a:xfrm>
          <a:off x="7343775" y="171450"/>
          <a:ext cx="3704762" cy="3276190"/>
        </a:xfrm>
        <a:prstGeom prst="rect">
          <a:avLst/>
        </a:prstGeom>
      </xdr:spPr>
    </xdr:pic>
    <xdr:clientData/>
  </xdr:twoCellAnchor>
  <xdr:twoCellAnchor>
    <xdr:from>
      <xdr:col>11</xdr:col>
      <xdr:colOff>542926</xdr:colOff>
      <xdr:row>45</xdr:row>
      <xdr:rowOff>142875</xdr:rowOff>
    </xdr:from>
    <xdr:to>
      <xdr:col>16</xdr:col>
      <xdr:colOff>542926</xdr:colOff>
      <xdr:row>55</xdr:row>
      <xdr:rowOff>95250</xdr:rowOff>
    </xdr:to>
    <xdr:sp macro="" textlink="">
      <xdr:nvSpPr>
        <xdr:cNvPr id="7" name="TextBox 6">
          <a:extLst>
            <a:ext uri="{FF2B5EF4-FFF2-40B4-BE49-F238E27FC236}">
              <a16:creationId xmlns:a16="http://schemas.microsoft.com/office/drawing/2014/main" id="{61B8A07B-49DD-465D-BFFB-47A08833DED2}"/>
            </a:ext>
          </a:extLst>
        </xdr:cNvPr>
        <xdr:cNvSpPr txBox="1"/>
      </xdr:nvSpPr>
      <xdr:spPr>
        <a:xfrm>
          <a:off x="7248526" y="8715375"/>
          <a:ext cx="3048000" cy="1857375"/>
        </a:xfrm>
        <a:prstGeom prst="rect">
          <a:avLst/>
        </a:prstGeom>
        <a:solidFill>
          <a:srgbClr val="FFFF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Before</a:t>
          </a:r>
          <a:r>
            <a:rPr lang="en-US" sz="1100" baseline="0">
              <a:solidFill>
                <a:schemeClr val="dk1"/>
              </a:solidFill>
              <a:effectLst/>
              <a:latin typeface="+mn-lt"/>
              <a:ea typeface="+mn-ea"/>
              <a:cs typeface="+mn-cs"/>
            </a:rPr>
            <a:t>: Fairly walkable because it has wide sidewalks, great street trees, heavily utilized on-street parking, and other features.  </a:t>
          </a:r>
        </a:p>
        <a:p>
          <a:endParaRPr lang="en-US" sz="1100" baseline="0"/>
        </a:p>
        <a:p>
          <a:r>
            <a:rPr lang="en-US" sz="1100" b="1" baseline="0"/>
            <a:t>After</a:t>
          </a:r>
          <a:r>
            <a:rPr lang="en-US" sz="1100" baseline="0"/>
            <a:t>: Even better, because it has more space for streetscape amenities, dedicated bikeways, narrower lanes, traffic calming features, fewer lanes to cross, etc.</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58</xdr:row>
      <xdr:rowOff>38100</xdr:rowOff>
    </xdr:from>
    <xdr:to>
      <xdr:col>2</xdr:col>
      <xdr:colOff>3895725</xdr:colOff>
      <xdr:row>75</xdr:row>
      <xdr:rowOff>23812</xdr:rowOff>
    </xdr:to>
    <xdr:graphicFrame macro="">
      <xdr:nvGraphicFramePr>
        <xdr:cNvPr id="4" name="Chart 3">
          <a:extLst>
            <a:ext uri="{FF2B5EF4-FFF2-40B4-BE49-F238E27FC236}">
              <a16:creationId xmlns:a16="http://schemas.microsoft.com/office/drawing/2014/main" id="{E0D1EA47-82C4-4E7F-BABB-BA1A453205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523875</xdr:colOff>
      <xdr:row>0</xdr:row>
      <xdr:rowOff>28575</xdr:rowOff>
    </xdr:from>
    <xdr:to>
      <xdr:col>22</xdr:col>
      <xdr:colOff>1381125</xdr:colOff>
      <xdr:row>8</xdr:row>
      <xdr:rowOff>161925</xdr:rowOff>
    </xdr:to>
    <xdr:sp macro="" textlink="">
      <xdr:nvSpPr>
        <xdr:cNvPr id="3" name="TextBox 2">
          <a:extLst>
            <a:ext uri="{FF2B5EF4-FFF2-40B4-BE49-F238E27FC236}">
              <a16:creationId xmlns:a16="http://schemas.microsoft.com/office/drawing/2014/main" id="{43101612-8532-4660-AA51-6F29998C31D1}"/>
            </a:ext>
          </a:extLst>
        </xdr:cNvPr>
        <xdr:cNvSpPr txBox="1"/>
      </xdr:nvSpPr>
      <xdr:spPr>
        <a:xfrm>
          <a:off x="14697075" y="28575"/>
          <a:ext cx="3524250" cy="1800225"/>
        </a:xfrm>
        <a:prstGeom prst="rect">
          <a:avLst/>
        </a:prstGeom>
        <a:solidFill>
          <a:srgbClr val="FFFF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Below are the ideal walkability</a:t>
          </a:r>
          <a:r>
            <a:rPr lang="en-US" sz="1100" baseline="0"/>
            <a:t> settings for various features, along with minimum (and sometimes maximum) settings.  These settings are used by vlookup functions to allocate walkability points for a before and after design (Blue columns F and G).  Columns H, I, and J are "Worst, Average, and Best," and are used to frame the envelop of the worst points you could possibly get (sometimes negative points), and the most points you could get.   The "Calculations" tab has more details on how points are determined.</a:t>
          </a:r>
          <a:endParaRPr lang="en-US" sz="1100"/>
        </a:p>
      </xdr:txBody>
    </xdr:sp>
    <xdr:clientData/>
  </xdr:twoCellAnchor>
  <xdr:twoCellAnchor>
    <xdr:from>
      <xdr:col>5</xdr:col>
      <xdr:colOff>552450</xdr:colOff>
      <xdr:row>67</xdr:row>
      <xdr:rowOff>104775</xdr:rowOff>
    </xdr:from>
    <xdr:to>
      <xdr:col>18</xdr:col>
      <xdr:colOff>495300</xdr:colOff>
      <xdr:row>93</xdr:row>
      <xdr:rowOff>161925</xdr:rowOff>
    </xdr:to>
    <xdr:grpSp>
      <xdr:nvGrpSpPr>
        <xdr:cNvPr id="24" name="Group 23">
          <a:extLst>
            <a:ext uri="{FF2B5EF4-FFF2-40B4-BE49-F238E27FC236}">
              <a16:creationId xmlns:a16="http://schemas.microsoft.com/office/drawing/2014/main" id="{72238E7B-9799-4ACA-AB41-5E86B08ABC50}"/>
            </a:ext>
          </a:extLst>
        </xdr:cNvPr>
        <xdr:cNvGrpSpPr/>
      </xdr:nvGrpSpPr>
      <xdr:grpSpPr>
        <a:xfrm>
          <a:off x="6657975" y="13439775"/>
          <a:ext cx="7381875" cy="5010150"/>
          <a:chOff x="6991350" y="12239625"/>
          <a:chExt cx="7400925" cy="5010150"/>
        </a:xfrm>
      </xdr:grpSpPr>
      <xdr:sp macro="" textlink="">
        <xdr:nvSpPr>
          <xdr:cNvPr id="23" name="TextBox 22">
            <a:extLst>
              <a:ext uri="{FF2B5EF4-FFF2-40B4-BE49-F238E27FC236}">
                <a16:creationId xmlns:a16="http://schemas.microsoft.com/office/drawing/2014/main" id="{F5B85308-5FB5-48E1-BCBE-3006321FB6F6}"/>
              </a:ext>
            </a:extLst>
          </xdr:cNvPr>
          <xdr:cNvSpPr txBox="1"/>
        </xdr:nvSpPr>
        <xdr:spPr>
          <a:xfrm>
            <a:off x="6991350" y="12239625"/>
            <a:ext cx="7400925" cy="5010150"/>
          </a:xfrm>
          <a:prstGeom prst="rect">
            <a:avLst/>
          </a:prstGeom>
          <a:solidFill>
            <a:schemeClr val="bg1">
              <a:lumMod val="95000"/>
            </a:schemeClr>
          </a:solidFill>
          <a:ln>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US" sz="1100"/>
          </a:p>
        </xdr:txBody>
      </xdr:sp>
      <xdr:grpSp>
        <xdr:nvGrpSpPr>
          <xdr:cNvPr id="22" name="Group 21">
            <a:extLst>
              <a:ext uri="{FF2B5EF4-FFF2-40B4-BE49-F238E27FC236}">
                <a16:creationId xmlns:a16="http://schemas.microsoft.com/office/drawing/2014/main" id="{C9C56942-39FC-4568-B561-8BBC41DD67CC}"/>
              </a:ext>
            </a:extLst>
          </xdr:cNvPr>
          <xdr:cNvGrpSpPr/>
        </xdr:nvGrpSpPr>
        <xdr:grpSpPr>
          <a:xfrm>
            <a:off x="7095668" y="12287250"/>
            <a:ext cx="7207769" cy="4960125"/>
            <a:chOff x="7095668" y="12287250"/>
            <a:chExt cx="7207769" cy="4960125"/>
          </a:xfrm>
        </xdr:grpSpPr>
        <xdr:pic>
          <xdr:nvPicPr>
            <xdr:cNvPr id="7" name="Picture 6">
              <a:extLst>
                <a:ext uri="{FF2B5EF4-FFF2-40B4-BE49-F238E27FC236}">
                  <a16:creationId xmlns:a16="http://schemas.microsoft.com/office/drawing/2014/main" id="{C8172615-F9B9-4B9F-950A-9CA634ECEA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93318" y="12630225"/>
              <a:ext cx="1931632" cy="2095425"/>
            </a:xfrm>
            <a:prstGeom prst="rect">
              <a:avLst/>
            </a:prstGeom>
          </xdr:spPr>
        </xdr:pic>
        <xdr:pic>
          <xdr:nvPicPr>
            <xdr:cNvPr id="9" name="Picture 8">
              <a:extLst>
                <a:ext uri="{FF2B5EF4-FFF2-40B4-BE49-F238E27FC236}">
                  <a16:creationId xmlns:a16="http://schemas.microsoft.com/office/drawing/2014/main" id="{5A44D0D0-171B-486F-8268-57FCE26C2B3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95668" y="15151950"/>
              <a:ext cx="1931632" cy="2095425"/>
            </a:xfrm>
            <a:prstGeom prst="rect">
              <a:avLst/>
            </a:prstGeom>
          </xdr:spPr>
        </xdr:pic>
        <xdr:pic>
          <xdr:nvPicPr>
            <xdr:cNvPr id="11" name="Picture 10">
              <a:extLst>
                <a:ext uri="{FF2B5EF4-FFF2-40B4-BE49-F238E27FC236}">
                  <a16:creationId xmlns:a16="http://schemas.microsoft.com/office/drawing/2014/main" id="{CCE5A874-1F38-42D1-B3D4-4BE56783C5B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26968" y="12606375"/>
              <a:ext cx="1931632" cy="2095425"/>
            </a:xfrm>
            <a:prstGeom prst="rect">
              <a:avLst/>
            </a:prstGeom>
          </xdr:spPr>
        </xdr:pic>
        <xdr:pic>
          <xdr:nvPicPr>
            <xdr:cNvPr id="13" name="Picture 12">
              <a:extLst>
                <a:ext uri="{FF2B5EF4-FFF2-40B4-BE49-F238E27FC236}">
                  <a16:creationId xmlns:a16="http://schemas.microsoft.com/office/drawing/2014/main" id="{51D2112D-FBA0-4579-967A-3A822598148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15043" y="15090000"/>
              <a:ext cx="1931632" cy="2095425"/>
            </a:xfrm>
            <a:prstGeom prst="rect">
              <a:avLst/>
            </a:prstGeom>
          </xdr:spPr>
        </xdr:pic>
        <xdr:pic>
          <xdr:nvPicPr>
            <xdr:cNvPr id="15" name="Picture 14">
              <a:extLst>
                <a:ext uri="{FF2B5EF4-FFF2-40B4-BE49-F238E27FC236}">
                  <a16:creationId xmlns:a16="http://schemas.microsoft.com/office/drawing/2014/main" id="{62BAB79A-4331-4C8C-BF35-E3E51197A6F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222443" y="12601575"/>
              <a:ext cx="1931632" cy="2095425"/>
            </a:xfrm>
            <a:prstGeom prst="rect">
              <a:avLst/>
            </a:prstGeom>
          </xdr:spPr>
        </xdr:pic>
        <xdr:sp macro="" textlink="">
          <xdr:nvSpPr>
            <xdr:cNvPr id="16" name="TextBox 15">
              <a:extLst>
                <a:ext uri="{FF2B5EF4-FFF2-40B4-BE49-F238E27FC236}">
                  <a16:creationId xmlns:a16="http://schemas.microsoft.com/office/drawing/2014/main" id="{4F87DD14-AD8E-477F-9530-BDDB69E2DD18}"/>
                </a:ext>
              </a:extLst>
            </xdr:cNvPr>
            <xdr:cNvSpPr txBox="1"/>
          </xdr:nvSpPr>
          <xdr:spPr>
            <a:xfrm>
              <a:off x="7172325" y="12296775"/>
              <a:ext cx="2074799" cy="264560"/>
            </a:xfrm>
            <a:prstGeom prst="rect">
              <a:avLst/>
            </a:prstGeom>
            <a:solidFill>
              <a:srgbClr val="FFFFE7"/>
            </a:solidFill>
            <a:ln>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Net type 1: Worst for Walkability</a:t>
              </a:r>
            </a:p>
          </xdr:txBody>
        </xdr:sp>
        <xdr:sp macro="" textlink="">
          <xdr:nvSpPr>
            <xdr:cNvPr id="17" name="TextBox 16">
              <a:extLst>
                <a:ext uri="{FF2B5EF4-FFF2-40B4-BE49-F238E27FC236}">
                  <a16:creationId xmlns:a16="http://schemas.microsoft.com/office/drawing/2014/main" id="{4217ED97-32CD-4082-AF90-A8F5BC3CA844}"/>
                </a:ext>
              </a:extLst>
            </xdr:cNvPr>
            <xdr:cNvSpPr txBox="1"/>
          </xdr:nvSpPr>
          <xdr:spPr>
            <a:xfrm>
              <a:off x="9839325" y="12287250"/>
              <a:ext cx="1941814" cy="264560"/>
            </a:xfrm>
            <a:prstGeom prst="rect">
              <a:avLst/>
            </a:prstGeom>
            <a:solidFill>
              <a:srgbClr val="FFFFE7"/>
            </a:solidFill>
            <a:ln>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Net type 2: Bad for Walkability</a:t>
              </a:r>
            </a:p>
          </xdr:txBody>
        </xdr:sp>
        <xdr:sp macro="" textlink="">
          <xdr:nvSpPr>
            <xdr:cNvPr id="18" name="TextBox 17">
              <a:extLst>
                <a:ext uri="{FF2B5EF4-FFF2-40B4-BE49-F238E27FC236}">
                  <a16:creationId xmlns:a16="http://schemas.microsoft.com/office/drawing/2014/main" id="{3E25B385-D6FA-437A-84B4-278CB0AFA4F5}"/>
                </a:ext>
              </a:extLst>
            </xdr:cNvPr>
            <xdr:cNvSpPr txBox="1"/>
          </xdr:nvSpPr>
          <xdr:spPr>
            <a:xfrm>
              <a:off x="12268200" y="12287250"/>
              <a:ext cx="2035237" cy="264560"/>
            </a:xfrm>
            <a:prstGeom prst="rect">
              <a:avLst/>
            </a:prstGeom>
            <a:solidFill>
              <a:srgbClr val="FFFFE7"/>
            </a:solidFill>
            <a:ln>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Net type 3: Good for Walkability</a:t>
              </a:r>
            </a:p>
          </xdr:txBody>
        </xdr:sp>
        <xdr:sp macro="" textlink="">
          <xdr:nvSpPr>
            <xdr:cNvPr id="19" name="TextBox 18">
              <a:extLst>
                <a:ext uri="{FF2B5EF4-FFF2-40B4-BE49-F238E27FC236}">
                  <a16:creationId xmlns:a16="http://schemas.microsoft.com/office/drawing/2014/main" id="{E3A87A19-67BB-46B3-84A5-ECD380C774A1}"/>
                </a:ext>
              </a:extLst>
            </xdr:cNvPr>
            <xdr:cNvSpPr txBox="1"/>
          </xdr:nvSpPr>
          <xdr:spPr>
            <a:xfrm>
              <a:off x="7200900" y="14849475"/>
              <a:ext cx="2035237" cy="264560"/>
            </a:xfrm>
            <a:prstGeom prst="rect">
              <a:avLst/>
            </a:prstGeom>
            <a:solidFill>
              <a:srgbClr val="FFFFE7"/>
            </a:solidFill>
            <a:ln>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Net type 4: Good for Walkability</a:t>
              </a:r>
            </a:p>
          </xdr:txBody>
        </xdr:sp>
        <xdr:sp macro="" textlink="">
          <xdr:nvSpPr>
            <xdr:cNvPr id="20" name="TextBox 19">
              <a:extLst>
                <a:ext uri="{FF2B5EF4-FFF2-40B4-BE49-F238E27FC236}">
                  <a16:creationId xmlns:a16="http://schemas.microsoft.com/office/drawing/2014/main" id="{F60A80F8-2FB6-46FC-AB30-C3F0B2F480C4}"/>
                </a:ext>
              </a:extLst>
            </xdr:cNvPr>
            <xdr:cNvSpPr txBox="1"/>
          </xdr:nvSpPr>
          <xdr:spPr>
            <a:xfrm>
              <a:off x="9867900" y="14849475"/>
              <a:ext cx="2046586" cy="264560"/>
            </a:xfrm>
            <a:prstGeom prst="rect">
              <a:avLst/>
            </a:prstGeom>
            <a:solidFill>
              <a:srgbClr val="FFFFE7"/>
            </a:solidFill>
            <a:ln>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Net type 5: Great for Walkability</a:t>
              </a:r>
            </a:p>
          </xdr:txBody>
        </xdr:sp>
        <xdr:sp macro="" textlink="">
          <xdr:nvSpPr>
            <xdr:cNvPr id="21" name="TextBox 20">
              <a:extLst>
                <a:ext uri="{FF2B5EF4-FFF2-40B4-BE49-F238E27FC236}">
                  <a16:creationId xmlns:a16="http://schemas.microsoft.com/office/drawing/2014/main" id="{EF09EDA9-BFF8-4061-AA79-D3535D1FE0BF}"/>
                </a:ext>
              </a:extLst>
            </xdr:cNvPr>
            <xdr:cNvSpPr txBox="1"/>
          </xdr:nvSpPr>
          <xdr:spPr>
            <a:xfrm>
              <a:off x="12363450" y="14868525"/>
              <a:ext cx="1469761" cy="264560"/>
            </a:xfrm>
            <a:prstGeom prst="rect">
              <a:avLst/>
            </a:prstGeom>
            <a:solidFill>
              <a:srgbClr val="FFFFE7"/>
            </a:solidFill>
            <a:ln>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Source: StreetPlan.net</a:t>
              </a:r>
            </a:p>
          </xdr:txBody>
        </xdr:sp>
      </xdr:grpSp>
    </xdr:grpSp>
    <xdr:clientData/>
  </xdr:twoCellAnchor>
</xdr:wsDr>
</file>

<file path=xl/drawings/drawing3.xml><?xml version="1.0" encoding="utf-8"?>
<c:userShapes xmlns:c="http://schemas.openxmlformats.org/drawingml/2006/chart">
  <cdr:relSizeAnchor xmlns:cdr="http://schemas.openxmlformats.org/drawingml/2006/chartDrawing">
    <cdr:from>
      <cdr:x>0.02083</cdr:x>
      <cdr:y>0.02068</cdr:y>
    </cdr:from>
    <cdr:to>
      <cdr:x>0.97656</cdr:x>
      <cdr:y>0.10931</cdr:y>
    </cdr:to>
    <cdr:sp macro="" textlink="'Walkability User Interface'!$C$57">
      <cdr:nvSpPr>
        <cdr:cNvPr id="2" name="TextBox 1">
          <a:extLst xmlns:a="http://schemas.openxmlformats.org/drawingml/2006/main">
            <a:ext uri="{FF2B5EF4-FFF2-40B4-BE49-F238E27FC236}">
              <a16:creationId xmlns:a16="http://schemas.microsoft.com/office/drawing/2014/main" id="{76143F2C-E267-473F-B480-DC7ECB9B935E}"/>
            </a:ext>
          </a:extLst>
        </cdr:cNvPr>
        <cdr:cNvSpPr txBox="1"/>
      </cdr:nvSpPr>
      <cdr:spPr>
        <a:xfrm xmlns:a="http://schemas.openxmlformats.org/drawingml/2006/main">
          <a:off x="76200" y="66676"/>
          <a:ext cx="34956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F71406E-2F8A-4FD7-B6A8-7F7616F36AD3}" type="TxLink">
            <a:rPr lang="en-US" sz="1400" b="1" i="0" u="none" strike="noStrike">
              <a:solidFill>
                <a:srgbClr val="000000"/>
              </a:solidFill>
              <a:latin typeface="Calibri"/>
              <a:cs typeface="Calibri"/>
            </a:rPr>
            <a:pPr/>
            <a:t>Walkability Score for Logan Main</a:t>
          </a:fld>
          <a:endParaRPr lang="en-US" sz="1400" b="1"/>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8282</xdr:colOff>
      <xdr:row>0</xdr:row>
      <xdr:rowOff>33132</xdr:rowOff>
    </xdr:from>
    <xdr:to>
      <xdr:col>12</xdr:col>
      <xdr:colOff>132521</xdr:colOff>
      <xdr:row>0</xdr:row>
      <xdr:rowOff>712304</xdr:rowOff>
    </xdr:to>
    <xdr:sp macro="" textlink="">
      <xdr:nvSpPr>
        <xdr:cNvPr id="2" name="TextBox 1">
          <a:extLst>
            <a:ext uri="{FF2B5EF4-FFF2-40B4-BE49-F238E27FC236}">
              <a16:creationId xmlns:a16="http://schemas.microsoft.com/office/drawing/2014/main" id="{CE446925-EED6-41DE-A4E3-32AF86242759}"/>
            </a:ext>
          </a:extLst>
        </xdr:cNvPr>
        <xdr:cNvSpPr txBox="1"/>
      </xdr:nvSpPr>
      <xdr:spPr>
        <a:xfrm>
          <a:off x="140804" y="33132"/>
          <a:ext cx="10046804" cy="679172"/>
        </a:xfrm>
        <a:prstGeom prst="rect">
          <a:avLst/>
        </a:prstGeom>
        <a:solidFill>
          <a:srgbClr val="FFFF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Columns C-F </a:t>
          </a:r>
          <a:r>
            <a:rPr lang="en-US" sz="1050" baseline="0"/>
            <a:t>establish the point range available by area type.  Columns H-I copy the desired future type from C-F, and then compare the user-supplied value to the minimum and ideal for that area type, to determine how many walkability points to award or subtract.  Worst compares common conditions against the minimum standards, and issues negative points if below minimum and zero or positive if at or above minimum.  Everything here is automatic and there shouldn't be a need for user interaction.</a:t>
          </a:r>
          <a:endParaRPr lang="en-US" sz="1050"/>
        </a:p>
      </xdr:txBody>
    </xdr:sp>
    <xdr:clientData/>
  </xdr:twoCellAnchor>
  <xdr:twoCellAnchor>
    <xdr:from>
      <xdr:col>13</xdr:col>
      <xdr:colOff>66261</xdr:colOff>
      <xdr:row>9</xdr:row>
      <xdr:rowOff>91108</xdr:rowOff>
    </xdr:from>
    <xdr:to>
      <xdr:col>18</xdr:col>
      <xdr:colOff>331304</xdr:colOff>
      <xdr:row>13</xdr:row>
      <xdr:rowOff>107673</xdr:rowOff>
    </xdr:to>
    <xdr:sp macro="" textlink="">
      <xdr:nvSpPr>
        <xdr:cNvPr id="3" name="TextBox 2">
          <a:extLst>
            <a:ext uri="{FF2B5EF4-FFF2-40B4-BE49-F238E27FC236}">
              <a16:creationId xmlns:a16="http://schemas.microsoft.com/office/drawing/2014/main" id="{3B9CD60A-C225-4A92-B959-27C10CC7CB9B}"/>
            </a:ext>
          </a:extLst>
        </xdr:cNvPr>
        <xdr:cNvSpPr txBox="1"/>
      </xdr:nvSpPr>
      <xdr:spPr>
        <a:xfrm>
          <a:off x="10734261" y="2385391"/>
          <a:ext cx="3718891" cy="778565"/>
        </a:xfrm>
        <a:prstGeom prst="rect">
          <a:avLst/>
        </a:prstGeom>
        <a:solidFill>
          <a:srgbClr val="FFFF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Points = Actual minus minumum, but not more than the difference between min and ideal. Negative if actual &lt; min. Pos if actual &gt; min up to the ideal (no extra credit if above ideal)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FBF13-A238-4923-8A3B-3C275530E2E1}">
  <dimension ref="B1:M35"/>
  <sheetViews>
    <sheetView tabSelected="1" workbookViewId="0">
      <selection activeCell="B17" sqref="B17:M17"/>
    </sheetView>
  </sheetViews>
  <sheetFormatPr defaultRowHeight="15" x14ac:dyDescent="0.25"/>
  <cols>
    <col min="2" max="2" width="13.85546875" customWidth="1"/>
  </cols>
  <sheetData>
    <row r="1" spans="2:13" ht="15.75" thickBot="1" x14ac:dyDescent="0.3">
      <c r="B1" s="83"/>
      <c r="C1" s="83"/>
      <c r="D1" s="83"/>
      <c r="E1" s="83"/>
      <c r="F1" s="83"/>
      <c r="G1" s="83"/>
      <c r="H1" s="83"/>
      <c r="I1" s="83"/>
      <c r="J1" s="83"/>
      <c r="K1" s="83"/>
      <c r="L1" s="83"/>
      <c r="M1" s="83"/>
    </row>
    <row r="2" spans="2:13" ht="15.75" thickTop="1" x14ac:dyDescent="0.25">
      <c r="B2" s="84"/>
      <c r="C2" s="85"/>
      <c r="D2" s="85"/>
      <c r="E2" s="85"/>
      <c r="F2" s="85"/>
      <c r="G2" s="85"/>
      <c r="H2" s="85"/>
      <c r="I2" s="85"/>
      <c r="J2" s="85"/>
      <c r="K2" s="85"/>
      <c r="L2" s="85"/>
      <c r="M2" s="86"/>
    </row>
    <row r="3" spans="2:13" ht="18" x14ac:dyDescent="0.25">
      <c r="B3" s="87"/>
      <c r="C3" s="103" t="s">
        <v>329</v>
      </c>
      <c r="D3" s="103"/>
      <c r="E3" s="103"/>
      <c r="F3" s="103"/>
      <c r="G3" s="103"/>
      <c r="H3" s="103"/>
      <c r="I3" s="103"/>
      <c r="J3" s="103"/>
      <c r="K3" s="103"/>
      <c r="L3" s="103"/>
      <c r="M3" s="88"/>
    </row>
    <row r="4" spans="2:13" ht="27" x14ac:dyDescent="0.35">
      <c r="B4" s="104" t="s">
        <v>311</v>
      </c>
      <c r="C4" s="105"/>
      <c r="D4" s="105"/>
      <c r="E4" s="105"/>
      <c r="F4" s="105"/>
      <c r="G4" s="105"/>
      <c r="H4" s="105"/>
      <c r="I4" s="105"/>
      <c r="J4" s="105"/>
      <c r="K4" s="105"/>
      <c r="L4" s="105"/>
      <c r="M4" s="106"/>
    </row>
    <row r="5" spans="2:13" ht="15.75" thickBot="1" x14ac:dyDescent="0.3">
      <c r="B5" s="89"/>
      <c r="C5" s="90"/>
      <c r="D5" s="90"/>
      <c r="E5" s="90"/>
      <c r="F5" s="90"/>
      <c r="G5" s="90"/>
      <c r="H5" s="90"/>
      <c r="I5" s="90"/>
      <c r="J5" s="90"/>
      <c r="K5" s="90"/>
      <c r="L5" s="90"/>
      <c r="M5" s="91"/>
    </row>
    <row r="6" spans="2:13" ht="15.75" thickTop="1" x14ac:dyDescent="0.25">
      <c r="B6" s="83"/>
      <c r="C6" s="83"/>
      <c r="D6" s="83"/>
      <c r="E6" s="83"/>
      <c r="F6" s="83"/>
      <c r="G6" s="83"/>
      <c r="H6" s="83"/>
      <c r="I6" s="83"/>
      <c r="J6" s="83"/>
      <c r="K6" s="83"/>
      <c r="L6" s="83"/>
      <c r="M6" s="83"/>
    </row>
    <row r="7" spans="2:13" x14ac:dyDescent="0.25">
      <c r="B7" s="107" t="s">
        <v>312</v>
      </c>
      <c r="C7" s="107"/>
      <c r="D7" s="107"/>
      <c r="E7" s="107"/>
      <c r="F7" s="107"/>
      <c r="G7" s="107"/>
      <c r="H7" s="107"/>
      <c r="I7" s="107"/>
      <c r="J7" s="107"/>
      <c r="K7" s="107"/>
      <c r="L7" s="107"/>
      <c r="M7" s="107"/>
    </row>
    <row r="8" spans="2:13" x14ac:dyDescent="0.25">
      <c r="B8" s="92" t="s">
        <v>313</v>
      </c>
      <c r="C8" s="83"/>
      <c r="D8" s="83"/>
      <c r="E8" s="83"/>
      <c r="F8" s="83"/>
      <c r="G8" s="83"/>
      <c r="H8" s="83"/>
      <c r="I8" s="83"/>
      <c r="J8" s="83"/>
      <c r="K8" s="83"/>
      <c r="L8" s="83"/>
      <c r="M8" s="83"/>
    </row>
    <row r="9" spans="2:13" ht="39" customHeight="1" x14ac:dyDescent="0.25">
      <c r="B9" s="99" t="s">
        <v>314</v>
      </c>
      <c r="C9" s="99"/>
      <c r="D9" s="99"/>
      <c r="E9" s="99"/>
      <c r="F9" s="99"/>
      <c r="G9" s="99"/>
      <c r="H9" s="99"/>
      <c r="I9" s="99"/>
      <c r="J9" s="99"/>
      <c r="K9" s="99"/>
      <c r="L9" s="99"/>
      <c r="M9" s="99"/>
    </row>
    <row r="11" spans="2:13" x14ac:dyDescent="0.25">
      <c r="B11" s="92" t="s">
        <v>315</v>
      </c>
      <c r="C11" s="83"/>
      <c r="D11" s="83"/>
      <c r="E11" s="83"/>
      <c r="F11" s="83"/>
      <c r="G11" s="83"/>
      <c r="H11" s="83"/>
      <c r="I11" s="83"/>
      <c r="J11" s="83"/>
      <c r="K11" s="83"/>
      <c r="L11" s="83"/>
      <c r="M11" s="83"/>
    </row>
    <row r="12" spans="2:13" ht="42" customHeight="1" x14ac:dyDescent="0.25">
      <c r="B12" s="99" t="s">
        <v>316</v>
      </c>
      <c r="C12" s="99"/>
      <c r="D12" s="99"/>
      <c r="E12" s="99"/>
      <c r="F12" s="99"/>
      <c r="G12" s="99"/>
      <c r="H12" s="99"/>
      <c r="I12" s="99"/>
      <c r="J12" s="99"/>
      <c r="K12" s="99"/>
      <c r="L12" s="99"/>
      <c r="M12" s="99"/>
    </row>
    <row r="14" spans="2:13" x14ac:dyDescent="0.25">
      <c r="B14" s="92" t="s">
        <v>317</v>
      </c>
      <c r="C14" s="83"/>
      <c r="D14" s="83"/>
      <c r="E14" s="83"/>
      <c r="F14" s="83"/>
      <c r="G14" s="83"/>
      <c r="H14" s="83"/>
      <c r="I14" s="83"/>
      <c r="J14" s="83"/>
      <c r="K14" s="83"/>
      <c r="L14" s="83"/>
      <c r="M14" s="83"/>
    </row>
    <row r="15" spans="2:13" ht="40.5" customHeight="1" x14ac:dyDescent="0.25">
      <c r="B15" s="102" t="s">
        <v>330</v>
      </c>
      <c r="C15" s="102"/>
      <c r="D15" s="102"/>
      <c r="E15" s="102"/>
      <c r="F15" s="102"/>
      <c r="G15" s="102"/>
      <c r="H15" s="102"/>
      <c r="I15" s="102"/>
      <c r="J15" s="102"/>
      <c r="K15" s="102"/>
      <c r="L15" s="102"/>
      <c r="M15" s="102"/>
    </row>
    <row r="17" spans="2:13" ht="66" customHeight="1" x14ac:dyDescent="0.25">
      <c r="B17" s="99" t="s">
        <v>331</v>
      </c>
      <c r="C17" s="99"/>
      <c r="D17" s="99"/>
      <c r="E17" s="99"/>
      <c r="F17" s="99"/>
      <c r="G17" s="99"/>
      <c r="H17" s="99"/>
      <c r="I17" s="99"/>
      <c r="J17" s="99"/>
      <c r="K17" s="99"/>
      <c r="L17" s="99"/>
      <c r="M17" s="99"/>
    </row>
    <row r="18" spans="2:13" x14ac:dyDescent="0.25">
      <c r="B18" s="94"/>
      <c r="C18" s="94"/>
      <c r="D18" s="94"/>
      <c r="E18" s="94"/>
      <c r="F18" s="94"/>
      <c r="G18" s="94"/>
      <c r="H18" s="94"/>
      <c r="I18" s="94"/>
      <c r="J18" s="94"/>
      <c r="K18" s="94"/>
      <c r="L18" s="94"/>
      <c r="M18" s="94"/>
    </row>
    <row r="19" spans="2:13" x14ac:dyDescent="0.25">
      <c r="B19" s="92" t="s">
        <v>318</v>
      </c>
      <c r="C19" s="83"/>
      <c r="D19" s="83"/>
      <c r="E19" s="83"/>
      <c r="F19" s="83"/>
      <c r="G19" s="83"/>
      <c r="H19" s="83"/>
      <c r="I19" s="83"/>
      <c r="J19" s="83"/>
      <c r="K19" s="83"/>
      <c r="L19" s="83"/>
      <c r="M19" s="83"/>
    </row>
    <row r="20" spans="2:13" x14ac:dyDescent="0.25">
      <c r="B20" s="99" t="s">
        <v>319</v>
      </c>
      <c r="C20" s="99"/>
      <c r="D20" s="99"/>
      <c r="E20" s="99"/>
      <c r="F20" s="99"/>
      <c r="G20" s="99"/>
      <c r="H20" s="99"/>
      <c r="I20" s="99"/>
      <c r="J20" s="99"/>
      <c r="K20" s="99"/>
      <c r="L20" s="99"/>
      <c r="M20" s="99"/>
    </row>
    <row r="21" spans="2:13" x14ac:dyDescent="0.25">
      <c r="B21" s="93"/>
      <c r="C21" s="93"/>
      <c r="D21" s="93"/>
      <c r="E21" s="93"/>
      <c r="F21" s="93"/>
      <c r="G21" s="93"/>
      <c r="H21" s="93"/>
      <c r="I21" s="93"/>
      <c r="J21" s="93"/>
      <c r="K21" s="93"/>
      <c r="L21" s="93"/>
      <c r="M21" s="93"/>
    </row>
    <row r="22" spans="2:13" x14ac:dyDescent="0.25">
      <c r="B22" s="92" t="s">
        <v>320</v>
      </c>
      <c r="C22" s="83"/>
      <c r="D22" s="83"/>
      <c r="E22" s="83"/>
      <c r="F22" s="83"/>
      <c r="G22" s="83"/>
      <c r="H22" s="83"/>
      <c r="I22" s="83"/>
      <c r="J22" s="83"/>
      <c r="K22" s="83"/>
      <c r="L22" s="83"/>
      <c r="M22" s="83"/>
    </row>
    <row r="23" spans="2:13" ht="27" customHeight="1" x14ac:dyDescent="0.25">
      <c r="B23" s="99" t="s">
        <v>321</v>
      </c>
      <c r="C23" s="99"/>
      <c r="D23" s="99"/>
      <c r="E23" s="99"/>
      <c r="F23" s="99"/>
      <c r="G23" s="99"/>
      <c r="H23" s="99"/>
      <c r="I23" s="99"/>
      <c r="J23" s="99"/>
      <c r="K23" s="99"/>
      <c r="L23" s="99"/>
      <c r="M23" s="99"/>
    </row>
    <row r="24" spans="2:13" x14ac:dyDescent="0.25">
      <c r="B24" s="100"/>
      <c r="C24" s="100"/>
      <c r="D24" s="100"/>
      <c r="E24" s="100"/>
      <c r="F24" s="100"/>
      <c r="G24" s="100"/>
      <c r="H24" s="100"/>
      <c r="I24" s="100"/>
      <c r="J24" s="100"/>
      <c r="K24" s="100"/>
      <c r="L24" s="100"/>
      <c r="M24" s="100"/>
    </row>
    <row r="25" spans="2:13" x14ac:dyDescent="0.25">
      <c r="B25" s="92" t="s">
        <v>322</v>
      </c>
      <c r="C25" s="95"/>
      <c r="D25" s="95"/>
      <c r="E25" s="95"/>
      <c r="F25" s="95"/>
      <c r="G25" s="95"/>
      <c r="H25" s="95"/>
      <c r="I25" s="95"/>
      <c r="J25" s="95"/>
      <c r="K25" s="95"/>
      <c r="L25" s="95"/>
      <c r="M25" s="95"/>
    </row>
    <row r="26" spans="2:13" x14ac:dyDescent="0.25">
      <c r="B26" s="101" t="s">
        <v>323</v>
      </c>
      <c r="C26" s="101"/>
      <c r="D26" s="101"/>
      <c r="E26" s="101"/>
      <c r="F26" s="101"/>
      <c r="G26" s="101"/>
      <c r="H26" s="101"/>
      <c r="I26" s="101"/>
      <c r="J26" s="101"/>
      <c r="K26" s="101"/>
      <c r="L26" s="101"/>
      <c r="M26" s="101"/>
    </row>
    <row r="27" spans="2:13" x14ac:dyDescent="0.25">
      <c r="B27" s="93"/>
      <c r="C27" s="96"/>
      <c r="D27" s="96"/>
      <c r="E27" s="96"/>
      <c r="F27" s="96"/>
      <c r="G27" s="96"/>
      <c r="H27" s="96"/>
      <c r="I27" s="96"/>
      <c r="J27" s="96"/>
      <c r="K27" s="96"/>
      <c r="L27" s="96"/>
      <c r="M27" s="96"/>
    </row>
    <row r="28" spans="2:13" x14ac:dyDescent="0.25">
      <c r="B28" s="99" t="s">
        <v>324</v>
      </c>
      <c r="C28" s="99"/>
      <c r="D28" s="99"/>
      <c r="E28" s="99"/>
      <c r="F28" s="99"/>
      <c r="G28" s="99"/>
      <c r="H28" s="99"/>
      <c r="I28" s="99"/>
      <c r="J28" s="99"/>
      <c r="K28" s="99"/>
      <c r="L28" s="99"/>
      <c r="M28" s="99"/>
    </row>
    <row r="29" spans="2:13" x14ac:dyDescent="0.25">
      <c r="B29" s="96"/>
      <c r="C29" s="96"/>
      <c r="D29" s="96"/>
      <c r="E29" s="96"/>
      <c r="F29" s="96"/>
      <c r="G29" s="96"/>
      <c r="H29" s="96"/>
      <c r="I29" s="96"/>
      <c r="J29" s="96"/>
      <c r="K29" s="96"/>
      <c r="L29" s="96"/>
      <c r="M29" s="96"/>
    </row>
    <row r="30" spans="2:13" x14ac:dyDescent="0.25">
      <c r="B30" s="99" t="s">
        <v>325</v>
      </c>
      <c r="C30" s="99"/>
      <c r="D30" s="99"/>
      <c r="E30" s="99"/>
      <c r="F30" s="99"/>
      <c r="G30" s="99"/>
      <c r="H30" s="99"/>
      <c r="I30" s="99"/>
      <c r="J30" s="99"/>
      <c r="K30" s="99"/>
      <c r="L30" s="99"/>
      <c r="M30" s="99"/>
    </row>
    <row r="31" spans="2:13" x14ac:dyDescent="0.25">
      <c r="B31" s="96"/>
      <c r="C31" s="96"/>
      <c r="D31" s="96"/>
      <c r="E31" s="96"/>
      <c r="F31" s="96"/>
      <c r="G31" s="96"/>
      <c r="H31" s="96"/>
      <c r="I31" s="96"/>
      <c r="J31" s="96"/>
      <c r="K31" s="96"/>
      <c r="L31" s="96"/>
      <c r="M31" s="96"/>
    </row>
    <row r="32" spans="2:13" x14ac:dyDescent="0.25">
      <c r="B32" s="92" t="s">
        <v>326</v>
      </c>
      <c r="C32" s="83"/>
      <c r="D32" s="83"/>
      <c r="E32" s="83"/>
      <c r="F32" s="83"/>
      <c r="G32" s="83"/>
      <c r="H32" s="83"/>
      <c r="I32" s="83"/>
      <c r="J32" s="83"/>
      <c r="K32" s="83"/>
      <c r="L32" s="83"/>
      <c r="M32" s="83"/>
    </row>
    <row r="33" spans="2:3" x14ac:dyDescent="0.25">
      <c r="B33" s="97" t="s">
        <v>327</v>
      </c>
      <c r="C33" s="95" t="s">
        <v>328</v>
      </c>
    </row>
    <row r="34" spans="2:3" x14ac:dyDescent="0.25">
      <c r="B34" s="83"/>
      <c r="C34" s="98"/>
    </row>
    <row r="35" spans="2:3" x14ac:dyDescent="0.25">
      <c r="B35" s="97"/>
      <c r="C35" s="83"/>
    </row>
  </sheetData>
  <mergeCells count="13">
    <mergeCell ref="B15:M15"/>
    <mergeCell ref="C3:L3"/>
    <mergeCell ref="B4:M4"/>
    <mergeCell ref="B7:M7"/>
    <mergeCell ref="B9:M9"/>
    <mergeCell ref="B12:M12"/>
    <mergeCell ref="B30:M30"/>
    <mergeCell ref="B17:M17"/>
    <mergeCell ref="B20:M20"/>
    <mergeCell ref="B23:M23"/>
    <mergeCell ref="B24:M24"/>
    <mergeCell ref="B26:M26"/>
    <mergeCell ref="B28:M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C8443-4659-4448-990D-A8F92F78220C}">
  <sheetPr>
    <tabColor rgb="FF00B0F0"/>
  </sheetPr>
  <dimension ref="A1"/>
  <sheetViews>
    <sheetView showGridLines="0" zoomScale="120" zoomScaleNormal="120" workbookViewId="0">
      <selection activeCell="M19" sqref="M19"/>
    </sheetView>
  </sheetViews>
  <sheetFormatPr defaultColWidth="8.85546875"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5AC7-48B9-430E-9AC8-DE2ED6AF1116}">
  <sheetPr>
    <pageSetUpPr autoPageBreaks="0"/>
  </sheetPr>
  <dimension ref="B1:AA106"/>
  <sheetViews>
    <sheetView showGridLines="0" topLeftCell="A59" zoomScaleNormal="100" workbookViewId="0">
      <selection activeCell="D74" sqref="D74"/>
    </sheetView>
  </sheetViews>
  <sheetFormatPr defaultColWidth="8.85546875" defaultRowHeight="15" x14ac:dyDescent="0.25"/>
  <cols>
    <col min="1" max="1" width="3.42578125" customWidth="1"/>
    <col min="2" max="2" width="3" bestFit="1" customWidth="1"/>
    <col min="3" max="3" width="66.85546875" customWidth="1"/>
    <col min="4" max="12" width="9.140625" style="11"/>
    <col min="14" max="15" width="9.140625" style="11"/>
    <col min="16" max="16" width="2.140625" customWidth="1"/>
    <col min="17" max="18" width="9.140625" style="11"/>
    <col min="21" max="21" width="11.28515625" customWidth="1"/>
    <col min="22" max="22" width="19.42578125" bestFit="1" customWidth="1"/>
    <col min="23" max="23" width="20.85546875" customWidth="1"/>
  </cols>
  <sheetData>
    <row r="1" spans="2:27" ht="15.75" thickBot="1" x14ac:dyDescent="0.3">
      <c r="B1" t="s">
        <v>307</v>
      </c>
      <c r="D1" s="2" t="s">
        <v>301</v>
      </c>
      <c r="E1" s="3" t="s">
        <v>252</v>
      </c>
      <c r="L1" s="80" t="s">
        <v>296</v>
      </c>
      <c r="N1" s="2" t="s">
        <v>301</v>
      </c>
      <c r="O1" s="3" t="s">
        <v>302</v>
      </c>
      <c r="P1" s="11"/>
      <c r="Q1" s="2" t="s">
        <v>301</v>
      </c>
      <c r="R1" s="3" t="s">
        <v>303</v>
      </c>
      <c r="Y1" s="1" t="s">
        <v>267</v>
      </c>
      <c r="Z1" s="1" t="s">
        <v>266</v>
      </c>
      <c r="AA1" s="1" t="s">
        <v>265</v>
      </c>
    </row>
    <row r="2" spans="2:27" x14ac:dyDescent="0.25">
      <c r="B2" s="68"/>
      <c r="C2" s="52" t="s">
        <v>241</v>
      </c>
      <c r="D2" s="52" t="s">
        <v>242</v>
      </c>
      <c r="E2" s="52" t="s">
        <v>243</v>
      </c>
      <c r="F2" s="52" t="s">
        <v>244</v>
      </c>
      <c r="G2" s="52" t="s">
        <v>245</v>
      </c>
      <c r="H2" s="52" t="s">
        <v>246</v>
      </c>
      <c r="I2" s="52" t="s">
        <v>247</v>
      </c>
      <c r="J2" s="52" t="s">
        <v>248</v>
      </c>
      <c r="K2" s="52" t="s">
        <v>249</v>
      </c>
      <c r="L2" s="53" t="s">
        <v>250</v>
      </c>
      <c r="N2" s="52" t="s">
        <v>242</v>
      </c>
      <c r="O2" s="52" t="s">
        <v>243</v>
      </c>
      <c r="Q2" s="52" t="s">
        <v>242</v>
      </c>
      <c r="R2" s="52" t="s">
        <v>243</v>
      </c>
      <c r="Y2" t="s">
        <v>234</v>
      </c>
      <c r="Z2" t="s">
        <v>6</v>
      </c>
      <c r="AA2" t="s">
        <v>0</v>
      </c>
    </row>
    <row r="3" spans="2:27" ht="18.75" x14ac:dyDescent="0.3">
      <c r="B3" s="57">
        <v>1</v>
      </c>
      <c r="C3" s="54" t="s">
        <v>278</v>
      </c>
      <c r="D3" s="54"/>
      <c r="E3" s="54"/>
      <c r="F3" s="54"/>
      <c r="G3" s="54"/>
      <c r="H3" s="79" t="s">
        <v>291</v>
      </c>
      <c r="I3" s="55"/>
      <c r="J3" s="55"/>
      <c r="K3" s="55"/>
      <c r="L3" s="56"/>
      <c r="N3" s="54"/>
      <c r="O3" s="54"/>
      <c r="Q3" s="54"/>
      <c r="R3" s="54"/>
      <c r="Y3" t="s">
        <v>233</v>
      </c>
      <c r="Z3" t="s">
        <v>7</v>
      </c>
      <c r="AA3" t="s">
        <v>1</v>
      </c>
    </row>
    <row r="4" spans="2:27" ht="18.75" x14ac:dyDescent="0.3">
      <c r="B4" s="57">
        <f>B3+1</f>
        <v>2</v>
      </c>
      <c r="C4" s="77" t="s">
        <v>275</v>
      </c>
      <c r="D4" s="60" t="s">
        <v>268</v>
      </c>
      <c r="E4" s="60" t="s">
        <v>269</v>
      </c>
      <c r="F4" s="54"/>
      <c r="G4" s="54"/>
      <c r="H4" s="55">
        <f>H54</f>
        <v>61.714285714285708</v>
      </c>
      <c r="I4" s="55">
        <f>I54</f>
        <v>91.428571428571416</v>
      </c>
      <c r="J4" s="55">
        <f>J54</f>
        <v>1</v>
      </c>
      <c r="K4" s="55">
        <f>K54</f>
        <v>48.428571428571423</v>
      </c>
      <c r="L4" s="56">
        <f>L54</f>
        <v>100</v>
      </c>
      <c r="Y4" t="s">
        <v>268</v>
      </c>
      <c r="AA4" t="s">
        <v>2</v>
      </c>
    </row>
    <row r="5" spans="2:27" ht="15.75" x14ac:dyDescent="0.25">
      <c r="B5" s="57">
        <f t="shared" ref="B5:B44" si="0">B4+1</f>
        <v>3</v>
      </c>
      <c r="C5" s="69" t="s">
        <v>276</v>
      </c>
      <c r="D5" s="73" t="s">
        <v>1</v>
      </c>
      <c r="E5" s="73" t="s">
        <v>2</v>
      </c>
      <c r="H5" s="3"/>
      <c r="I5" s="3"/>
      <c r="L5" s="58"/>
      <c r="N5" s="73" t="s">
        <v>2</v>
      </c>
      <c r="Q5" s="73" t="s">
        <v>2</v>
      </c>
      <c r="Y5" t="s">
        <v>269</v>
      </c>
      <c r="AA5" t="s">
        <v>149</v>
      </c>
    </row>
    <row r="6" spans="2:27" ht="15.75" x14ac:dyDescent="0.25">
      <c r="B6" s="57">
        <f t="shared" si="0"/>
        <v>4</v>
      </c>
      <c r="C6" s="69" t="s">
        <v>178</v>
      </c>
      <c r="D6" s="59">
        <v>2</v>
      </c>
      <c r="E6" s="59">
        <v>1</v>
      </c>
      <c r="H6" s="108" t="s">
        <v>235</v>
      </c>
      <c r="I6" s="108"/>
      <c r="J6" s="108"/>
      <c r="K6" s="108"/>
      <c r="L6" s="109"/>
      <c r="N6" s="59">
        <v>2</v>
      </c>
      <c r="O6" s="59">
        <v>2</v>
      </c>
      <c r="Q6" s="59">
        <v>2</v>
      </c>
      <c r="R6" s="59">
        <v>1</v>
      </c>
      <c r="Y6" t="s">
        <v>270</v>
      </c>
    </row>
    <row r="7" spans="2:27" ht="15.75" x14ac:dyDescent="0.25">
      <c r="B7" s="57">
        <f t="shared" si="0"/>
        <v>5</v>
      </c>
      <c r="C7" s="19" t="s">
        <v>277</v>
      </c>
      <c r="D7" s="60" t="str">
        <f>D$4</f>
        <v>Before</v>
      </c>
      <c r="E7" s="60" t="str">
        <f>E$4</f>
        <v>After</v>
      </c>
      <c r="F7" s="60" t="s">
        <v>162</v>
      </c>
      <c r="G7" s="60" t="s">
        <v>150</v>
      </c>
      <c r="H7" s="60" t="str">
        <f>$D$7</f>
        <v>Before</v>
      </c>
      <c r="I7" s="60" t="str">
        <f>$E$7</f>
        <v>After</v>
      </c>
      <c r="J7" s="60" t="s">
        <v>204</v>
      </c>
      <c r="K7" s="60" t="s">
        <v>206</v>
      </c>
      <c r="L7" s="61" t="s">
        <v>205</v>
      </c>
      <c r="N7" s="60" t="s">
        <v>268</v>
      </c>
      <c r="O7" s="60" t="s">
        <v>269</v>
      </c>
      <c r="Q7" s="60" t="s">
        <v>268</v>
      </c>
      <c r="R7" s="60" t="s">
        <v>269</v>
      </c>
      <c r="Y7" t="s">
        <v>271</v>
      </c>
    </row>
    <row r="8" spans="2:27" ht="15.75" x14ac:dyDescent="0.25">
      <c r="B8" s="57">
        <f t="shared" si="0"/>
        <v>6</v>
      </c>
      <c r="C8" s="69" t="s">
        <v>239</v>
      </c>
      <c r="D8" s="59">
        <v>10</v>
      </c>
      <c r="E8" s="59">
        <v>10</v>
      </c>
      <c r="F8" s="11">
        <f>VLOOKUP($E$5, $U$18:$W$21, V$11, FALSE)</f>
        <v>6</v>
      </c>
      <c r="G8" s="11">
        <f>VLOOKUP($E$5, $U$18:$W$21, W$11, FALSE)</f>
        <v>8</v>
      </c>
      <c r="H8" s="31">
        <f>'Walkability Calculations'!H13</f>
        <v>2</v>
      </c>
      <c r="I8" s="31">
        <f>'Walkability Calculations'!I13</f>
        <v>2</v>
      </c>
      <c r="J8" s="62">
        <f>'Walkability Calculations'!J13</f>
        <v>-1</v>
      </c>
      <c r="K8" s="63">
        <f>'Walkability Calculations'!K13</f>
        <v>1</v>
      </c>
      <c r="L8" s="64">
        <f>'Walkability Calculations'!L13</f>
        <v>2</v>
      </c>
      <c r="N8" s="59">
        <v>4</v>
      </c>
      <c r="O8" s="59">
        <v>6</v>
      </c>
      <c r="Q8" s="59">
        <v>10</v>
      </c>
      <c r="R8" s="59">
        <v>10</v>
      </c>
      <c r="Y8" t="s">
        <v>272</v>
      </c>
    </row>
    <row r="9" spans="2:27" ht="15.75" x14ac:dyDescent="0.25">
      <c r="B9" s="57">
        <f t="shared" si="0"/>
        <v>7</v>
      </c>
      <c r="C9" s="69" t="s">
        <v>279</v>
      </c>
      <c r="D9" s="59">
        <v>9</v>
      </c>
      <c r="E9" s="59">
        <v>10</v>
      </c>
      <c r="F9" s="11">
        <f>VLOOKUP($E$5, $U$24:$W$28, V$11, FALSE)</f>
        <v>6</v>
      </c>
      <c r="G9" s="11">
        <f>VLOOKUP($E$5, $U$24:$W$28, W$11, FALSE)</f>
        <v>10</v>
      </c>
      <c r="H9" s="31">
        <f>'Walkability Calculations'!H19</f>
        <v>3</v>
      </c>
      <c r="I9" s="31">
        <f>'Walkability Calculations'!I19</f>
        <v>4</v>
      </c>
      <c r="J9" s="62">
        <f>'Walkability Calculations'!J19</f>
        <v>-4</v>
      </c>
      <c r="K9" s="63">
        <f>'Walkability Calculations'!K19</f>
        <v>-1</v>
      </c>
      <c r="L9" s="64">
        <f>'Walkability Calculations'!L19</f>
        <v>2</v>
      </c>
      <c r="N9" s="59">
        <v>4</v>
      </c>
      <c r="O9" s="59">
        <v>6</v>
      </c>
      <c r="Q9" s="59">
        <v>9</v>
      </c>
      <c r="R9" s="59">
        <v>10</v>
      </c>
      <c r="Y9" t="s">
        <v>273</v>
      </c>
    </row>
    <row r="10" spans="2:27" ht="15.75" x14ac:dyDescent="0.25">
      <c r="B10" s="57">
        <f t="shared" si="0"/>
        <v>8</v>
      </c>
      <c r="C10" s="69" t="s">
        <v>280</v>
      </c>
      <c r="D10" s="59">
        <v>3</v>
      </c>
      <c r="E10" s="59">
        <v>5</v>
      </c>
      <c r="F10" s="11">
        <f>VLOOKUP($E$5, $U$31:$W$34, V$11, FALSE)</f>
        <v>3</v>
      </c>
      <c r="G10" s="11">
        <f>VLOOKUP($E$5, $U$31:$W$34, W$11, FALSE)</f>
        <v>4</v>
      </c>
      <c r="H10" s="31">
        <f>'Walkability Calculations'!H33</f>
        <v>0</v>
      </c>
      <c r="I10" s="31">
        <f>'Walkability Calculations'!I33</f>
        <v>4</v>
      </c>
      <c r="J10" s="62">
        <f>'Walkability Calculations'!J33</f>
        <v>-3</v>
      </c>
      <c r="K10" s="63">
        <f>'Walkability Calculations'!K33</f>
        <v>0</v>
      </c>
      <c r="L10" s="64">
        <f>'Walkability Calculations'!L33</f>
        <v>4</v>
      </c>
      <c r="N10" s="59">
        <v>2</v>
      </c>
      <c r="O10" s="59">
        <v>5</v>
      </c>
      <c r="Q10" s="59">
        <v>3</v>
      </c>
      <c r="R10" s="59">
        <v>5</v>
      </c>
      <c r="V10" t="s">
        <v>281</v>
      </c>
    </row>
    <row r="11" spans="2:27" ht="15.75" x14ac:dyDescent="0.25">
      <c r="B11" s="57">
        <f t="shared" si="0"/>
        <v>9</v>
      </c>
      <c r="C11" s="69" t="s">
        <v>253</v>
      </c>
      <c r="D11" s="59">
        <v>3</v>
      </c>
      <c r="E11" s="59">
        <v>4</v>
      </c>
      <c r="F11" s="11">
        <f>VLOOKUP($E$5, $U$37:$W$40, V$11, FALSE)</f>
        <v>3</v>
      </c>
      <c r="G11" s="11">
        <f>VLOOKUP($E$5, $U$37:$W$40, W$11, FALSE)</f>
        <v>4</v>
      </c>
      <c r="H11" s="31">
        <f>'Walkability Calculations'!H46</f>
        <v>0</v>
      </c>
      <c r="I11" s="31">
        <f>'Walkability Calculations'!I46</f>
        <v>1</v>
      </c>
      <c r="J11" s="62">
        <f>'Walkability Calculations'!J46</f>
        <v>-1</v>
      </c>
      <c r="K11" s="63">
        <f>'Walkability Calculations'!K46</f>
        <v>0</v>
      </c>
      <c r="L11" s="64">
        <f>'Walkability Calculations'!L46</f>
        <v>1</v>
      </c>
      <c r="N11" s="59">
        <v>2</v>
      </c>
      <c r="O11" s="59">
        <v>4</v>
      </c>
      <c r="Q11" s="59">
        <v>3</v>
      </c>
      <c r="R11" s="59">
        <v>4</v>
      </c>
      <c r="V11" s="31">
        <v>2</v>
      </c>
      <c r="W11" s="31">
        <v>3</v>
      </c>
    </row>
    <row r="12" spans="2:27" ht="15.75" x14ac:dyDescent="0.25">
      <c r="B12" s="57">
        <f t="shared" si="0"/>
        <v>10</v>
      </c>
      <c r="C12" s="69" t="s">
        <v>161</v>
      </c>
      <c r="D12" s="59">
        <v>12</v>
      </c>
      <c r="E12" s="59">
        <v>10</v>
      </c>
      <c r="F12" s="11">
        <f>VLOOKUP($E$5, $U$44:$W$47, V$11, FALSE)</f>
        <v>11</v>
      </c>
      <c r="G12" s="11">
        <f>VLOOKUP($E$5, $U$44:$W$47, W$11, FALSE)</f>
        <v>10</v>
      </c>
      <c r="H12" s="31">
        <f>'Walkability Calculations'!H52</f>
        <v>-2</v>
      </c>
      <c r="I12" s="31">
        <f>'Walkability Calculations'!I52</f>
        <v>2</v>
      </c>
      <c r="J12" s="62">
        <f>'Walkability Calculations'!J52</f>
        <v>-2</v>
      </c>
      <c r="K12" s="63">
        <f>'Walkability Calculations'!K52</f>
        <v>0</v>
      </c>
      <c r="L12" s="64">
        <f>'Walkability Calculations'!L52</f>
        <v>2</v>
      </c>
      <c r="N12" s="59">
        <v>12</v>
      </c>
      <c r="O12" s="59">
        <v>10</v>
      </c>
      <c r="Q12" s="59">
        <v>12</v>
      </c>
      <c r="R12" s="59">
        <v>10</v>
      </c>
      <c r="U12" s="26" t="s">
        <v>158</v>
      </c>
      <c r="V12" s="11" t="s">
        <v>225</v>
      </c>
      <c r="W12" s="11" t="s">
        <v>226</v>
      </c>
    </row>
    <row r="13" spans="2:27" ht="15.75" x14ac:dyDescent="0.25">
      <c r="B13" s="57">
        <f t="shared" si="0"/>
        <v>11</v>
      </c>
      <c r="C13" s="69" t="s">
        <v>165</v>
      </c>
      <c r="D13" s="59">
        <v>2</v>
      </c>
      <c r="E13" s="59">
        <v>2</v>
      </c>
      <c r="F13" s="11">
        <f>VLOOKUP($E$5, $U$52:$W$57, V$11, FALSE)</f>
        <v>3</v>
      </c>
      <c r="G13" s="11">
        <f>VLOOKUP($E$5, $U$52:$W$57, W$11, FALSE)</f>
        <v>2</v>
      </c>
      <c r="H13" s="31">
        <f>'Walkability Calculations'!H58</f>
        <v>1</v>
      </c>
      <c r="I13" s="31">
        <f>'Walkability Calculations'!I58</f>
        <v>1</v>
      </c>
      <c r="J13" s="62">
        <f>'Walkability Calculations'!J58</f>
        <v>1</v>
      </c>
      <c r="K13" s="63">
        <f>'Walkability Calculations'!K58</f>
        <v>1</v>
      </c>
      <c r="L13" s="64">
        <f>'Walkability Calculations'!L58</f>
        <v>1</v>
      </c>
      <c r="N13" s="59">
        <v>2</v>
      </c>
      <c r="O13" s="59">
        <v>2</v>
      </c>
      <c r="Q13" s="59">
        <v>2</v>
      </c>
      <c r="R13" s="59">
        <v>2</v>
      </c>
      <c r="U13" t="s">
        <v>1</v>
      </c>
      <c r="V13" s="11">
        <v>3</v>
      </c>
      <c r="W13" s="11">
        <v>4</v>
      </c>
    </row>
    <row r="14" spans="2:27" ht="15.75" x14ac:dyDescent="0.25">
      <c r="B14" s="57">
        <f t="shared" si="0"/>
        <v>12</v>
      </c>
      <c r="C14" s="69" t="s">
        <v>284</v>
      </c>
      <c r="D14" s="59">
        <v>1</v>
      </c>
      <c r="E14" s="59">
        <v>3</v>
      </c>
      <c r="F14" s="11">
        <f>VLOOKUP($E$5, $U$60:$W$64, V$11, FALSE)</f>
        <v>2</v>
      </c>
      <c r="G14" s="11">
        <f>VLOOKUP($E$5, $U$60:$W$64, W$11, FALSE)</f>
        <v>3</v>
      </c>
      <c r="H14" s="31">
        <f>'Walkability Calculations'!H70</f>
        <v>-1</v>
      </c>
      <c r="I14" s="31">
        <f>'Walkability Calculations'!I70</f>
        <v>2</v>
      </c>
      <c r="J14" s="62">
        <f>'Walkability Calculations'!J70</f>
        <v>-1</v>
      </c>
      <c r="K14" s="63">
        <f>'Walkability Calculations'!K70</f>
        <v>0</v>
      </c>
      <c r="L14" s="64">
        <f>'Walkability Calculations'!L70</f>
        <v>2</v>
      </c>
      <c r="N14" s="59">
        <v>2</v>
      </c>
      <c r="O14" s="59">
        <v>3</v>
      </c>
      <c r="Q14" s="59">
        <v>1</v>
      </c>
      <c r="R14" s="59">
        <v>3</v>
      </c>
      <c r="U14" t="s">
        <v>2</v>
      </c>
      <c r="V14" s="11">
        <v>3</v>
      </c>
      <c r="W14" s="11">
        <v>4</v>
      </c>
    </row>
    <row r="15" spans="2:27" ht="15.75" x14ac:dyDescent="0.25">
      <c r="B15" s="57">
        <f t="shared" si="0"/>
        <v>13</v>
      </c>
      <c r="C15" s="69" t="s">
        <v>251</v>
      </c>
      <c r="D15" s="59">
        <v>1</v>
      </c>
      <c r="E15" s="59">
        <v>3</v>
      </c>
      <c r="F15" s="11">
        <f>VLOOKUP($E$5, $U$67:$W$70, V$11, FALSE)</f>
        <v>2</v>
      </c>
      <c r="G15" s="11">
        <f>VLOOKUP($E$5, $U$67:$W$70, W$11, FALSE)</f>
        <v>3</v>
      </c>
      <c r="H15" s="31">
        <f>'Walkability Calculations'!H83</f>
        <v>-2</v>
      </c>
      <c r="I15" s="31">
        <f>'Walkability Calculations'!I83</f>
        <v>2</v>
      </c>
      <c r="J15" s="62">
        <f>'Walkability Calculations'!J83</f>
        <v>0</v>
      </c>
      <c r="K15" s="63">
        <f>'Walkability Calculations'!K83</f>
        <v>0</v>
      </c>
      <c r="L15" s="64">
        <f>'Walkability Calculations'!L83</f>
        <v>2</v>
      </c>
      <c r="N15" s="59">
        <v>1</v>
      </c>
      <c r="O15" s="59">
        <v>4</v>
      </c>
      <c r="Q15" s="59">
        <v>1</v>
      </c>
      <c r="R15" s="59">
        <v>3</v>
      </c>
      <c r="U15" t="s">
        <v>149</v>
      </c>
      <c r="V15" s="11">
        <v>3</v>
      </c>
      <c r="W15" s="11">
        <v>4</v>
      </c>
    </row>
    <row r="16" spans="2:27" ht="15.75" x14ac:dyDescent="0.25">
      <c r="B16" s="57">
        <f t="shared" si="0"/>
        <v>14</v>
      </c>
      <c r="C16" s="69" t="s">
        <v>170</v>
      </c>
      <c r="D16" s="59" t="s">
        <v>7</v>
      </c>
      <c r="E16" s="59" t="s">
        <v>6</v>
      </c>
      <c r="F16" s="78" t="s">
        <v>7</v>
      </c>
      <c r="G16" s="78" t="s">
        <v>6</v>
      </c>
      <c r="H16" s="31">
        <f>'Walkability Calculations'!H87</f>
        <v>0</v>
      </c>
      <c r="I16" s="31">
        <f>'Walkability Calculations'!I87</f>
        <v>2</v>
      </c>
      <c r="J16" s="62">
        <f>'Walkability Calculations'!J87</f>
        <v>0</v>
      </c>
      <c r="K16" s="63">
        <f>'Walkability Calculations'!K87</f>
        <v>0</v>
      </c>
      <c r="L16" s="64">
        <f>'Walkability Calculations'!L87</f>
        <v>2</v>
      </c>
      <c r="N16" s="59" t="s">
        <v>6</v>
      </c>
      <c r="O16" s="59" t="s">
        <v>6</v>
      </c>
      <c r="Q16" s="59" t="s">
        <v>6</v>
      </c>
      <c r="R16" s="59" t="s">
        <v>6</v>
      </c>
    </row>
    <row r="17" spans="2:24" ht="16.5" thickBot="1" x14ac:dyDescent="0.3">
      <c r="B17" s="57">
        <f t="shared" si="0"/>
        <v>15</v>
      </c>
      <c r="C17" s="72" t="s">
        <v>134</v>
      </c>
      <c r="D17" s="32"/>
      <c r="E17" s="32"/>
      <c r="F17" s="32"/>
      <c r="G17" s="32"/>
      <c r="H17" s="33">
        <f>SUM(H8:H16)</f>
        <v>1</v>
      </c>
      <c r="I17" s="33">
        <f>SUM(I8:I16)</f>
        <v>20</v>
      </c>
      <c r="J17" s="34">
        <f>SUM(J8:J16)</f>
        <v>-11</v>
      </c>
      <c r="K17" s="35">
        <f>SUM(K8:K16)</f>
        <v>1</v>
      </c>
      <c r="L17" s="65">
        <f>SUM(L8:L16)</f>
        <v>18</v>
      </c>
      <c r="N17" s="32"/>
      <c r="O17" s="32"/>
      <c r="Q17" s="32"/>
      <c r="R17" s="32"/>
      <c r="U17" s="26" t="s">
        <v>282</v>
      </c>
      <c r="V17" s="11" t="s">
        <v>3</v>
      </c>
      <c r="W17" s="11" t="s">
        <v>4</v>
      </c>
    </row>
    <row r="18" spans="2:24" ht="15.75" thickTop="1" x14ac:dyDescent="0.25">
      <c r="B18" s="57">
        <f t="shared" si="0"/>
        <v>16</v>
      </c>
      <c r="L18" s="58"/>
      <c r="U18" t="s">
        <v>0</v>
      </c>
      <c r="V18" s="11">
        <v>4</v>
      </c>
      <c r="W18" s="11">
        <v>6</v>
      </c>
    </row>
    <row r="19" spans="2:24" ht="15.75" x14ac:dyDescent="0.25">
      <c r="B19" s="57">
        <f t="shared" si="0"/>
        <v>17</v>
      </c>
      <c r="C19" s="19" t="s">
        <v>126</v>
      </c>
      <c r="D19" s="60" t="str">
        <f>$D$7</f>
        <v>Before</v>
      </c>
      <c r="E19" s="60" t="str">
        <f>$E$7</f>
        <v>After</v>
      </c>
      <c r="F19" s="60" t="s">
        <v>162</v>
      </c>
      <c r="G19" s="60" t="s">
        <v>150</v>
      </c>
      <c r="H19" s="60" t="str">
        <f>$D$7</f>
        <v>Before</v>
      </c>
      <c r="I19" s="60" t="str">
        <f>$E$7</f>
        <v>After</v>
      </c>
      <c r="J19" s="60" t="s">
        <v>204</v>
      </c>
      <c r="K19" s="60" t="s">
        <v>206</v>
      </c>
      <c r="L19" s="61" t="s">
        <v>205</v>
      </c>
      <c r="N19" s="60" t="str">
        <f>$N$7</f>
        <v>Before</v>
      </c>
      <c r="O19" s="60" t="str">
        <f>$O$7</f>
        <v>After</v>
      </c>
      <c r="Q19" s="60" t="str">
        <f>$Q$7</f>
        <v>Before</v>
      </c>
      <c r="R19" s="60" t="str">
        <f>$R$7</f>
        <v>After</v>
      </c>
      <c r="U19" t="s">
        <v>1</v>
      </c>
      <c r="V19" s="11">
        <v>5</v>
      </c>
      <c r="W19" s="11">
        <v>6</v>
      </c>
    </row>
    <row r="20" spans="2:24" ht="15.75" x14ac:dyDescent="0.25">
      <c r="B20" s="57">
        <f t="shared" si="0"/>
        <v>18</v>
      </c>
      <c r="C20" s="69" t="s">
        <v>227</v>
      </c>
      <c r="D20" s="59">
        <v>4</v>
      </c>
      <c r="E20" s="59">
        <v>4</v>
      </c>
      <c r="F20" s="11">
        <f>VLOOKUP($E$5, $U$13:$W$15, V$11, FALSE)</f>
        <v>3</v>
      </c>
      <c r="G20" s="11">
        <f>VLOOKUP($E$5, $U$13:$W$15, W$11, FALSE)</f>
        <v>4</v>
      </c>
      <c r="H20" s="31">
        <f>'Walkability Calculations'!H104</f>
        <v>3</v>
      </c>
      <c r="I20" s="31">
        <f>'Walkability Calculations'!I104</f>
        <v>3</v>
      </c>
      <c r="J20" s="62">
        <f>'Walkability Calculations'!J104</f>
        <v>-6</v>
      </c>
      <c r="K20" s="63">
        <f>'Walkability Calculations'!K104</f>
        <v>0</v>
      </c>
      <c r="L20" s="64">
        <f>'Walkability Calculations'!L104</f>
        <v>3</v>
      </c>
      <c r="N20" s="59">
        <v>2</v>
      </c>
      <c r="O20" s="59">
        <v>3</v>
      </c>
      <c r="Q20" s="59">
        <v>4</v>
      </c>
      <c r="R20" s="59">
        <v>4</v>
      </c>
      <c r="U20" t="s">
        <v>2</v>
      </c>
      <c r="V20" s="11">
        <v>6</v>
      </c>
      <c r="W20" s="11">
        <v>8</v>
      </c>
    </row>
    <row r="21" spans="2:24" ht="15.75" x14ac:dyDescent="0.25">
      <c r="B21" s="57">
        <f t="shared" si="0"/>
        <v>19</v>
      </c>
      <c r="C21" s="69" t="s">
        <v>174</v>
      </c>
      <c r="D21" s="59">
        <v>3</v>
      </c>
      <c r="E21" s="59">
        <v>3</v>
      </c>
      <c r="F21" s="11">
        <f>VLOOKUP($E$5, $U$73:$W$76, V$11, FALSE)</f>
        <v>3</v>
      </c>
      <c r="G21" s="11">
        <f>VLOOKUP($E$5, $U$73:$W$76, W$11, FALSE)</f>
        <v>3</v>
      </c>
      <c r="H21" s="31">
        <f>'Walkability Calculations'!H116</f>
        <v>0</v>
      </c>
      <c r="I21" s="31">
        <f>'Walkability Calculations'!I116</f>
        <v>0</v>
      </c>
      <c r="J21" s="62">
        <f>'Walkability Calculations'!J116</f>
        <v>-2</v>
      </c>
      <c r="K21" s="63">
        <f>'Walkability Calculations'!K116</f>
        <v>-1</v>
      </c>
      <c r="L21" s="64">
        <f>'Walkability Calculations'!L116</f>
        <v>0</v>
      </c>
      <c r="N21" s="59">
        <v>1</v>
      </c>
      <c r="O21" s="59">
        <v>2</v>
      </c>
      <c r="Q21" s="59">
        <v>3</v>
      </c>
      <c r="R21" s="59">
        <v>3</v>
      </c>
      <c r="U21" t="s">
        <v>149</v>
      </c>
      <c r="V21" s="11">
        <v>8</v>
      </c>
      <c r="W21" s="11">
        <v>10</v>
      </c>
    </row>
    <row r="22" spans="2:24" ht="15.75" x14ac:dyDescent="0.25">
      <c r="B22" s="57">
        <f t="shared" si="0"/>
        <v>20</v>
      </c>
      <c r="C22" s="69" t="s">
        <v>175</v>
      </c>
      <c r="D22" s="59">
        <v>700</v>
      </c>
      <c r="E22" s="59">
        <v>350</v>
      </c>
      <c r="F22" s="11">
        <f>VLOOKUP($E$5, $U$79:$W$82, V$11, FALSE)</f>
        <v>660</v>
      </c>
      <c r="G22" s="11">
        <f>VLOOKUP($E$5, $U$79:$W$82, W$11, FALSE)</f>
        <v>500</v>
      </c>
      <c r="H22" s="31">
        <f>'Walkability Calculations'!H121</f>
        <v>1</v>
      </c>
      <c r="I22" s="31">
        <f>'Walkability Calculations'!I121</f>
        <v>2</v>
      </c>
      <c r="J22" s="62">
        <f>'Walkability Calculations'!J121</f>
        <v>0</v>
      </c>
      <c r="K22" s="63">
        <f>'Walkability Calculations'!K121</f>
        <v>1</v>
      </c>
      <c r="L22" s="64">
        <f>'Walkability Calculations'!L121</f>
        <v>2</v>
      </c>
      <c r="N22" s="59">
        <v>1000</v>
      </c>
      <c r="O22" s="59">
        <v>600</v>
      </c>
      <c r="Q22" s="59">
        <v>700</v>
      </c>
      <c r="R22" s="59">
        <v>350</v>
      </c>
    </row>
    <row r="23" spans="2:24" ht="15.75" x14ac:dyDescent="0.25">
      <c r="B23" s="57">
        <f t="shared" si="0"/>
        <v>21</v>
      </c>
      <c r="C23" s="69" t="s">
        <v>295</v>
      </c>
      <c r="D23" s="59" t="s">
        <v>6</v>
      </c>
      <c r="E23" s="59" t="s">
        <v>6</v>
      </c>
      <c r="F23" s="78" t="s">
        <v>7</v>
      </c>
      <c r="G23" s="78" t="s">
        <v>6</v>
      </c>
      <c r="H23" s="31">
        <f>'Walkability Calculations'!H126</f>
        <v>2</v>
      </c>
      <c r="I23" s="31">
        <f>'Walkability Calculations'!I126</f>
        <v>2</v>
      </c>
      <c r="J23" s="62">
        <f>'Walkability Calculations'!J126</f>
        <v>0</v>
      </c>
      <c r="K23" s="63">
        <f>'Walkability Calculations'!K126</f>
        <v>0</v>
      </c>
      <c r="L23" s="64">
        <f>'Walkability Calculations'!L126</f>
        <v>2</v>
      </c>
      <c r="N23" s="59" t="s">
        <v>6</v>
      </c>
      <c r="O23" s="59" t="s">
        <v>6</v>
      </c>
      <c r="Q23" s="59" t="s">
        <v>6</v>
      </c>
      <c r="R23" s="59" t="s">
        <v>6</v>
      </c>
      <c r="U23" s="26" t="s">
        <v>282</v>
      </c>
      <c r="V23" s="11" t="s">
        <v>151</v>
      </c>
      <c r="W23" s="11" t="s">
        <v>152</v>
      </c>
    </row>
    <row r="24" spans="2:24" ht="15.75" x14ac:dyDescent="0.25">
      <c r="B24" s="57">
        <f t="shared" si="0"/>
        <v>22</v>
      </c>
      <c r="C24" s="69" t="s">
        <v>287</v>
      </c>
      <c r="D24" s="59">
        <v>5</v>
      </c>
      <c r="E24" s="59"/>
      <c r="H24" s="31">
        <f>IF($D$6=2, 'Walkability Calculations'!H152, 0)</f>
        <v>-1.5</v>
      </c>
      <c r="I24" s="31">
        <f>IF($E$6=2, 'Walkability Calculations'!I152, 0)</f>
        <v>0</v>
      </c>
      <c r="J24" s="62">
        <f>IF($D$6=2, 'Walkability Calculations'!J152, 0)</f>
        <v>-3</v>
      </c>
      <c r="K24" s="63">
        <f>IF($D$6=2, 'Walkability Calculations'!K152, 0)</f>
        <v>-1.5</v>
      </c>
      <c r="L24" s="64">
        <f>IF($D$6=2, 'Walkability Calculations'!L152, 0)</f>
        <v>3</v>
      </c>
      <c r="N24" s="59">
        <v>5</v>
      </c>
      <c r="O24" s="59">
        <v>3</v>
      </c>
      <c r="Q24" s="59">
        <v>5</v>
      </c>
      <c r="R24" s="59"/>
      <c r="U24" t="s">
        <v>0</v>
      </c>
      <c r="V24" s="11">
        <v>2</v>
      </c>
      <c r="W24" s="11">
        <v>4</v>
      </c>
    </row>
    <row r="25" spans="2:24" ht="15.75" x14ac:dyDescent="0.25">
      <c r="B25" s="57">
        <f t="shared" si="0"/>
        <v>23</v>
      </c>
      <c r="C25" s="69" t="s">
        <v>288</v>
      </c>
      <c r="D25" s="59"/>
      <c r="E25" s="59">
        <v>2</v>
      </c>
      <c r="H25" s="31">
        <f>IF($D$6=1, 'Walkability Calculations'!H152, 0)</f>
        <v>0</v>
      </c>
      <c r="I25" s="31">
        <f>IF($E$6=1, 'Walkability Calculations'!I152, 0)</f>
        <v>1</v>
      </c>
      <c r="J25" s="62">
        <f>IF($D$6=1, 'Walkability Calculations'!J152, 0)</f>
        <v>0</v>
      </c>
      <c r="K25" s="63">
        <f>IF($D$6=1, 'Walkability Calculations'!K152, 0)</f>
        <v>0</v>
      </c>
      <c r="L25" s="64">
        <f>IF($D$6=1, 'Walkability Calculations'!L152, 0)</f>
        <v>0</v>
      </c>
      <c r="N25" s="59">
        <v>8</v>
      </c>
      <c r="O25" s="59">
        <v>1</v>
      </c>
      <c r="Q25" s="59"/>
      <c r="R25" s="59">
        <v>2</v>
      </c>
      <c r="T25" s="4"/>
      <c r="U25" t="s">
        <v>0</v>
      </c>
      <c r="V25" s="11">
        <v>3</v>
      </c>
      <c r="W25" s="11">
        <v>4</v>
      </c>
      <c r="X25" s="11"/>
    </row>
    <row r="26" spans="2:24" ht="16.5" thickBot="1" x14ac:dyDescent="0.3">
      <c r="B26" s="57">
        <f>B25+1</f>
        <v>24</v>
      </c>
      <c r="C26" s="72" t="s">
        <v>135</v>
      </c>
      <c r="D26" s="32"/>
      <c r="E26" s="32"/>
      <c r="F26" s="32"/>
      <c r="G26" s="32"/>
      <c r="H26" s="33">
        <f>SUM(H20:H25)</f>
        <v>4.5</v>
      </c>
      <c r="I26" s="33">
        <f>SUM(I20:I25)</f>
        <v>8</v>
      </c>
      <c r="J26" s="34">
        <f>SUM(J20:J25)</f>
        <v>-11</v>
      </c>
      <c r="K26" s="35">
        <f>SUM(K20:K25)</f>
        <v>-1.5</v>
      </c>
      <c r="L26" s="65">
        <f>SUM(L20:L25)</f>
        <v>10</v>
      </c>
      <c r="N26" s="32"/>
      <c r="O26" s="32"/>
      <c r="Q26" s="32"/>
      <c r="R26" s="32"/>
      <c r="T26" s="4"/>
      <c r="U26" t="s">
        <v>1</v>
      </c>
      <c r="V26" s="11">
        <v>4</v>
      </c>
      <c r="W26" s="11">
        <v>8</v>
      </c>
      <c r="X26" s="11"/>
    </row>
    <row r="27" spans="2:24" ht="15.75" thickTop="1" x14ac:dyDescent="0.25">
      <c r="B27" s="57">
        <f t="shared" si="0"/>
        <v>25</v>
      </c>
      <c r="L27" s="58"/>
      <c r="T27" s="4"/>
      <c r="U27" t="s">
        <v>2</v>
      </c>
      <c r="V27" s="11">
        <v>6</v>
      </c>
      <c r="W27" s="11">
        <v>10</v>
      </c>
      <c r="X27" s="11"/>
    </row>
    <row r="28" spans="2:24" ht="15.75" x14ac:dyDescent="0.25">
      <c r="B28" s="57">
        <f t="shared" si="0"/>
        <v>26</v>
      </c>
      <c r="C28" s="19" t="s">
        <v>127</v>
      </c>
      <c r="D28" s="60" t="str">
        <f>$D$7</f>
        <v>Before</v>
      </c>
      <c r="E28" s="60" t="str">
        <f>$E$7</f>
        <v>After</v>
      </c>
      <c r="F28" s="60" t="s">
        <v>162</v>
      </c>
      <c r="G28" s="60" t="s">
        <v>150</v>
      </c>
      <c r="H28" s="60" t="str">
        <f>$D$7</f>
        <v>Before</v>
      </c>
      <c r="I28" s="60" t="str">
        <f>$E$7</f>
        <v>After</v>
      </c>
      <c r="J28" s="60" t="s">
        <v>204</v>
      </c>
      <c r="K28" s="60" t="s">
        <v>206</v>
      </c>
      <c r="L28" s="61" t="s">
        <v>205</v>
      </c>
      <c r="N28" s="60" t="str">
        <f>$N$7</f>
        <v>Before</v>
      </c>
      <c r="O28" s="60" t="str">
        <f>$O$7</f>
        <v>After</v>
      </c>
      <c r="Q28" s="60" t="str">
        <f>$Q$7</f>
        <v>Before</v>
      </c>
      <c r="R28" s="60" t="str">
        <f>$R$7</f>
        <v>After</v>
      </c>
      <c r="U28" t="s">
        <v>149</v>
      </c>
      <c r="V28" s="11">
        <v>8</v>
      </c>
      <c r="W28" s="11">
        <v>12</v>
      </c>
    </row>
    <row r="29" spans="2:24" ht="15.75" x14ac:dyDescent="0.25">
      <c r="B29" s="57">
        <f t="shared" si="0"/>
        <v>27</v>
      </c>
      <c r="C29" s="69" t="s">
        <v>289</v>
      </c>
      <c r="D29" s="59">
        <v>40</v>
      </c>
      <c r="E29" s="59">
        <v>35</v>
      </c>
      <c r="F29" s="11">
        <f>VLOOKUP($E$5, $U$85:$W$88, V$11, FALSE)</f>
        <v>35</v>
      </c>
      <c r="G29" s="11">
        <f>VLOOKUP($E$5, $U$85:$W$88, W$11, FALSE)</f>
        <v>30</v>
      </c>
      <c r="H29" s="31">
        <f>'Walkability Calculations'!H159</f>
        <v>-5</v>
      </c>
      <c r="I29" s="31">
        <f>'Walkability Calculations'!I159</f>
        <v>-2.5</v>
      </c>
      <c r="J29" s="62">
        <f>'Walkability Calculations'!J159</f>
        <v>-7.5</v>
      </c>
      <c r="K29" s="63">
        <f>'Walkability Calculations'!K159</f>
        <v>-2.5</v>
      </c>
      <c r="L29" s="64">
        <f>'Walkability Calculations'!L159</f>
        <v>0</v>
      </c>
      <c r="N29" s="59">
        <v>40</v>
      </c>
      <c r="O29" s="59">
        <v>35</v>
      </c>
      <c r="Q29" s="59">
        <v>40</v>
      </c>
      <c r="R29" s="59">
        <v>35</v>
      </c>
    </row>
    <row r="30" spans="2:24" ht="15.75" x14ac:dyDescent="0.25">
      <c r="B30" s="57">
        <f t="shared" si="0"/>
        <v>28</v>
      </c>
      <c r="C30" s="69" t="s">
        <v>181</v>
      </c>
      <c r="D30" s="59">
        <v>30</v>
      </c>
      <c r="E30" s="59">
        <v>30</v>
      </c>
      <c r="F30" s="11">
        <v>30</v>
      </c>
      <c r="G30" s="11">
        <v>15</v>
      </c>
      <c r="H30" s="31">
        <f>'Walkability Calculations'!H167</f>
        <v>2</v>
      </c>
      <c r="I30" s="31">
        <f>'Walkability Calculations'!I167</f>
        <v>2</v>
      </c>
      <c r="J30" s="62">
        <f>'Walkability Calculations'!J167</f>
        <v>1</v>
      </c>
      <c r="K30" s="63">
        <f>'Walkability Calculations'!K167</f>
        <v>2</v>
      </c>
      <c r="L30" s="64">
        <f>'Walkability Calculations'!L167</f>
        <v>3</v>
      </c>
      <c r="N30" s="59">
        <v>30</v>
      </c>
      <c r="O30" s="59">
        <v>30</v>
      </c>
      <c r="Q30" s="59">
        <v>30</v>
      </c>
      <c r="R30" s="59">
        <v>30</v>
      </c>
      <c r="U30" s="26" t="s">
        <v>157</v>
      </c>
      <c r="V30" s="11" t="s">
        <v>153</v>
      </c>
      <c r="W30" s="11" t="s">
        <v>154</v>
      </c>
    </row>
    <row r="31" spans="2:24" ht="15.75" x14ac:dyDescent="0.25">
      <c r="B31" s="57">
        <f t="shared" si="0"/>
        <v>29</v>
      </c>
      <c r="C31" s="69" t="s">
        <v>213</v>
      </c>
      <c r="D31" s="59" t="s">
        <v>7</v>
      </c>
      <c r="E31" s="59" t="s">
        <v>7</v>
      </c>
      <c r="F31" s="78" t="s">
        <v>7</v>
      </c>
      <c r="G31" s="78" t="s">
        <v>6</v>
      </c>
      <c r="H31" s="31">
        <f>'Walkability Calculations'!H171</f>
        <v>0</v>
      </c>
      <c r="I31" s="31">
        <f>'Walkability Calculations'!I171</f>
        <v>0</v>
      </c>
      <c r="J31" s="62">
        <f>'Walkability Calculations'!J171</f>
        <v>2</v>
      </c>
      <c r="K31" s="63">
        <f>'Walkability Calculations'!K171</f>
        <v>2</v>
      </c>
      <c r="L31" s="64">
        <f>'Walkability Calculations'!L171</f>
        <v>0</v>
      </c>
      <c r="N31" s="59" t="s">
        <v>7</v>
      </c>
      <c r="O31" s="59" t="s">
        <v>7</v>
      </c>
      <c r="Q31" s="59" t="s">
        <v>7</v>
      </c>
      <c r="R31" s="59" t="s">
        <v>7</v>
      </c>
      <c r="U31" t="s">
        <v>0</v>
      </c>
      <c r="V31" s="11">
        <v>2</v>
      </c>
      <c r="W31" s="11">
        <v>3</v>
      </c>
    </row>
    <row r="32" spans="2:24" ht="15.75" x14ac:dyDescent="0.25">
      <c r="B32" s="57">
        <f t="shared" si="0"/>
        <v>30</v>
      </c>
      <c r="C32" s="69" t="s">
        <v>182</v>
      </c>
      <c r="D32" s="59" t="s">
        <v>7</v>
      </c>
      <c r="E32" s="59" t="s">
        <v>7</v>
      </c>
      <c r="F32" s="78" t="s">
        <v>7</v>
      </c>
      <c r="G32" s="78" t="s">
        <v>6</v>
      </c>
      <c r="H32" s="31">
        <f>'Walkability Calculations'!H175</f>
        <v>0</v>
      </c>
      <c r="I32" s="31">
        <f>'Walkability Calculations'!I175</f>
        <v>0</v>
      </c>
      <c r="J32" s="62">
        <f>'Walkability Calculations'!J175</f>
        <v>0</v>
      </c>
      <c r="K32" s="63">
        <f>'Walkability Calculations'!K175</f>
        <v>0</v>
      </c>
      <c r="L32" s="64">
        <f>'Walkability Calculations'!L175</f>
        <v>2</v>
      </c>
      <c r="N32" s="59" t="s">
        <v>7</v>
      </c>
      <c r="O32" s="59" t="s">
        <v>7</v>
      </c>
      <c r="Q32" s="59" t="s">
        <v>7</v>
      </c>
      <c r="R32" s="59" t="s">
        <v>7</v>
      </c>
      <c r="U32" t="s">
        <v>1</v>
      </c>
      <c r="V32" s="11">
        <v>3</v>
      </c>
      <c r="W32" s="11">
        <v>4</v>
      </c>
    </row>
    <row r="33" spans="2:23" ht="16.5" thickBot="1" x14ac:dyDescent="0.3">
      <c r="B33" s="57">
        <f t="shared" si="0"/>
        <v>31</v>
      </c>
      <c r="C33" s="72" t="s">
        <v>137</v>
      </c>
      <c r="D33" s="32"/>
      <c r="E33" s="32"/>
      <c r="F33" s="32"/>
      <c r="G33" s="32"/>
      <c r="H33" s="33">
        <f>SUM(H29:H32)</f>
        <v>-3</v>
      </c>
      <c r="I33" s="33">
        <f>SUM(I29:I32)</f>
        <v>-0.5</v>
      </c>
      <c r="J33" s="34">
        <f t="shared" ref="J33:L33" si="1">SUM(J29:J32)</f>
        <v>-4.5</v>
      </c>
      <c r="K33" s="35">
        <f t="shared" si="1"/>
        <v>1.5</v>
      </c>
      <c r="L33" s="65">
        <f t="shared" si="1"/>
        <v>5</v>
      </c>
      <c r="N33" s="32"/>
      <c r="O33" s="32"/>
      <c r="Q33" s="32"/>
      <c r="R33" s="32"/>
      <c r="U33" t="s">
        <v>2</v>
      </c>
      <c r="V33" s="11">
        <v>3</v>
      </c>
      <c r="W33" s="11">
        <v>4</v>
      </c>
    </row>
    <row r="34" spans="2:23" ht="15.75" thickTop="1" x14ac:dyDescent="0.25">
      <c r="B34" s="57">
        <f t="shared" si="0"/>
        <v>32</v>
      </c>
      <c r="L34" s="58"/>
      <c r="T34" s="11"/>
      <c r="U34" t="s">
        <v>149</v>
      </c>
      <c r="V34" s="11">
        <v>3</v>
      </c>
      <c r="W34" s="11">
        <v>4</v>
      </c>
    </row>
    <row r="35" spans="2:23" ht="15.75" x14ac:dyDescent="0.25">
      <c r="B35" s="57">
        <f t="shared" si="0"/>
        <v>33</v>
      </c>
      <c r="C35" s="19" t="s">
        <v>292</v>
      </c>
      <c r="D35" s="60" t="str">
        <f>$D$7</f>
        <v>Before</v>
      </c>
      <c r="E35" s="60" t="str">
        <f>$E$7</f>
        <v>After</v>
      </c>
      <c r="F35" s="60" t="s">
        <v>199</v>
      </c>
      <c r="G35" s="60" t="s">
        <v>150</v>
      </c>
      <c r="H35" s="60" t="str">
        <f>$D$7</f>
        <v>Before</v>
      </c>
      <c r="I35" s="60" t="str">
        <f>$E$7</f>
        <v>After</v>
      </c>
      <c r="J35" s="60" t="s">
        <v>204</v>
      </c>
      <c r="K35" s="60" t="s">
        <v>206</v>
      </c>
      <c r="L35" s="61" t="s">
        <v>205</v>
      </c>
      <c r="N35" s="60" t="str">
        <f>$N$7</f>
        <v>Before</v>
      </c>
      <c r="O35" s="60" t="str">
        <f>$O$7</f>
        <v>After</v>
      </c>
      <c r="Q35" s="60" t="str">
        <f>$Q$7</f>
        <v>Before</v>
      </c>
      <c r="R35" s="60" t="str">
        <f>$R$7</f>
        <v>After</v>
      </c>
      <c r="T35" s="11"/>
    </row>
    <row r="36" spans="2:23" ht="15.75" x14ac:dyDescent="0.25">
      <c r="B36" s="57">
        <f t="shared" si="0"/>
        <v>34</v>
      </c>
      <c r="C36" s="69" t="s">
        <v>214</v>
      </c>
      <c r="D36" s="59">
        <v>2</v>
      </c>
      <c r="E36" s="59">
        <v>2</v>
      </c>
      <c r="F36" s="11">
        <f>VLOOKUP($E$5, $U$91:$W$94, V$11, FALSE)</f>
        <v>1</v>
      </c>
      <c r="G36" s="11">
        <f>VLOOKUP($E$5, $U$91:$W$94, W$11, FALSE)</f>
        <v>2</v>
      </c>
      <c r="H36" s="31">
        <f>'Walkability Calculations'!H192</f>
        <v>0</v>
      </c>
      <c r="I36" s="31">
        <f>'Walkability Calculations'!I192</f>
        <v>0</v>
      </c>
      <c r="J36" s="62">
        <f>'Walkability Calculations'!J192</f>
        <v>-2</v>
      </c>
      <c r="K36" s="63">
        <f>'Walkability Calculations'!K192</f>
        <v>0</v>
      </c>
      <c r="L36" s="64">
        <f>'Walkability Calculations'!L192</f>
        <v>2</v>
      </c>
      <c r="N36" s="59">
        <v>1</v>
      </c>
      <c r="O36" s="59">
        <v>2</v>
      </c>
      <c r="Q36" s="59">
        <v>2</v>
      </c>
      <c r="R36" s="59">
        <v>2</v>
      </c>
      <c r="T36" s="11"/>
      <c r="U36" s="26" t="s">
        <v>158</v>
      </c>
      <c r="V36" s="11" t="s">
        <v>155</v>
      </c>
      <c r="W36" s="11" t="s">
        <v>156</v>
      </c>
    </row>
    <row r="37" spans="2:23" ht="15.75" x14ac:dyDescent="0.25">
      <c r="B37" s="57">
        <f t="shared" si="0"/>
        <v>35</v>
      </c>
      <c r="C37" s="69" t="s">
        <v>198</v>
      </c>
      <c r="D37" s="59">
        <v>5</v>
      </c>
      <c r="E37" s="59">
        <v>5</v>
      </c>
      <c r="F37" s="11">
        <f>VLOOKUP($E$5, $U$97:$W$100, V$11, FALSE)</f>
        <v>2</v>
      </c>
      <c r="G37" s="11">
        <f>VLOOKUP($E$5, $U$97:$W$100, W$11, FALSE)</f>
        <v>5</v>
      </c>
      <c r="H37" s="31">
        <f>'Walkability Calculations'!H206</f>
        <v>4.5</v>
      </c>
      <c r="I37" s="31">
        <f>'Walkability Calculations'!I206</f>
        <v>4.5</v>
      </c>
      <c r="J37" s="62">
        <f>'Walkability Calculations'!J206</f>
        <v>-1.5</v>
      </c>
      <c r="K37" s="63">
        <f>'Walkability Calculations'!K206</f>
        <v>1.5</v>
      </c>
      <c r="L37" s="64">
        <f>'Walkability Calculations'!L206</f>
        <v>4.5</v>
      </c>
      <c r="N37" s="59">
        <v>4</v>
      </c>
      <c r="O37" s="59">
        <v>4</v>
      </c>
      <c r="Q37" s="59">
        <v>5</v>
      </c>
      <c r="R37" s="59">
        <v>5</v>
      </c>
      <c r="T37" s="11"/>
      <c r="U37" t="s">
        <v>0</v>
      </c>
      <c r="V37" s="11">
        <v>1</v>
      </c>
      <c r="W37" s="11">
        <v>2</v>
      </c>
    </row>
    <row r="38" spans="2:23" ht="15.75" x14ac:dyDescent="0.25">
      <c r="B38" s="57">
        <f t="shared" si="0"/>
        <v>36</v>
      </c>
      <c r="C38" s="69" t="s">
        <v>260</v>
      </c>
      <c r="D38" s="59">
        <v>3</v>
      </c>
      <c r="E38" s="59">
        <v>4</v>
      </c>
      <c r="F38" s="11">
        <f>VLOOKUP($E$5, $U$103:$W$106, V$11, FALSE)</f>
        <v>3</v>
      </c>
      <c r="G38" s="11">
        <f>VLOOKUP($E$5, $U$103:$W$106, W$11, FALSE)</f>
        <v>4</v>
      </c>
      <c r="H38" s="31">
        <f>'Walkability Calculations'!H213</f>
        <v>4</v>
      </c>
      <c r="I38" s="31">
        <f>'Walkability Calculations'!I213</f>
        <v>5</v>
      </c>
      <c r="J38" s="62">
        <f>'Walkability Calculations'!J213</f>
        <v>-5</v>
      </c>
      <c r="K38" s="63">
        <f>'Walkability Calculations'!K213</f>
        <v>0</v>
      </c>
      <c r="L38" s="64">
        <f>'Walkability Calculations'!L213</f>
        <v>5</v>
      </c>
      <c r="N38" s="59">
        <v>4</v>
      </c>
      <c r="O38" s="59">
        <v>4</v>
      </c>
      <c r="Q38" s="59">
        <v>3</v>
      </c>
      <c r="R38" s="59">
        <v>4</v>
      </c>
      <c r="T38" s="11"/>
      <c r="U38" t="s">
        <v>1</v>
      </c>
      <c r="V38" s="11">
        <v>2</v>
      </c>
      <c r="W38" s="11">
        <v>3</v>
      </c>
    </row>
    <row r="39" spans="2:23" ht="15.75" x14ac:dyDescent="0.25">
      <c r="B39" s="57">
        <f t="shared" si="0"/>
        <v>37</v>
      </c>
      <c r="C39" s="69" t="s">
        <v>143</v>
      </c>
      <c r="D39" s="59" t="s">
        <v>6</v>
      </c>
      <c r="E39" s="59" t="s">
        <v>6</v>
      </c>
      <c r="H39" s="31">
        <f>'Walkability Calculations'!H217</f>
        <v>2</v>
      </c>
      <c r="I39" s="31">
        <f>'Walkability Calculations'!I217</f>
        <v>2</v>
      </c>
      <c r="J39" s="62">
        <f>'Walkability Calculations'!J217</f>
        <v>-2</v>
      </c>
      <c r="K39" s="63">
        <f>'Walkability Calculations'!K217</f>
        <v>0</v>
      </c>
      <c r="L39" s="64">
        <f>'Walkability Calculations'!L217</f>
        <v>2</v>
      </c>
      <c r="N39" s="59" t="s">
        <v>6</v>
      </c>
      <c r="O39" s="59" t="s">
        <v>6</v>
      </c>
      <c r="Q39" s="59" t="s">
        <v>6</v>
      </c>
      <c r="R39" s="59" t="s">
        <v>6</v>
      </c>
      <c r="U39" t="s">
        <v>2</v>
      </c>
      <c r="V39" s="11">
        <v>3</v>
      </c>
      <c r="W39" s="11">
        <v>4</v>
      </c>
    </row>
    <row r="40" spans="2:23" ht="15.75" x14ac:dyDescent="0.25">
      <c r="B40" s="57">
        <f t="shared" si="0"/>
        <v>38</v>
      </c>
      <c r="C40" s="69" t="s">
        <v>146</v>
      </c>
      <c r="D40" s="59" t="s">
        <v>6</v>
      </c>
      <c r="E40" s="59" t="s">
        <v>6</v>
      </c>
      <c r="H40" s="31">
        <f>'Walkability Calculations'!H221</f>
        <v>2</v>
      </c>
      <c r="I40" s="31">
        <f>'Walkability Calculations'!I221</f>
        <v>2</v>
      </c>
      <c r="J40" s="62">
        <f>'Walkability Calculations'!J221</f>
        <v>-2</v>
      </c>
      <c r="K40" s="63">
        <f>'Walkability Calculations'!K221</f>
        <v>0</v>
      </c>
      <c r="L40" s="64">
        <f>'Walkability Calculations'!L221</f>
        <v>2</v>
      </c>
      <c r="N40" s="59" t="s">
        <v>6</v>
      </c>
      <c r="O40" s="59" t="s">
        <v>6</v>
      </c>
      <c r="Q40" s="59" t="s">
        <v>6</v>
      </c>
      <c r="R40" s="59" t="s">
        <v>6</v>
      </c>
      <c r="U40" t="s">
        <v>149</v>
      </c>
      <c r="V40" s="11">
        <v>4</v>
      </c>
      <c r="W40" s="11">
        <v>4</v>
      </c>
    </row>
    <row r="41" spans="2:23" ht="16.5" thickBot="1" x14ac:dyDescent="0.3">
      <c r="B41" s="57">
        <f t="shared" si="0"/>
        <v>39</v>
      </c>
      <c r="C41" s="72" t="s">
        <v>138</v>
      </c>
      <c r="D41" s="32"/>
      <c r="E41" s="32"/>
      <c r="F41" s="32"/>
      <c r="G41" s="32"/>
      <c r="H41" s="33">
        <f>SUM(H36:H40)</f>
        <v>12.5</v>
      </c>
      <c r="I41" s="33">
        <f>SUM(I36:I40)</f>
        <v>13.5</v>
      </c>
      <c r="J41" s="34">
        <f>SUM(J36:J40)</f>
        <v>-12.5</v>
      </c>
      <c r="K41" s="35">
        <f>SUM(K36:K40)</f>
        <v>1.5</v>
      </c>
      <c r="L41" s="65">
        <f>SUM(L36:L40)</f>
        <v>15.5</v>
      </c>
      <c r="N41" s="32"/>
      <c r="O41" s="32"/>
      <c r="Q41" s="32"/>
      <c r="R41" s="32"/>
    </row>
    <row r="42" spans="2:23" ht="15.75" thickTop="1" x14ac:dyDescent="0.25">
      <c r="B42" s="57">
        <f t="shared" si="0"/>
        <v>40</v>
      </c>
      <c r="L42" s="58"/>
      <c r="T42" s="11"/>
    </row>
    <row r="43" spans="2:23" ht="16.5" thickBot="1" x14ac:dyDescent="0.3">
      <c r="B43" s="57">
        <f t="shared" si="0"/>
        <v>41</v>
      </c>
      <c r="C43" s="70" t="s">
        <v>229</v>
      </c>
      <c r="H43" s="60" t="str">
        <f>$D$7</f>
        <v>Before</v>
      </c>
      <c r="I43" s="60" t="str">
        <f>$E$7</f>
        <v>After</v>
      </c>
      <c r="J43" s="60" t="s">
        <v>204</v>
      </c>
      <c r="K43" s="60" t="s">
        <v>206</v>
      </c>
      <c r="L43" s="61" t="s">
        <v>205</v>
      </c>
      <c r="T43" s="11"/>
      <c r="U43" s="26" t="s">
        <v>282</v>
      </c>
      <c r="V43" s="11" t="s">
        <v>159</v>
      </c>
      <c r="W43" s="11" t="s">
        <v>160</v>
      </c>
    </row>
    <row r="44" spans="2:23" ht="16.5" thickBot="1" x14ac:dyDescent="0.3">
      <c r="B44" s="57">
        <f t="shared" si="0"/>
        <v>42</v>
      </c>
      <c r="C44" s="69" t="s">
        <v>232</v>
      </c>
      <c r="H44" s="43">
        <f>H17+H26+H33+H41</f>
        <v>15</v>
      </c>
      <c r="I44" s="44">
        <f>I17+I26+I33+I41</f>
        <v>41</v>
      </c>
      <c r="J44" s="45">
        <f>J17+J26+J33+J41</f>
        <v>-39</v>
      </c>
      <c r="K44" s="46">
        <f>K17+K26+K33+K41</f>
        <v>2.5</v>
      </c>
      <c r="L44" s="76">
        <f>L17+L26+L33+L41</f>
        <v>48.5</v>
      </c>
      <c r="T44" s="11"/>
      <c r="U44" t="s">
        <v>0</v>
      </c>
      <c r="V44" s="11">
        <v>12</v>
      </c>
      <c r="W44" s="11">
        <v>12</v>
      </c>
    </row>
    <row r="45" spans="2:23" ht="17.25" thickTop="1" thickBot="1" x14ac:dyDescent="0.3">
      <c r="B45" s="66">
        <f>B44+1</f>
        <v>43</v>
      </c>
      <c r="C45" s="71" t="s">
        <v>240</v>
      </c>
      <c r="D45" s="67"/>
      <c r="E45" s="67"/>
      <c r="F45" s="67"/>
      <c r="G45" s="67"/>
      <c r="H45" s="47">
        <f>H54</f>
        <v>61.714285714285708</v>
      </c>
      <c r="I45" s="48">
        <f>I54</f>
        <v>91.428571428571416</v>
      </c>
      <c r="J45" s="49">
        <f>J54</f>
        <v>1</v>
      </c>
      <c r="K45" s="50">
        <f>K54</f>
        <v>48.428571428571423</v>
      </c>
      <c r="L45" s="51">
        <f>L54</f>
        <v>100</v>
      </c>
      <c r="N45" s="67"/>
      <c r="O45" s="67"/>
      <c r="Q45" s="67"/>
      <c r="R45" s="67"/>
      <c r="T45" s="11"/>
      <c r="U45" t="s">
        <v>1</v>
      </c>
      <c r="V45" s="11">
        <v>12</v>
      </c>
      <c r="W45" s="11">
        <v>11</v>
      </c>
    </row>
    <row r="46" spans="2:23" x14ac:dyDescent="0.25">
      <c r="H46"/>
      <c r="I46"/>
      <c r="J46"/>
      <c r="K46"/>
      <c r="L46"/>
      <c r="U46" t="s">
        <v>2</v>
      </c>
      <c r="V46" s="11">
        <v>11</v>
      </c>
      <c r="W46" s="11">
        <v>10</v>
      </c>
    </row>
    <row r="47" spans="2:23" x14ac:dyDescent="0.25">
      <c r="C47" s="1" t="s">
        <v>297</v>
      </c>
      <c r="U47" t="s">
        <v>149</v>
      </c>
      <c r="V47" s="11">
        <v>10</v>
      </c>
      <c r="W47" s="11">
        <v>10</v>
      </c>
    </row>
    <row r="48" spans="2:23" x14ac:dyDescent="0.25">
      <c r="C48" t="s">
        <v>230</v>
      </c>
      <c r="L48" s="37">
        <f>L44-J44</f>
        <v>87.5</v>
      </c>
      <c r="U48" s="11"/>
      <c r="V48" s="11"/>
    </row>
    <row r="49" spans="3:23" x14ac:dyDescent="0.25">
      <c r="C49" t="s">
        <v>298</v>
      </c>
      <c r="L49" s="11">
        <f>(L44+J44)/2</f>
        <v>4.75</v>
      </c>
      <c r="U49" s="11"/>
      <c r="V49" s="11"/>
    </row>
    <row r="50" spans="3:23" x14ac:dyDescent="0.25">
      <c r="C50" t="s">
        <v>231</v>
      </c>
      <c r="L50" s="81">
        <f>100/L48</f>
        <v>1.1428571428571428</v>
      </c>
      <c r="U50" s="11"/>
      <c r="V50" s="11"/>
    </row>
    <row r="51" spans="3:23" x14ac:dyDescent="0.25">
      <c r="C51" t="s">
        <v>299</v>
      </c>
      <c r="H51" s="37">
        <f>H44-$J$44</f>
        <v>54</v>
      </c>
      <c r="I51" s="37">
        <f>I44-$J$44</f>
        <v>80</v>
      </c>
      <c r="J51" s="37">
        <f>J44-$J$44</f>
        <v>0</v>
      </c>
      <c r="K51" s="37">
        <f>K44-$J$44</f>
        <v>41.5</v>
      </c>
      <c r="L51" s="37">
        <f>L44-$J$44</f>
        <v>87.5</v>
      </c>
      <c r="M51" s="37"/>
      <c r="U51" s="26" t="s">
        <v>283</v>
      </c>
      <c r="V51" s="11" t="s">
        <v>163</v>
      </c>
      <c r="W51" s="11" t="s">
        <v>164</v>
      </c>
    </row>
    <row r="52" spans="3:23" x14ac:dyDescent="0.25">
      <c r="H52" s="37"/>
      <c r="I52" s="37"/>
      <c r="J52" s="37"/>
      <c r="K52" s="37"/>
      <c r="L52" s="37"/>
      <c r="T52" s="11"/>
      <c r="U52" t="s">
        <v>0</v>
      </c>
      <c r="V52" s="11">
        <v>3</v>
      </c>
      <c r="W52" s="11">
        <v>2</v>
      </c>
    </row>
    <row r="53" spans="3:23" x14ac:dyDescent="0.25">
      <c r="H53" s="37" t="str">
        <f>H43</f>
        <v>Before</v>
      </c>
      <c r="I53" s="37" t="str">
        <f>I43</f>
        <v>After</v>
      </c>
      <c r="J53" s="37" t="str">
        <f>J43</f>
        <v>Worst</v>
      </c>
      <c r="K53" s="37" t="str">
        <f>K43</f>
        <v>Ave</v>
      </c>
      <c r="L53" s="37" t="str">
        <f>L43</f>
        <v>Best</v>
      </c>
      <c r="T53" s="11"/>
      <c r="U53" t="s">
        <v>1</v>
      </c>
      <c r="V53" s="11">
        <v>3</v>
      </c>
      <c r="W53" s="11">
        <v>2</v>
      </c>
    </row>
    <row r="54" spans="3:23" x14ac:dyDescent="0.25">
      <c r="C54" t="s">
        <v>300</v>
      </c>
      <c r="H54" s="37">
        <f>H51*$L$50</f>
        <v>61.714285714285708</v>
      </c>
      <c r="I54" s="37">
        <f>I51*$L$50</f>
        <v>91.428571428571416</v>
      </c>
      <c r="J54" s="37">
        <f>J51*$L$50+1</f>
        <v>1</v>
      </c>
      <c r="K54" s="37">
        <f>K51*$L$50+1</f>
        <v>48.428571428571423</v>
      </c>
      <c r="L54" s="37">
        <f>L51*$L$50</f>
        <v>100</v>
      </c>
      <c r="U54" t="s">
        <v>2</v>
      </c>
      <c r="V54" s="11">
        <v>3</v>
      </c>
      <c r="W54" s="11">
        <v>2</v>
      </c>
    </row>
    <row r="55" spans="3:23" x14ac:dyDescent="0.25">
      <c r="V55" s="11"/>
      <c r="W55" s="11"/>
    </row>
    <row r="56" spans="3:23" x14ac:dyDescent="0.25">
      <c r="C56" s="1" t="s">
        <v>304</v>
      </c>
      <c r="V56" s="11"/>
      <c r="W56" s="11"/>
    </row>
    <row r="57" spans="3:23" x14ac:dyDescent="0.25">
      <c r="C57" t="str">
        <f>"Walkability Score for "&amp;$E$1</f>
        <v>Walkability Score for Logan Main</v>
      </c>
      <c r="H57" s="82" t="s">
        <v>237</v>
      </c>
      <c r="I57" s="82">
        <v>0</v>
      </c>
      <c r="J57" s="82">
        <v>21</v>
      </c>
      <c r="K57" s="82">
        <v>41</v>
      </c>
      <c r="L57" s="82">
        <v>61</v>
      </c>
      <c r="M57" s="82">
        <v>81</v>
      </c>
      <c r="U57" t="s">
        <v>149</v>
      </c>
      <c r="V57" s="11">
        <v>3</v>
      </c>
      <c r="W57" s="11">
        <v>2</v>
      </c>
    </row>
    <row r="58" spans="3:23" x14ac:dyDescent="0.25">
      <c r="H58" s="82" t="s">
        <v>238</v>
      </c>
      <c r="I58" s="82">
        <v>20</v>
      </c>
      <c r="J58" s="82">
        <v>40</v>
      </c>
      <c r="K58" s="82">
        <v>60</v>
      </c>
      <c r="L58" s="82">
        <v>80</v>
      </c>
      <c r="M58" s="82">
        <v>100</v>
      </c>
    </row>
    <row r="59" spans="3:23" x14ac:dyDescent="0.25">
      <c r="H59" s="11" t="s">
        <v>236</v>
      </c>
      <c r="I59" s="11" t="str">
        <f>I57&amp;"-"&amp;I58</f>
        <v>0-20</v>
      </c>
      <c r="J59" s="11" t="str">
        <f t="shared" ref="J59:M59" si="2">J57&amp;"-"&amp;J58</f>
        <v>21-40</v>
      </c>
      <c r="K59" s="11" t="str">
        <f t="shared" si="2"/>
        <v>41-60</v>
      </c>
      <c r="L59" s="11" t="str">
        <f t="shared" si="2"/>
        <v>61-80</v>
      </c>
      <c r="M59" s="11" t="str">
        <f t="shared" si="2"/>
        <v>81-100</v>
      </c>
      <c r="T59" s="11"/>
      <c r="U59" s="26" t="s">
        <v>166</v>
      </c>
      <c r="V59" s="11" t="s">
        <v>167</v>
      </c>
      <c r="W59" s="11" t="s">
        <v>168</v>
      </c>
    </row>
    <row r="60" spans="3:23" x14ac:dyDescent="0.25">
      <c r="G60" s="11" t="s">
        <v>274</v>
      </c>
      <c r="I60" s="38">
        <v>20</v>
      </c>
      <c r="J60" s="39">
        <v>40</v>
      </c>
      <c r="K60" s="40">
        <v>60</v>
      </c>
      <c r="L60" s="41">
        <v>80</v>
      </c>
      <c r="M60" s="42">
        <v>100</v>
      </c>
      <c r="T60" s="11"/>
      <c r="U60" t="s">
        <v>0</v>
      </c>
      <c r="V60" s="11">
        <v>1</v>
      </c>
      <c r="W60" s="11">
        <v>2</v>
      </c>
    </row>
    <row r="61" spans="3:23" x14ac:dyDescent="0.25">
      <c r="G61" s="11" t="str">
        <f>D7</f>
        <v>Before</v>
      </c>
      <c r="H61" s="37">
        <f>MROUND(H54, 1)</f>
        <v>62</v>
      </c>
      <c r="I61" s="38" t="str">
        <f t="shared" ref="I61:M62" si="3">IF(AND(I$57&lt;=$H61,$H61&lt;=I$58),$H61,"")</f>
        <v/>
      </c>
      <c r="J61" s="39" t="str">
        <f t="shared" si="3"/>
        <v/>
      </c>
      <c r="K61" s="40" t="str">
        <f t="shared" si="3"/>
        <v/>
      </c>
      <c r="L61" s="41">
        <f t="shared" si="3"/>
        <v>62</v>
      </c>
      <c r="M61" s="42" t="str">
        <f t="shared" si="3"/>
        <v/>
      </c>
      <c r="V61" s="11"/>
      <c r="W61" s="11"/>
    </row>
    <row r="62" spans="3:23" x14ac:dyDescent="0.25">
      <c r="G62" s="11" t="str">
        <f>E7</f>
        <v>After</v>
      </c>
      <c r="H62" s="37">
        <f>MROUND(I54,1)</f>
        <v>91</v>
      </c>
      <c r="I62" s="38" t="str">
        <f t="shared" si="3"/>
        <v/>
      </c>
      <c r="J62" s="39" t="str">
        <f t="shared" si="3"/>
        <v/>
      </c>
      <c r="K62" s="40" t="str">
        <f t="shared" si="3"/>
        <v/>
      </c>
      <c r="L62" s="41" t="str">
        <f t="shared" si="3"/>
        <v/>
      </c>
      <c r="M62" s="42">
        <f t="shared" si="3"/>
        <v>91</v>
      </c>
      <c r="U62" t="s">
        <v>1</v>
      </c>
      <c r="V62" s="11">
        <v>2</v>
      </c>
      <c r="W62" s="11">
        <v>3</v>
      </c>
    </row>
    <row r="63" spans="3:23" x14ac:dyDescent="0.25">
      <c r="H63" s="3" t="s">
        <v>305</v>
      </c>
      <c r="U63" t="s">
        <v>2</v>
      </c>
      <c r="V63" s="11">
        <v>2</v>
      </c>
      <c r="W63" s="11">
        <v>3</v>
      </c>
    </row>
    <row r="64" spans="3:23" x14ac:dyDescent="0.25">
      <c r="H64" s="3" t="s">
        <v>306</v>
      </c>
      <c r="U64" t="s">
        <v>149</v>
      </c>
      <c r="V64" s="11">
        <v>2</v>
      </c>
      <c r="W64" s="11">
        <v>3</v>
      </c>
    </row>
    <row r="66" spans="20:24" x14ac:dyDescent="0.25">
      <c r="T66" s="11"/>
      <c r="U66" s="26" t="s">
        <v>166</v>
      </c>
      <c r="V66" s="11" t="s">
        <v>169</v>
      </c>
      <c r="W66" s="11" t="s">
        <v>64</v>
      </c>
    </row>
    <row r="67" spans="20:24" x14ac:dyDescent="0.25">
      <c r="T67" s="11"/>
      <c r="U67" t="s">
        <v>0</v>
      </c>
      <c r="V67" s="11">
        <v>2</v>
      </c>
      <c r="W67" s="11">
        <v>2</v>
      </c>
    </row>
    <row r="68" spans="20:24" x14ac:dyDescent="0.25">
      <c r="U68" t="s">
        <v>1</v>
      </c>
      <c r="V68" s="11">
        <v>2</v>
      </c>
      <c r="W68" s="11">
        <v>3</v>
      </c>
    </row>
    <row r="69" spans="20:24" x14ac:dyDescent="0.25">
      <c r="U69" t="s">
        <v>2</v>
      </c>
      <c r="V69" s="11">
        <v>2</v>
      </c>
      <c r="W69" s="11">
        <v>3</v>
      </c>
    </row>
    <row r="70" spans="20:24" x14ac:dyDescent="0.25">
      <c r="U70" t="s">
        <v>149</v>
      </c>
      <c r="V70" s="11">
        <v>2</v>
      </c>
      <c r="W70" s="11">
        <v>3</v>
      </c>
    </row>
    <row r="72" spans="20:24" x14ac:dyDescent="0.25">
      <c r="U72" s="26" t="s">
        <v>173</v>
      </c>
      <c r="V72" s="11" t="s">
        <v>171</v>
      </c>
      <c r="W72" s="11" t="s">
        <v>172</v>
      </c>
    </row>
    <row r="73" spans="20:24" x14ac:dyDescent="0.25">
      <c r="U73" t="s">
        <v>0</v>
      </c>
      <c r="V73" s="11">
        <v>1</v>
      </c>
      <c r="W73" s="11">
        <v>2</v>
      </c>
    </row>
    <row r="74" spans="20:24" x14ac:dyDescent="0.25">
      <c r="U74" t="s">
        <v>1</v>
      </c>
      <c r="V74" s="11">
        <v>2</v>
      </c>
      <c r="W74" s="11">
        <v>2</v>
      </c>
    </row>
    <row r="75" spans="20:24" x14ac:dyDescent="0.25">
      <c r="U75" t="s">
        <v>2</v>
      </c>
      <c r="V75" s="11">
        <v>3</v>
      </c>
      <c r="W75" s="11">
        <v>3</v>
      </c>
    </row>
    <row r="76" spans="20:24" x14ac:dyDescent="0.25">
      <c r="U76" t="s">
        <v>149</v>
      </c>
      <c r="V76" s="11">
        <v>3</v>
      </c>
      <c r="W76" s="11">
        <v>3</v>
      </c>
    </row>
    <row r="78" spans="20:24" x14ac:dyDescent="0.25">
      <c r="U78" s="26" t="s">
        <v>285</v>
      </c>
      <c r="V78" s="11" t="s">
        <v>176</v>
      </c>
      <c r="W78" s="11" t="s">
        <v>177</v>
      </c>
    </row>
    <row r="79" spans="20:24" x14ac:dyDescent="0.25">
      <c r="T79" s="4"/>
      <c r="U79" t="s">
        <v>0</v>
      </c>
      <c r="V79" s="11">
        <v>1330</v>
      </c>
      <c r="W79" s="11">
        <v>800</v>
      </c>
      <c r="X79" s="11"/>
    </row>
    <row r="80" spans="20:24" x14ac:dyDescent="0.25">
      <c r="T80" s="4"/>
      <c r="U80" t="s">
        <v>1</v>
      </c>
      <c r="V80" s="11">
        <v>800</v>
      </c>
      <c r="W80" s="11">
        <v>660</v>
      </c>
      <c r="X80" s="11"/>
    </row>
    <row r="81" spans="20:24" x14ac:dyDescent="0.25">
      <c r="U81" t="s">
        <v>2</v>
      </c>
      <c r="V81" s="11">
        <v>660</v>
      </c>
      <c r="W81" s="11">
        <v>500</v>
      </c>
    </row>
    <row r="82" spans="20:24" x14ac:dyDescent="0.25">
      <c r="U82" t="s">
        <v>149</v>
      </c>
      <c r="V82" s="11">
        <v>500</v>
      </c>
      <c r="W82" s="11">
        <v>300</v>
      </c>
    </row>
    <row r="83" spans="20:24" x14ac:dyDescent="0.25">
      <c r="T83" s="4"/>
      <c r="X83" s="11"/>
    </row>
    <row r="84" spans="20:24" x14ac:dyDescent="0.25">
      <c r="T84" s="4"/>
      <c r="U84" s="26" t="s">
        <v>286</v>
      </c>
      <c r="V84" s="11" t="s">
        <v>179</v>
      </c>
      <c r="W84" s="11" t="s">
        <v>180</v>
      </c>
      <c r="X84" s="11"/>
    </row>
    <row r="85" spans="20:24" x14ac:dyDescent="0.25">
      <c r="U85" t="s">
        <v>0</v>
      </c>
      <c r="V85" s="11">
        <v>45</v>
      </c>
      <c r="W85" s="11">
        <v>40</v>
      </c>
    </row>
    <row r="86" spans="20:24" x14ac:dyDescent="0.25">
      <c r="U86" t="s">
        <v>1</v>
      </c>
      <c r="V86" s="11">
        <v>40</v>
      </c>
      <c r="W86" s="11">
        <v>35</v>
      </c>
    </row>
    <row r="87" spans="20:24" x14ac:dyDescent="0.25">
      <c r="U87" t="s">
        <v>2</v>
      </c>
      <c r="V87" s="11">
        <v>35</v>
      </c>
      <c r="W87" s="11">
        <v>30</v>
      </c>
    </row>
    <row r="88" spans="20:24" x14ac:dyDescent="0.25">
      <c r="U88" t="s">
        <v>149</v>
      </c>
      <c r="V88" s="11">
        <v>30</v>
      </c>
      <c r="W88" s="11">
        <v>25</v>
      </c>
    </row>
    <row r="90" spans="20:24" x14ac:dyDescent="0.25">
      <c r="T90" s="11"/>
      <c r="U90" s="26" t="s">
        <v>173</v>
      </c>
      <c r="V90" s="11" t="s">
        <v>188</v>
      </c>
      <c r="W90" s="11" t="s">
        <v>189</v>
      </c>
    </row>
    <row r="91" spans="20:24" x14ac:dyDescent="0.25">
      <c r="T91" s="11"/>
      <c r="U91" t="s">
        <v>0</v>
      </c>
      <c r="V91" s="11">
        <v>1</v>
      </c>
      <c r="W91" s="11">
        <v>1</v>
      </c>
    </row>
    <row r="92" spans="20:24" x14ac:dyDescent="0.25">
      <c r="U92" t="s">
        <v>1</v>
      </c>
      <c r="V92" s="11">
        <v>1</v>
      </c>
      <c r="W92" s="11">
        <v>2</v>
      </c>
    </row>
    <row r="93" spans="20:24" x14ac:dyDescent="0.25">
      <c r="U93" t="s">
        <v>2</v>
      </c>
      <c r="V93" s="11">
        <v>1</v>
      </c>
      <c r="W93" s="11">
        <v>2</v>
      </c>
    </row>
    <row r="94" spans="20:24" x14ac:dyDescent="0.25">
      <c r="U94" t="s">
        <v>149</v>
      </c>
      <c r="V94" s="11">
        <v>1</v>
      </c>
      <c r="W94" s="11">
        <v>2</v>
      </c>
    </row>
    <row r="96" spans="20:24" x14ac:dyDescent="0.25">
      <c r="U96" s="26" t="s">
        <v>290</v>
      </c>
      <c r="V96" s="11" t="s">
        <v>196</v>
      </c>
      <c r="W96" s="11" t="s">
        <v>197</v>
      </c>
    </row>
    <row r="97" spans="21:23" x14ac:dyDescent="0.25">
      <c r="U97" t="s">
        <v>0</v>
      </c>
      <c r="V97" s="11">
        <v>2</v>
      </c>
      <c r="W97" s="11">
        <v>5</v>
      </c>
    </row>
    <row r="98" spans="21:23" x14ac:dyDescent="0.25">
      <c r="U98" t="s">
        <v>1</v>
      </c>
      <c r="V98" s="11">
        <v>2</v>
      </c>
      <c r="W98" s="11">
        <v>5</v>
      </c>
    </row>
    <row r="99" spans="21:23" x14ac:dyDescent="0.25">
      <c r="U99" t="s">
        <v>2</v>
      </c>
      <c r="V99" s="11">
        <v>2</v>
      </c>
      <c r="W99" s="11">
        <v>5</v>
      </c>
    </row>
    <row r="100" spans="21:23" x14ac:dyDescent="0.25">
      <c r="U100" t="s">
        <v>149</v>
      </c>
      <c r="V100" s="11">
        <v>2</v>
      </c>
      <c r="W100" s="11">
        <v>5</v>
      </c>
    </row>
    <row r="102" spans="21:23" x14ac:dyDescent="0.25">
      <c r="U102" s="26" t="s">
        <v>262</v>
      </c>
      <c r="V102" s="11" t="s">
        <v>263</v>
      </c>
      <c r="W102" s="11" t="s">
        <v>264</v>
      </c>
    </row>
    <row r="103" spans="21:23" x14ac:dyDescent="0.25">
      <c r="U103" t="s">
        <v>0</v>
      </c>
      <c r="V103" s="11">
        <v>1</v>
      </c>
      <c r="W103" s="11">
        <v>2</v>
      </c>
    </row>
    <row r="104" spans="21:23" x14ac:dyDescent="0.25">
      <c r="U104" t="s">
        <v>1</v>
      </c>
      <c r="V104" s="11">
        <v>2</v>
      </c>
      <c r="W104" s="11">
        <v>2</v>
      </c>
    </row>
    <row r="105" spans="21:23" x14ac:dyDescent="0.25">
      <c r="U105" t="s">
        <v>2</v>
      </c>
      <c r="V105" s="11">
        <v>3</v>
      </c>
      <c r="W105" s="11">
        <v>4</v>
      </c>
    </row>
    <row r="106" spans="21:23" x14ac:dyDescent="0.25">
      <c r="U106" t="s">
        <v>149</v>
      </c>
      <c r="V106" s="11">
        <v>3</v>
      </c>
      <c r="W106" s="11">
        <v>4</v>
      </c>
    </row>
  </sheetData>
  <mergeCells count="1">
    <mergeCell ref="H6:L6"/>
  </mergeCells>
  <dataValidations count="3">
    <dataValidation type="list" allowBlank="1" showInputMessage="1" showErrorMessage="1" sqref="N5 Q5 D5:E5" xr:uid="{CB5951D6-281B-460D-BC25-F20D611CE3FC}">
      <formula1>$AA$2:$AA$7</formula1>
    </dataValidation>
    <dataValidation type="list" allowBlank="1" showInputMessage="1" showErrorMessage="1" sqref="D4:E4 D7:E7 Q7:R7 N7:O7" xr:uid="{32ACFF2E-4DEE-4380-BC91-9FE13B36F09D}">
      <formula1>$Y$2:$Y$9</formula1>
    </dataValidation>
    <dataValidation type="list" allowBlank="1" showInputMessage="1" showErrorMessage="1" sqref="D16:G16 Q16:R16 N16:O16 Q31:R32 N31:O32 Q39:R40 N39:O40 D39:E40 D31:G32 D23:G23 N23:O23 Q23:R23" xr:uid="{2CE13B6D-F8F6-4822-8A35-B595E56BBE58}">
      <formula1>$Z$2:$Z$3</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09B4-236D-4883-940C-60E9504EF1F2}">
  <dimension ref="B1:N223"/>
  <sheetViews>
    <sheetView zoomScale="115" zoomScaleNormal="115" workbookViewId="0">
      <pane ySplit="5" topLeftCell="A6" activePane="bottomLeft" state="frozen"/>
      <selection pane="bottomLeft" activeCell="C7" sqref="C7"/>
    </sheetView>
  </sheetViews>
  <sheetFormatPr defaultColWidth="8.85546875" defaultRowHeight="15" outlineLevelRow="1" x14ac:dyDescent="0.25"/>
  <cols>
    <col min="1" max="1" width="2" bestFit="1" customWidth="1"/>
    <col min="2" max="2" width="60.42578125" style="4" customWidth="1"/>
    <col min="3" max="4" width="9.42578125" style="11" bestFit="1" customWidth="1"/>
    <col min="5" max="5" width="6.42578125" style="11" bestFit="1" customWidth="1"/>
    <col min="6" max="6" width="9.7109375" style="11" bestFit="1" customWidth="1"/>
    <col min="7" max="7" width="2.7109375" customWidth="1"/>
    <col min="10" max="10" width="11.42578125" bestFit="1" customWidth="1"/>
    <col min="11" max="11" width="11.42578125" customWidth="1"/>
    <col min="17" max="17" width="15" bestFit="1" customWidth="1"/>
  </cols>
  <sheetData>
    <row r="1" spans="2:14" ht="58.5" customHeight="1" x14ac:dyDescent="0.25"/>
    <row r="2" spans="2:14" x14ac:dyDescent="0.25">
      <c r="B2" s="27" t="str">
        <f>'Walkability User Interface'!E5</f>
        <v>Urban</v>
      </c>
      <c r="E2" s="2"/>
      <c r="F2" s="74"/>
    </row>
    <row r="3" spans="2:14" x14ac:dyDescent="0.25">
      <c r="C3" s="10" t="s">
        <v>0</v>
      </c>
      <c r="D3" s="10" t="s">
        <v>1</v>
      </c>
      <c r="E3" s="10" t="s">
        <v>2</v>
      </c>
      <c r="F3" s="10" t="s">
        <v>149</v>
      </c>
      <c r="H3" s="10" t="str">
        <f>'Walkability User Interface'!$D$4</f>
        <v>Before</v>
      </c>
      <c r="I3" s="10" t="str">
        <f>'Walkability User Interface'!$E$4</f>
        <v>After</v>
      </c>
      <c r="J3" s="10" t="s">
        <v>204</v>
      </c>
      <c r="K3" s="10" t="s">
        <v>206</v>
      </c>
      <c r="L3" s="10" t="s">
        <v>205</v>
      </c>
      <c r="N3" s="36" t="s">
        <v>207</v>
      </c>
    </row>
    <row r="4" spans="2:14" ht="15.75" x14ac:dyDescent="0.25">
      <c r="B4" s="6" t="s">
        <v>147</v>
      </c>
      <c r="C4" s="15">
        <f>C89+C128+C152+C177+C192+C206</f>
        <v>6</v>
      </c>
      <c r="D4" s="15">
        <f>D89+D128+D152+D177+D192+D206</f>
        <v>15</v>
      </c>
      <c r="E4" s="15">
        <f t="shared" ref="E4:L4" si="0">E89+E128+E152+E177+E192+E206</f>
        <v>15.5</v>
      </c>
      <c r="F4" s="15">
        <f t="shared" si="0"/>
        <v>5.5</v>
      </c>
      <c r="G4" s="15"/>
      <c r="H4" s="15">
        <f t="shared" ref="H4:I4" si="1">H89+H128+H152+H177+H192+H206</f>
        <v>5</v>
      </c>
      <c r="I4" s="15">
        <f t="shared" si="1"/>
        <v>30</v>
      </c>
      <c r="J4" s="15">
        <f t="shared" si="0"/>
        <v>-30</v>
      </c>
      <c r="K4" s="15">
        <f t="shared" si="0"/>
        <v>2.5</v>
      </c>
      <c r="L4" s="15">
        <f t="shared" si="0"/>
        <v>37.5</v>
      </c>
    </row>
    <row r="5" spans="2:14" ht="15.75" x14ac:dyDescent="0.25">
      <c r="B5" s="6" t="s">
        <v>148</v>
      </c>
      <c r="C5" s="15">
        <f>C89+C128+C152+C177+C223</f>
        <v>6</v>
      </c>
      <c r="D5" s="15">
        <f>D89+D128+D152+D177+D223</f>
        <v>17</v>
      </c>
      <c r="E5" s="15">
        <f>E89+E128+E152+E177+E223</f>
        <v>19.5</v>
      </c>
      <c r="F5" s="15">
        <f>F89+F128+F152+F177+F223</f>
        <v>5.5</v>
      </c>
      <c r="G5" s="15"/>
      <c r="H5" s="15">
        <f>H89+H128+H152+H177+H223</f>
        <v>9</v>
      </c>
      <c r="I5" s="15">
        <f>I89+I128+I152+I177+I223</f>
        <v>34</v>
      </c>
      <c r="J5" s="15">
        <f>J89+J128+J152+J177+J223</f>
        <v>-34</v>
      </c>
      <c r="K5" s="15">
        <f>K89+K128+K152+K177+K223</f>
        <v>2.5</v>
      </c>
      <c r="L5" s="15">
        <f>L89+L128+L152+L177+L223</f>
        <v>41.5</v>
      </c>
    </row>
    <row r="6" spans="2:14" x14ac:dyDescent="0.25">
      <c r="C6" s="10"/>
      <c r="D6" s="10"/>
      <c r="E6" s="10"/>
      <c r="F6" s="10"/>
    </row>
    <row r="7" spans="2:14" ht="15.75" x14ac:dyDescent="0.25">
      <c r="B7" s="19" t="s">
        <v>125</v>
      </c>
      <c r="C7" s="20"/>
      <c r="D7" s="20"/>
      <c r="E7" s="20"/>
      <c r="F7" s="20"/>
      <c r="G7" s="21"/>
      <c r="H7" s="21"/>
      <c r="I7" s="21"/>
      <c r="J7" s="21"/>
      <c r="K7" s="21"/>
      <c r="L7" s="21"/>
    </row>
    <row r="8" spans="2:14" x14ac:dyDescent="0.25">
      <c r="B8"/>
      <c r="C8"/>
      <c r="D8"/>
      <c r="E8"/>
      <c r="F8"/>
    </row>
    <row r="9" spans="2:14" x14ac:dyDescent="0.25">
      <c r="B9" s="8" t="s">
        <v>9</v>
      </c>
      <c r="C9" s="14">
        <v>4</v>
      </c>
      <c r="D9" s="14">
        <v>4</v>
      </c>
      <c r="E9" s="14">
        <v>4</v>
      </c>
      <c r="F9" s="14">
        <v>8</v>
      </c>
      <c r="G9" s="1"/>
      <c r="H9" s="28">
        <f>'Walkability User Interface'!D8</f>
        <v>10</v>
      </c>
      <c r="I9" s="28">
        <f>'Walkability User Interface'!E8</f>
        <v>10</v>
      </c>
      <c r="J9" s="14">
        <v>5</v>
      </c>
      <c r="K9" s="14">
        <v>7</v>
      </c>
      <c r="L9" s="14">
        <v>8</v>
      </c>
      <c r="N9" s="16" t="s">
        <v>308</v>
      </c>
    </row>
    <row r="10" spans="2:14" x14ac:dyDescent="0.25">
      <c r="B10" s="4" t="s">
        <v>3</v>
      </c>
      <c r="C10" s="11">
        <v>4</v>
      </c>
      <c r="D10" s="11">
        <v>5</v>
      </c>
      <c r="E10" s="11">
        <v>6</v>
      </c>
      <c r="F10" s="11">
        <v>8</v>
      </c>
      <c r="H10" s="30">
        <f>IF("Industrial"=$B$2, $C10, IF("Suburban"=$B$2,  $D10, IF("Urban"=$B$2,  $E10, IF("Urban+"=$B$2,  $F10, 0))))</f>
        <v>6</v>
      </c>
      <c r="I10" s="30">
        <f t="shared" ref="H10:I12" si="2">IF("Industrial"=$B$2, $C10, IF("Suburban"=$B$2,  $D10, IF("Urban"=$B$2,  $E10, IF("Urban+"=$B$2,  $F10, 0))))</f>
        <v>6</v>
      </c>
      <c r="J10" s="11">
        <f>IF("Industrial"=$B$2, C10, IF("Suburban"=$B$2,  D10, IF("Urban"=$B$2,  E10, IF("Urban+"=$B$2,  F10, 0))))</f>
        <v>6</v>
      </c>
      <c r="K10" s="11">
        <f>IF("Industrial"=$B$2, C10, IF("Suburban"=$B$2,  D10, IF("Urban"=$B$2,  E10, IF("Urban+"=$B$2,  F10, 0))))</f>
        <v>6</v>
      </c>
      <c r="L10" s="11">
        <f>IF("Industrial"=$B$2, C10, IF("Suburban"=$B$2,  D10, IF("Urban"=$B$2,  E10, IF("Urban+"=$B$2,  F10, 0))))</f>
        <v>6</v>
      </c>
    </row>
    <row r="11" spans="2:14" x14ac:dyDescent="0.25">
      <c r="B11" s="4" t="s">
        <v>4</v>
      </c>
      <c r="C11" s="11">
        <v>6</v>
      </c>
      <c r="D11" s="11">
        <v>6</v>
      </c>
      <c r="E11" s="11">
        <v>8</v>
      </c>
      <c r="F11" s="11">
        <v>10</v>
      </c>
      <c r="H11" s="30">
        <f t="shared" si="2"/>
        <v>8</v>
      </c>
      <c r="I11" s="30">
        <f t="shared" si="2"/>
        <v>8</v>
      </c>
      <c r="J11" s="11">
        <f>IF("Industrial"=$B$2, C11, IF("Suburban"=$B$2,  D11, IF("Urban"=$B$2,  E11, IF("Urban+"=$B$2,  F11, 0))))</f>
        <v>8</v>
      </c>
      <c r="K11" s="11">
        <f>IF("Industrial"=$B$2, C11, IF("Suburban"=$B$2,  D11, IF("Urban"=$B$2,  E11, IF("Urban+"=$B$2,  F11, 0))))</f>
        <v>8</v>
      </c>
      <c r="L11" s="11">
        <f>IF("Industrial"=$B$2, C11, IF("Suburban"=$B$2,  D11, IF("Urban"=$B$2,  E11, IF("Urban+"=$B$2,  F11, 0))))</f>
        <v>8</v>
      </c>
    </row>
    <row r="12" spans="2:14" x14ac:dyDescent="0.25">
      <c r="B12" s="4" t="s">
        <v>20</v>
      </c>
      <c r="C12" s="11">
        <v>1</v>
      </c>
      <c r="D12" s="11">
        <v>1</v>
      </c>
      <c r="E12" s="11">
        <v>1</v>
      </c>
      <c r="F12" s="11">
        <v>1</v>
      </c>
      <c r="H12" s="30">
        <f t="shared" si="2"/>
        <v>1</v>
      </c>
      <c r="I12" s="30">
        <f t="shared" si="2"/>
        <v>1</v>
      </c>
      <c r="J12" s="11">
        <f>IF("Industrial"=$B$2, C12, IF("Suburban"=$B$2,  D12, IF("Urban"=$B$2,  E12, IF("Urban+"=$B$2,  F12, 0))))</f>
        <v>1</v>
      </c>
      <c r="K12" s="11">
        <f>IF("Industrial"=$B$2, C12, IF("Suburban"=$B$2,  D12, IF("Urban"=$B$2,  E12, IF("Urban+"=$B$2,  F12, 0))))</f>
        <v>1</v>
      </c>
      <c r="L12" s="11">
        <f>IF("Industrial"=$B$2, C12, IF("Suburban"=$B$2,  D12, IF("Urban"=$B$2,  E12, IF("Urban+"=$B$2,  F12, 0))))</f>
        <v>1</v>
      </c>
    </row>
    <row r="13" spans="2:14" x14ac:dyDescent="0.25">
      <c r="B13" s="7" t="s">
        <v>8</v>
      </c>
      <c r="C13" s="12">
        <f>MIN(C9-C10, C11-C10)*C12</f>
        <v>0</v>
      </c>
      <c r="D13" s="12">
        <f>MIN(D9-D10, D11-D10)*D12</f>
        <v>-1</v>
      </c>
      <c r="E13" s="12">
        <f>MIN(E9-E10, E11-E10)*E12</f>
        <v>-2</v>
      </c>
      <c r="F13" s="12">
        <f>MIN(F9-F10, F11-F10)*F12</f>
        <v>0</v>
      </c>
      <c r="H13" s="12">
        <f>MIN(H9-H10, H11-H10)*H12</f>
        <v>2</v>
      </c>
      <c r="I13" s="12">
        <f>MIN(I9-I10, I11-I10)*I12</f>
        <v>2</v>
      </c>
      <c r="J13" s="12">
        <f>MIN(J9-J10, J11-J10)*J12</f>
        <v>-1</v>
      </c>
      <c r="K13" s="12">
        <f>MIN(K9-K10, K11-K10)*K12</f>
        <v>1</v>
      </c>
      <c r="L13" s="12">
        <f>MIN(L9-L10, L11-L10)*L12</f>
        <v>2</v>
      </c>
    </row>
    <row r="14" spans="2:14" x14ac:dyDescent="0.25">
      <c r="H14" s="11"/>
      <c r="I14" s="11"/>
      <c r="J14" s="11"/>
      <c r="K14" s="11"/>
      <c r="L14" s="11"/>
    </row>
    <row r="15" spans="2:14" x14ac:dyDescent="0.25">
      <c r="B15" s="8" t="s">
        <v>12</v>
      </c>
      <c r="C15" s="14">
        <v>4</v>
      </c>
      <c r="D15" s="14">
        <v>8</v>
      </c>
      <c r="E15" s="14">
        <v>11</v>
      </c>
      <c r="F15" s="14">
        <v>6</v>
      </c>
      <c r="G15" s="1"/>
      <c r="H15" s="28">
        <f>'Walkability User Interface'!D9</f>
        <v>9</v>
      </c>
      <c r="I15" s="28">
        <f>'Walkability User Interface'!E9</f>
        <v>10</v>
      </c>
      <c r="J15" s="14">
        <v>2</v>
      </c>
      <c r="K15" s="14">
        <v>5</v>
      </c>
      <c r="L15" s="14">
        <v>8</v>
      </c>
    </row>
    <row r="16" spans="2:14" x14ac:dyDescent="0.25">
      <c r="B16" s="4" t="s">
        <v>10</v>
      </c>
      <c r="C16" s="11">
        <v>2</v>
      </c>
      <c r="D16" s="11">
        <v>4</v>
      </c>
      <c r="E16" s="11">
        <v>6</v>
      </c>
      <c r="F16" s="11">
        <v>8</v>
      </c>
      <c r="H16" s="30">
        <f t="shared" ref="H16:I18" si="3">IF("Industrial"=$B$2, $C16, IF("Suburban"=$B$2,  $D16, IF("Urban"=$B$2,  $E16, IF("Urban+"=$B$2,  $F16, 0))))</f>
        <v>6</v>
      </c>
      <c r="I16" s="30">
        <f t="shared" si="3"/>
        <v>6</v>
      </c>
      <c r="J16" s="11">
        <f>IF("Industrial"=$B$2, C16, IF("Suburban"=$B$2,  D16, IF("Urban"=$B$2,  E16, IF("Urban+"=$B$2,  F16, 0))))</f>
        <v>6</v>
      </c>
      <c r="K16" s="11">
        <f>IF("Industrial"=$B$2, C16, IF("Suburban"=$B$2,  D16, IF("Urban"=$B$2,  E16, IF("Urban+"=$B$2,  F16, 0))))</f>
        <v>6</v>
      </c>
      <c r="L16" s="11">
        <f>IF("Industrial"=$B$2, C16, IF("Suburban"=$B$2,  D16, IF("Urban"=$B$2,  E16, IF("Urban+"=$B$2,  F16, 0))))</f>
        <v>6</v>
      </c>
    </row>
    <row r="17" spans="2:12" x14ac:dyDescent="0.25">
      <c r="B17" s="4" t="s">
        <v>11</v>
      </c>
      <c r="C17" s="11">
        <v>4</v>
      </c>
      <c r="D17" s="11">
        <v>8</v>
      </c>
      <c r="E17" s="11">
        <v>10</v>
      </c>
      <c r="F17" s="11">
        <v>12</v>
      </c>
      <c r="H17" s="30">
        <f t="shared" si="3"/>
        <v>10</v>
      </c>
      <c r="I17" s="30">
        <f t="shared" si="3"/>
        <v>10</v>
      </c>
      <c r="J17" s="11">
        <f>IF("Industrial"=$B$2, C17, IF("Suburban"=$B$2,  D17, IF("Urban"=$B$2,  E17, IF("Urban+"=$B$2,  F17, 0))))</f>
        <v>10</v>
      </c>
      <c r="K17" s="11">
        <f>IF("Industrial"=$B$2, C17, IF("Suburban"=$B$2,  D17, IF("Urban"=$B$2,  E17, IF("Urban+"=$B$2,  F17, 0))))</f>
        <v>10</v>
      </c>
      <c r="L17" s="11">
        <f>IF("Industrial"=$B$2, C17, IF("Suburban"=$B$2,  D17, IF("Urban"=$B$2,  E17, IF("Urban+"=$B$2,  F17, 0))))</f>
        <v>10</v>
      </c>
    </row>
    <row r="18" spans="2:12" x14ac:dyDescent="0.25">
      <c r="B18" s="4" t="s">
        <v>19</v>
      </c>
      <c r="C18" s="11">
        <v>1</v>
      </c>
      <c r="D18" s="11">
        <v>1</v>
      </c>
      <c r="E18" s="11">
        <v>1</v>
      </c>
      <c r="F18" s="11">
        <v>1</v>
      </c>
      <c r="H18" s="30">
        <f t="shared" si="3"/>
        <v>1</v>
      </c>
      <c r="I18" s="30">
        <f t="shared" si="3"/>
        <v>1</v>
      </c>
      <c r="J18" s="11">
        <f>IF("Industrial"=$B$2, C18, IF("Suburban"=$B$2,  D18, IF("Urban"=$B$2,  E18, IF("Urban+"=$B$2,  F18, 0))))</f>
        <v>1</v>
      </c>
      <c r="K18" s="11">
        <f>IF("Industrial"=$B$2, C18, IF("Suburban"=$B$2,  D18, IF("Urban"=$B$2,  E18, IF("Urban+"=$B$2,  F18, 0))))</f>
        <v>1</v>
      </c>
      <c r="L18" s="11">
        <f>IF("Industrial"=$B$2, C18, IF("Suburban"=$B$2,  D18, IF("Urban"=$B$2,  E18, IF("Urban+"=$B$2,  F18, 0))))</f>
        <v>1</v>
      </c>
    </row>
    <row r="19" spans="2:12" x14ac:dyDescent="0.25">
      <c r="B19" s="7" t="s">
        <v>13</v>
      </c>
      <c r="C19" s="12">
        <f>MIN(C15-C16, C17-C16)*C18</f>
        <v>2</v>
      </c>
      <c r="D19" s="12">
        <f>MIN(D15-D16, D17-D16)*D18</f>
        <v>4</v>
      </c>
      <c r="E19" s="12">
        <f>MIN(E15-E16, E17-E16)*E18</f>
        <v>4</v>
      </c>
      <c r="F19" s="12">
        <f>MIN(F15-F16, F17-F16)*F18</f>
        <v>-2</v>
      </c>
      <c r="H19" s="12">
        <f>MIN(H15-H16, H17-H16)*H18</f>
        <v>3</v>
      </c>
      <c r="I19" s="12">
        <f>MIN(I15-I16, I17-I16)*I18</f>
        <v>4</v>
      </c>
      <c r="J19" s="12">
        <f>MIN(J15-J16, J17-J16)*J18</f>
        <v>-4</v>
      </c>
      <c r="K19" s="12">
        <f>MIN(K15-K16, K17-K16)*K18</f>
        <v>-1</v>
      </c>
      <c r="L19" s="12">
        <f>MIN(L15-L16, L17-L16)*L18</f>
        <v>2</v>
      </c>
    </row>
    <row r="20" spans="2:12" x14ac:dyDescent="0.25">
      <c r="H20" s="11"/>
      <c r="I20" s="11"/>
      <c r="J20" s="11"/>
      <c r="K20" s="11"/>
      <c r="L20" s="11"/>
    </row>
    <row r="21" spans="2:12" outlineLevel="1" x14ac:dyDescent="0.25">
      <c r="B21" s="17" t="s">
        <v>106</v>
      </c>
      <c r="C21" s="29">
        <v>4</v>
      </c>
      <c r="D21" s="29">
        <v>4</v>
      </c>
      <c r="E21" s="29">
        <v>4</v>
      </c>
      <c r="F21" s="29">
        <v>4</v>
      </c>
      <c r="G21" s="1"/>
      <c r="H21" s="28">
        <f>'Walkability User Interface'!D10</f>
        <v>3</v>
      </c>
      <c r="I21" s="28">
        <f>'Walkability User Interface'!E10</f>
        <v>5</v>
      </c>
      <c r="J21" s="29">
        <v>4</v>
      </c>
      <c r="K21" s="29">
        <v>4</v>
      </c>
      <c r="L21" s="29">
        <v>4</v>
      </c>
    </row>
    <row r="22" spans="2:12" outlineLevel="1" x14ac:dyDescent="0.25">
      <c r="B22" s="4" t="s">
        <v>99</v>
      </c>
      <c r="C22" s="11">
        <v>2</v>
      </c>
      <c r="D22" s="11">
        <v>3</v>
      </c>
      <c r="E22" s="11">
        <v>3</v>
      </c>
      <c r="F22" s="11">
        <v>3</v>
      </c>
      <c r="H22" s="30">
        <f t="shared" ref="H22:I24" si="4">IF("Industrial"=$B$2, $C22, IF("Suburban"=$B$2,  $D22, IF("Urban"=$B$2,  $E22, IF("Urban+"=$B$2,  $F22, 0))))</f>
        <v>3</v>
      </c>
      <c r="I22" s="30">
        <f t="shared" si="4"/>
        <v>3</v>
      </c>
      <c r="J22" s="11">
        <f>IF("Industrial"=$B$2, C22, IF("Suburban"=$B$2,  D22, IF("Urban"=$B$2,  E22, IF("Urban+"=$B$2,  F22, 0))))</f>
        <v>3</v>
      </c>
      <c r="K22" s="11">
        <f>IF("Industrial"=$B$2, C22, IF("Suburban"=$B$2,  D22, IF("Urban"=$B$2,  E22, IF("Urban+"=$B$2,  F22, 0))))</f>
        <v>3</v>
      </c>
      <c r="L22" s="11">
        <f>IF("Industrial"=$B$2, C22, IF("Suburban"=$B$2,  D22, IF("Urban"=$B$2,  E22, IF("Urban+"=$B$2,  F22, 0))))</f>
        <v>3</v>
      </c>
    </row>
    <row r="23" spans="2:12" outlineLevel="1" x14ac:dyDescent="0.25">
      <c r="B23" s="4" t="s">
        <v>100</v>
      </c>
      <c r="C23" s="11">
        <v>3</v>
      </c>
      <c r="D23" s="11">
        <v>4</v>
      </c>
      <c r="E23" s="11">
        <v>4</v>
      </c>
      <c r="F23" s="11">
        <v>4</v>
      </c>
      <c r="H23" s="30">
        <f t="shared" si="4"/>
        <v>4</v>
      </c>
      <c r="I23" s="30">
        <f t="shared" si="4"/>
        <v>4</v>
      </c>
      <c r="J23" s="11">
        <f>IF("Industrial"=$B$2, C23, IF("Suburban"=$B$2,  D23, IF("Urban"=$B$2,  E23, IF("Urban+"=$B$2,  F23, 0))))</f>
        <v>4</v>
      </c>
      <c r="K23" s="11">
        <f>IF("Industrial"=$B$2, C23, IF("Suburban"=$B$2,  D23, IF("Urban"=$B$2,  E23, IF("Urban+"=$B$2,  F23, 0))))</f>
        <v>4</v>
      </c>
      <c r="L23" s="11">
        <f>IF("Industrial"=$B$2, C23, IF("Suburban"=$B$2,  D23, IF("Urban"=$B$2,  E23, IF("Urban+"=$B$2,  F23, 0))))</f>
        <v>4</v>
      </c>
    </row>
    <row r="24" spans="2:12" outlineLevel="1" x14ac:dyDescent="0.25">
      <c r="B24" s="4" t="s">
        <v>101</v>
      </c>
      <c r="C24" s="11">
        <v>1</v>
      </c>
      <c r="D24" s="11">
        <v>1</v>
      </c>
      <c r="E24" s="11">
        <v>2</v>
      </c>
      <c r="F24" s="11">
        <v>3</v>
      </c>
      <c r="H24" s="30">
        <f t="shared" si="4"/>
        <v>2</v>
      </c>
      <c r="I24" s="30">
        <f t="shared" si="4"/>
        <v>2</v>
      </c>
      <c r="J24" s="11">
        <f>IF("Industrial"=$B$2, C24, IF("Suburban"=$B$2,  D24, IF("Urban"=$B$2,  E24, IF("Urban+"=$B$2,  F24, 0))))</f>
        <v>2</v>
      </c>
      <c r="K24" s="11">
        <f>IF("Industrial"=$B$2, C24, IF("Suburban"=$B$2,  D24, IF("Urban"=$B$2,  E24, IF("Urban+"=$B$2,  F24, 0))))</f>
        <v>2</v>
      </c>
      <c r="L24" s="11">
        <f>IF("Industrial"=$B$2, C24, IF("Suburban"=$B$2,  D24, IF("Urban"=$B$2,  E24, IF("Urban+"=$B$2,  F24, 0))))</f>
        <v>2</v>
      </c>
    </row>
    <row r="25" spans="2:12" outlineLevel="1" x14ac:dyDescent="0.25">
      <c r="B25" s="7" t="s">
        <v>102</v>
      </c>
      <c r="C25" s="12">
        <f>MIN(C21-C22)*C24</f>
        <v>2</v>
      </c>
      <c r="D25" s="12">
        <f>MIN(D21-D22)*D24</f>
        <v>1</v>
      </c>
      <c r="E25" s="12">
        <f t="shared" ref="E25:F25" si="5">MIN(E21-E22)*E24</f>
        <v>2</v>
      </c>
      <c r="F25" s="12">
        <f t="shared" si="5"/>
        <v>3</v>
      </c>
      <c r="H25" s="12">
        <f>MIN(H21-H22, H23-H22)*H24</f>
        <v>0</v>
      </c>
      <c r="I25" s="12">
        <f>MIN(I21-I22, I23-I22)*I24</f>
        <v>2</v>
      </c>
      <c r="J25" s="12">
        <f>MIN(J21-J22, J23-J22)*J24</f>
        <v>2</v>
      </c>
      <c r="K25" s="12">
        <f>MIN(K21-K22, K23-K22)*K24</f>
        <v>2</v>
      </c>
      <c r="L25" s="12">
        <f>MIN(L21-L22, L23-L22)*L24</f>
        <v>2</v>
      </c>
    </row>
    <row r="26" spans="2:12" outlineLevel="1" x14ac:dyDescent="0.25">
      <c r="H26" s="11"/>
      <c r="I26" s="11"/>
      <c r="J26" s="11"/>
      <c r="K26" s="11"/>
      <c r="L26" s="11"/>
    </row>
    <row r="27" spans="2:12" x14ac:dyDescent="0.25">
      <c r="B27" s="8" t="s">
        <v>109</v>
      </c>
      <c r="C27" s="14">
        <f>C21</f>
        <v>4</v>
      </c>
      <c r="D27" s="14">
        <f t="shared" ref="D27:F27" si="6">D21</f>
        <v>4</v>
      </c>
      <c r="E27" s="14">
        <f t="shared" si="6"/>
        <v>4</v>
      </c>
      <c r="F27" s="14">
        <f t="shared" si="6"/>
        <v>4</v>
      </c>
      <c r="G27" s="1"/>
      <c r="H27" s="28">
        <f>H21</f>
        <v>3</v>
      </c>
      <c r="I27" s="28">
        <f>I21</f>
        <v>5</v>
      </c>
      <c r="J27" s="14">
        <v>1</v>
      </c>
      <c r="K27" s="14">
        <v>3</v>
      </c>
      <c r="L27" s="14">
        <v>5</v>
      </c>
    </row>
    <row r="28" spans="2:12" ht="30" x14ac:dyDescent="0.25">
      <c r="B28" s="4" t="s">
        <v>104</v>
      </c>
      <c r="C28" s="11">
        <v>-1</v>
      </c>
      <c r="D28" s="11">
        <v>-2</v>
      </c>
      <c r="E28" s="11">
        <v>-3</v>
      </c>
      <c r="F28" s="11">
        <v>-3</v>
      </c>
      <c r="H28" s="30">
        <f t="shared" ref="H28:I32" si="7">IF("Industrial"=$B$2, $C28, IF("Suburban"=$B$2,  $D28, IF("Urban"=$B$2,  $E28, IF("Urban+"=$B$2,  $F28, 0))))</f>
        <v>-3</v>
      </c>
      <c r="I28" s="30">
        <f t="shared" si="7"/>
        <v>-3</v>
      </c>
      <c r="J28" s="11">
        <f>IF("Industrial"=$B$2, C28, IF("Suburban"=$B$2,  D28, IF("Urban"=$B$2,  E28, IF("Urban+"=$B$2,  F28, 0))))</f>
        <v>-3</v>
      </c>
      <c r="K28" s="11">
        <f>IF("Industrial"=$B$2, C28, IF("Suburban"=$B$2,  D28, IF("Urban"=$B$2,  E28, IF("Urban+"=$B$2,  F28, 0))))</f>
        <v>-3</v>
      </c>
      <c r="L28" s="11">
        <f>IF("Industrial"=$B$2, C28, IF("Suburban"=$B$2,  D28, IF("Urban"=$B$2,  E28, IF("Urban+"=$B$2,  F28, 0))))</f>
        <v>-3</v>
      </c>
    </row>
    <row r="29" spans="2:12" ht="30" x14ac:dyDescent="0.25">
      <c r="B29" s="4" t="s">
        <v>103</v>
      </c>
      <c r="C29" s="11">
        <v>0</v>
      </c>
      <c r="D29" s="11">
        <v>-1</v>
      </c>
      <c r="E29" s="11">
        <v>-2</v>
      </c>
      <c r="F29" s="11">
        <v>-3</v>
      </c>
      <c r="H29" s="30">
        <f t="shared" si="7"/>
        <v>-2</v>
      </c>
      <c r="I29" s="30">
        <f t="shared" si="7"/>
        <v>-2</v>
      </c>
      <c r="J29" s="11">
        <f>IF("Industrial"=$B$2, C29, IF("Suburban"=$B$2,  D29, IF("Urban"=$B$2,  E29, IF("Urban+"=$B$2,  F29, 0))))</f>
        <v>-2</v>
      </c>
      <c r="K29" s="11">
        <f>IF("Industrial"=$B$2, C29, IF("Suburban"=$B$2,  D29, IF("Urban"=$B$2,  E29, IF("Urban+"=$B$2,  F29, 0))))</f>
        <v>-2</v>
      </c>
      <c r="L29" s="11">
        <f>IF("Industrial"=$B$2, C29, IF("Suburban"=$B$2,  D29, IF("Urban"=$B$2,  E29, IF("Urban+"=$B$2,  F29, 0))))</f>
        <v>-2</v>
      </c>
    </row>
    <row r="30" spans="2:12" ht="30" x14ac:dyDescent="0.25">
      <c r="B30" s="4" t="s">
        <v>98</v>
      </c>
      <c r="C30" s="11">
        <v>1</v>
      </c>
      <c r="D30" s="11">
        <v>0</v>
      </c>
      <c r="E30" s="11">
        <v>0</v>
      </c>
      <c r="F30" s="11">
        <v>0</v>
      </c>
      <c r="H30" s="30">
        <f t="shared" si="7"/>
        <v>0</v>
      </c>
      <c r="I30" s="30">
        <f t="shared" si="7"/>
        <v>0</v>
      </c>
      <c r="J30" s="11">
        <f>IF("Industrial"=$B$2, C30, IF("Suburban"=$B$2,  D30, IF("Urban"=$B$2,  E30, IF("Urban+"=$B$2,  F30, 0))))</f>
        <v>0</v>
      </c>
      <c r="K30" s="11">
        <f>IF("Industrial"=$B$2, C30, IF("Suburban"=$B$2,  D30, IF("Urban"=$B$2,  E30, IF("Urban+"=$B$2,  F30, 0))))</f>
        <v>0</v>
      </c>
      <c r="L30" s="11">
        <f>IF("Industrial"=$B$2, C30, IF("Suburban"=$B$2,  D30, IF("Urban"=$B$2,  E30, IF("Urban+"=$B$2,  F30, 0))))</f>
        <v>0</v>
      </c>
    </row>
    <row r="31" spans="2:12" x14ac:dyDescent="0.25">
      <c r="B31" s="4" t="s">
        <v>96</v>
      </c>
      <c r="C31" s="11">
        <v>2</v>
      </c>
      <c r="D31" s="11">
        <v>1</v>
      </c>
      <c r="E31" s="11">
        <v>2</v>
      </c>
      <c r="F31" s="11">
        <v>3</v>
      </c>
      <c r="H31" s="30">
        <f t="shared" si="7"/>
        <v>2</v>
      </c>
      <c r="I31" s="30">
        <f t="shared" si="7"/>
        <v>2</v>
      </c>
      <c r="J31" s="11">
        <f>IF("Industrial"=$B$2, C31, IF("Suburban"=$B$2,  D31, IF("Urban"=$B$2,  E31, IF("Urban+"=$B$2,  F31, 0))))</f>
        <v>2</v>
      </c>
      <c r="K31" s="11">
        <f>IF("Industrial"=$B$2, C31, IF("Suburban"=$B$2,  D31, IF("Urban"=$B$2,  E31, IF("Urban+"=$B$2,  F31, 0))))</f>
        <v>2</v>
      </c>
      <c r="L31" s="11">
        <f>IF("Industrial"=$B$2, C31, IF("Suburban"=$B$2,  D31, IF("Urban"=$B$2,  E31, IF("Urban+"=$B$2,  F31, 0))))</f>
        <v>2</v>
      </c>
    </row>
    <row r="32" spans="2:12" ht="30" x14ac:dyDescent="0.25">
      <c r="B32" s="4" t="s">
        <v>97</v>
      </c>
      <c r="C32" s="11">
        <v>3</v>
      </c>
      <c r="D32" s="11">
        <v>2</v>
      </c>
      <c r="E32" s="11">
        <v>4</v>
      </c>
      <c r="F32" s="11">
        <v>6</v>
      </c>
      <c r="H32" s="30">
        <f t="shared" si="7"/>
        <v>4</v>
      </c>
      <c r="I32" s="30">
        <f t="shared" si="7"/>
        <v>4</v>
      </c>
      <c r="J32" s="11">
        <f>IF("Industrial"=$B$2, C32, IF("Suburban"=$B$2,  D32, IF("Urban"=$B$2,  E32, IF("Urban+"=$B$2,  F32, 0))))</f>
        <v>4</v>
      </c>
      <c r="K32" s="11">
        <f>IF("Industrial"=$B$2, C32, IF("Suburban"=$B$2,  D32, IF("Urban"=$B$2,  E32, IF("Urban+"=$B$2,  F32, 0))))</f>
        <v>4</v>
      </c>
      <c r="L32" s="11">
        <f>IF("Industrial"=$B$2, C32, IF("Suburban"=$B$2,  D32, IF("Urban"=$B$2,  E32, IF("Urban+"=$B$2,  F32, 0))))</f>
        <v>4</v>
      </c>
    </row>
    <row r="33" spans="2:14" x14ac:dyDescent="0.25">
      <c r="B33" s="7" t="s">
        <v>14</v>
      </c>
      <c r="C33" s="12">
        <f>IF(C27=1, C28,IF(C27=2, C29,IF(C27=3, C30, IF(C27=4, C31, IF(C27=5, C32, 0)))))</f>
        <v>2</v>
      </c>
      <c r="D33" s="12">
        <f t="shared" ref="D33:F33" si="8">IF(D27=1, D28,IF(D27=2, D29,IF(D27=3, D30, IF(D27=4, D31, IF(D27=5, D32, 0)))))</f>
        <v>1</v>
      </c>
      <c r="E33" s="12">
        <f>IF(E27=1, E28,IF(E27=2, E29,IF(E27=3, E30, IF(E27=4, E31, IF(E27=5, E32, 0)))))</f>
        <v>2</v>
      </c>
      <c r="F33" s="12">
        <f t="shared" si="8"/>
        <v>3</v>
      </c>
      <c r="H33" s="12">
        <f>IF(H27=1, H28,IF(H27=2, H29,IF(H27=3, H30, IF(H27=4, H31, IF(H27=5, H32, 0)))))</f>
        <v>0</v>
      </c>
      <c r="I33" s="12">
        <f>IF(I27=1, I28,IF(I27=2, I29,IF(I27=3, I30, IF(I27=4, I31, IF(I27=5, I32, 0)))))</f>
        <v>4</v>
      </c>
      <c r="J33" s="12">
        <f t="shared" ref="J33:L33" si="9">IF(J27=1, J28,IF(J27=2, J29,IF(J27=3, J30, IF(J27=4, J31, IF(J27=5, J32, 0)))))</f>
        <v>-3</v>
      </c>
      <c r="K33" s="12">
        <f t="shared" ref="K33" si="10">IF(K27=1, K28,IF(K27=2, K29,IF(K27=3, K30, IF(K27=4, K31, IF(K27=5, K32, 0)))))</f>
        <v>0</v>
      </c>
      <c r="L33" s="12">
        <f t="shared" si="9"/>
        <v>4</v>
      </c>
    </row>
    <row r="34" spans="2:14" outlineLevel="1" x14ac:dyDescent="0.25">
      <c r="H34" s="11"/>
      <c r="I34" s="11"/>
      <c r="J34" s="11"/>
      <c r="K34" s="11"/>
      <c r="L34" s="11"/>
    </row>
    <row r="35" spans="2:14" outlineLevel="1" x14ac:dyDescent="0.25">
      <c r="B35" s="17" t="s">
        <v>107</v>
      </c>
      <c r="C35" s="29">
        <v>4</v>
      </c>
      <c r="D35" s="29">
        <v>4</v>
      </c>
      <c r="E35" s="29">
        <v>4</v>
      </c>
      <c r="F35" s="29">
        <v>4</v>
      </c>
      <c r="G35" s="1"/>
      <c r="H35" s="28">
        <f>'Walkability User Interface'!D11</f>
        <v>3</v>
      </c>
      <c r="I35" s="28">
        <f>'Walkability User Interface'!E11</f>
        <v>4</v>
      </c>
      <c r="J35" s="29">
        <v>4</v>
      </c>
      <c r="K35" s="29">
        <v>4</v>
      </c>
      <c r="L35" s="29">
        <v>4</v>
      </c>
    </row>
    <row r="36" spans="2:14" outlineLevel="1" x14ac:dyDescent="0.25">
      <c r="B36" s="4" t="s">
        <v>37</v>
      </c>
      <c r="C36" s="11">
        <v>2</v>
      </c>
      <c r="D36" s="11">
        <v>2</v>
      </c>
      <c r="E36" s="11">
        <v>3</v>
      </c>
      <c r="F36" s="11">
        <v>4</v>
      </c>
      <c r="H36" s="30">
        <f t="shared" ref="H36:I38" si="11">IF("Industrial"=$B$2, $C36, IF("Suburban"=$B$2,  $D36, IF("Urban"=$B$2,  $E36, IF("Urban+"=$B$2,  $F36, 0))))</f>
        <v>3</v>
      </c>
      <c r="I36" s="30">
        <f t="shared" si="11"/>
        <v>3</v>
      </c>
      <c r="J36" s="11">
        <f>IF("Industrial"=$B$2, C36, IF("Suburban"=$B$2,  D36, IF("Urban"=$B$2,  E36, IF("Urban+"=$B$2,  F36, 0))))</f>
        <v>3</v>
      </c>
      <c r="K36" s="11">
        <f>IF("Industrial"=$B$2, C36, IF("Suburban"=$B$2,  D36, IF("Urban"=$B$2,  E36, IF("Urban+"=$B$2,  F36, 0))))</f>
        <v>3</v>
      </c>
      <c r="L36" s="11">
        <f>IF("Industrial"=$B$2, C36, IF("Suburban"=$B$2,  D36, IF("Urban"=$B$2,  E36, IF("Urban+"=$B$2,  F36, 0))))</f>
        <v>3</v>
      </c>
    </row>
    <row r="37" spans="2:14" outlineLevel="1" x14ac:dyDescent="0.25">
      <c r="B37" s="4" t="s">
        <v>39</v>
      </c>
      <c r="C37" s="11">
        <v>3</v>
      </c>
      <c r="D37" s="11">
        <v>3</v>
      </c>
      <c r="E37" s="11">
        <v>4</v>
      </c>
      <c r="F37" s="11">
        <v>4</v>
      </c>
      <c r="H37" s="30">
        <f t="shared" si="11"/>
        <v>4</v>
      </c>
      <c r="I37" s="30">
        <f t="shared" si="11"/>
        <v>4</v>
      </c>
      <c r="J37" s="11">
        <f>IF("Industrial"=$B$2, C37, IF("Suburban"=$B$2,  D37, IF("Urban"=$B$2,  E37, IF("Urban+"=$B$2,  F37, 0))))</f>
        <v>4</v>
      </c>
      <c r="K37" s="11">
        <f>IF("Industrial"=$B$2, C37, IF("Suburban"=$B$2,  D37, IF("Urban"=$B$2,  E37, IF("Urban+"=$B$2,  F37, 0))))</f>
        <v>4</v>
      </c>
      <c r="L37" s="11">
        <f>IF("Industrial"=$B$2, C37, IF("Suburban"=$B$2,  D37, IF("Urban"=$B$2,  E37, IF("Urban+"=$B$2,  F37, 0))))</f>
        <v>4</v>
      </c>
    </row>
    <row r="38" spans="2:14" outlineLevel="1" x14ac:dyDescent="0.25">
      <c r="B38" s="4" t="s">
        <v>40</v>
      </c>
      <c r="C38" s="11">
        <v>1</v>
      </c>
      <c r="D38" s="11">
        <v>1</v>
      </c>
      <c r="E38" s="11">
        <v>1</v>
      </c>
      <c r="F38" s="11">
        <v>1</v>
      </c>
      <c r="H38" s="30">
        <f t="shared" si="11"/>
        <v>1</v>
      </c>
      <c r="I38" s="30">
        <f t="shared" si="11"/>
        <v>1</v>
      </c>
      <c r="J38" s="11">
        <f>IF("Industrial"=$B$2, C38, IF("Suburban"=$B$2,  D38, IF("Urban"=$B$2,  E38, IF("Urban+"=$B$2,  F38, 0))))</f>
        <v>1</v>
      </c>
      <c r="K38" s="11">
        <f>IF("Industrial"=$B$2, C38, IF("Suburban"=$B$2,  D38, IF("Urban"=$B$2,  E38, IF("Urban+"=$B$2,  F38, 0))))</f>
        <v>1</v>
      </c>
      <c r="L38" s="11">
        <f>IF("Industrial"=$B$2, C38, IF("Suburban"=$B$2,  D38, IF("Urban"=$B$2,  E38, IF("Urban+"=$B$2,  F38, 0))))</f>
        <v>1</v>
      </c>
    </row>
    <row r="39" spans="2:14" outlineLevel="1" x14ac:dyDescent="0.25">
      <c r="B39" s="7" t="s">
        <v>41</v>
      </c>
      <c r="C39" s="12">
        <f t="shared" ref="C39:D39" si="12">MIN(C35-C36)*C38</f>
        <v>2</v>
      </c>
      <c r="D39" s="12">
        <f t="shared" si="12"/>
        <v>2</v>
      </c>
      <c r="E39" s="12">
        <f>MIN(E35-E36)*E38</f>
        <v>1</v>
      </c>
      <c r="F39" s="12">
        <f t="shared" ref="F39" si="13">MIN(F35-F36)*F38</f>
        <v>0</v>
      </c>
      <c r="H39" s="12">
        <f>MIN(H35-H36, H37-H36)*H38</f>
        <v>0</v>
      </c>
      <c r="I39" s="12">
        <f>MIN(I35-I36, I37-I36)*I38</f>
        <v>1</v>
      </c>
      <c r="J39" s="12">
        <f>MIN(J35-J36, J37-J36)*J38</f>
        <v>1</v>
      </c>
      <c r="K39" s="12">
        <f>MIN(K35-K36, K37-K36)*K38</f>
        <v>1</v>
      </c>
      <c r="L39" s="12">
        <f>MIN(L35-L36, L37-L36)*L38</f>
        <v>1</v>
      </c>
    </row>
    <row r="40" spans="2:14" x14ac:dyDescent="0.25">
      <c r="H40" s="11"/>
      <c r="I40" s="11"/>
      <c r="J40" s="11"/>
      <c r="K40" s="11"/>
      <c r="L40" s="11"/>
    </row>
    <row r="41" spans="2:14" x14ac:dyDescent="0.25">
      <c r="B41" s="8" t="s">
        <v>108</v>
      </c>
      <c r="C41" s="14">
        <v>4</v>
      </c>
      <c r="D41" s="14">
        <v>4</v>
      </c>
      <c r="E41" s="14">
        <v>4</v>
      </c>
      <c r="F41" s="14">
        <v>4</v>
      </c>
      <c r="G41" s="1"/>
      <c r="H41" s="28">
        <f>H35</f>
        <v>3</v>
      </c>
      <c r="I41" s="28">
        <f>I35</f>
        <v>4</v>
      </c>
      <c r="J41" s="14">
        <v>2</v>
      </c>
      <c r="K41" s="14">
        <v>3</v>
      </c>
      <c r="L41" s="14">
        <v>4</v>
      </c>
    </row>
    <row r="42" spans="2:14" x14ac:dyDescent="0.25">
      <c r="B42" s="4" t="s">
        <v>110</v>
      </c>
      <c r="C42" s="11">
        <v>-1</v>
      </c>
      <c r="D42" s="11">
        <v>-1</v>
      </c>
      <c r="E42" s="11">
        <v>-2</v>
      </c>
      <c r="F42" s="11">
        <v>-3</v>
      </c>
      <c r="H42" s="30">
        <f t="shared" ref="H42:I45" si="14">IF("Industrial"=$B$2, $C42, IF("Suburban"=$B$2,  $D42, IF("Urban"=$B$2,  $E42, IF("Urban+"=$B$2,  $F42, 0))))</f>
        <v>-2</v>
      </c>
      <c r="I42" s="30">
        <f t="shared" si="14"/>
        <v>-2</v>
      </c>
      <c r="J42" s="11">
        <f>IF("Industrial"=$B$2, C42, IF("Suburban"=$B$2,  D42, IF("Urban"=$B$2,  E42, IF("Urban+"=$B$2,  F42, 0))))</f>
        <v>-2</v>
      </c>
      <c r="K42" s="11">
        <f>IF("Industrial"=$B$2, C42, IF("Suburban"=$B$2,  D42, IF("Urban"=$B$2,  E42, IF("Urban+"=$B$2,  F42, 0))))</f>
        <v>-2</v>
      </c>
      <c r="L42" s="11">
        <f>IF("Industrial"=$B$2, C42, IF("Suburban"=$B$2,  D42, IF("Urban"=$B$2,  E42, IF("Urban+"=$B$2,  F42, 0))))</f>
        <v>-2</v>
      </c>
      <c r="N42" t="s">
        <v>38</v>
      </c>
    </row>
    <row r="43" spans="2:14" x14ac:dyDescent="0.25">
      <c r="B43" s="4" t="s">
        <v>111</v>
      </c>
      <c r="C43" s="11">
        <v>0</v>
      </c>
      <c r="D43" s="11">
        <v>0</v>
      </c>
      <c r="E43" s="11">
        <v>-1</v>
      </c>
      <c r="F43" s="11">
        <v>-2</v>
      </c>
      <c r="H43" s="30">
        <f t="shared" si="14"/>
        <v>-1</v>
      </c>
      <c r="I43" s="30">
        <f t="shared" si="14"/>
        <v>-1</v>
      </c>
      <c r="J43" s="11">
        <f>IF("Industrial"=$B$2, C43, IF("Suburban"=$B$2,  D43, IF("Urban"=$B$2,  E43, IF("Urban+"=$B$2,  F43, 0))))</f>
        <v>-1</v>
      </c>
      <c r="K43" s="11">
        <f>IF("Industrial"=$B$2, C43, IF("Suburban"=$B$2,  D43, IF("Urban"=$B$2,  E43, IF("Urban+"=$B$2,  F43, 0))))</f>
        <v>-1</v>
      </c>
      <c r="L43" s="11">
        <f>IF("Industrial"=$B$2, C43, IF("Suburban"=$B$2,  D43, IF("Urban"=$B$2,  E43, IF("Urban+"=$B$2,  F43, 0))))</f>
        <v>-1</v>
      </c>
    </row>
    <row r="44" spans="2:14" x14ac:dyDescent="0.25">
      <c r="B44" s="4" t="s">
        <v>112</v>
      </c>
      <c r="C44" s="11">
        <v>1</v>
      </c>
      <c r="D44" s="11">
        <v>1</v>
      </c>
      <c r="E44" s="11">
        <v>0</v>
      </c>
      <c r="F44" s="11">
        <v>-1</v>
      </c>
      <c r="H44" s="30">
        <f t="shared" si="14"/>
        <v>0</v>
      </c>
      <c r="I44" s="30">
        <f t="shared" si="14"/>
        <v>0</v>
      </c>
      <c r="J44" s="11">
        <f>IF("Industrial"=$B$2, C44, IF("Suburban"=$B$2,  D44, IF("Urban"=$B$2,  E44, IF("Urban+"=$B$2,  F44, 0))))</f>
        <v>0</v>
      </c>
      <c r="K44" s="11">
        <f>IF("Industrial"=$B$2, C44, IF("Suburban"=$B$2,  D44, IF("Urban"=$B$2,  E44, IF("Urban+"=$B$2,  F44, 0))))</f>
        <v>0</v>
      </c>
      <c r="L44" s="11">
        <f>IF("Industrial"=$B$2, C44, IF("Suburban"=$B$2,  D44, IF("Urban"=$B$2,  E44, IF("Urban+"=$B$2,  F44, 0))))</f>
        <v>0</v>
      </c>
    </row>
    <row r="45" spans="2:14" ht="30" x14ac:dyDescent="0.25">
      <c r="B45" s="4" t="s">
        <v>113</v>
      </c>
      <c r="C45" s="11">
        <v>2</v>
      </c>
      <c r="D45" s="11">
        <v>2</v>
      </c>
      <c r="E45" s="11">
        <v>1</v>
      </c>
      <c r="F45" s="11">
        <v>0</v>
      </c>
      <c r="H45" s="30">
        <f t="shared" si="14"/>
        <v>1</v>
      </c>
      <c r="I45" s="30">
        <f t="shared" si="14"/>
        <v>1</v>
      </c>
      <c r="J45" s="11">
        <f>IF("Industrial"=$B$2, C45, IF("Suburban"=$B$2,  D45, IF("Urban"=$B$2,  E45, IF("Urban+"=$B$2,  F45, 0))))</f>
        <v>1</v>
      </c>
      <c r="K45" s="11">
        <f>IF("Industrial"=$B$2, C45, IF("Suburban"=$B$2,  D45, IF("Urban"=$B$2,  E45, IF("Urban+"=$B$2,  F45, 0))))</f>
        <v>1</v>
      </c>
      <c r="L45" s="11">
        <f>IF("Industrial"=$B$2, C45, IF("Suburban"=$B$2,  D45, IF("Urban"=$B$2,  E45, IF("Urban+"=$B$2,  F45, 0))))</f>
        <v>1</v>
      </c>
    </row>
    <row r="46" spans="2:14" x14ac:dyDescent="0.25">
      <c r="B46" s="7" t="s">
        <v>41</v>
      </c>
      <c r="C46" s="12">
        <f>IF( C41=1, C42,IF(C41=2, C43, IF(C41=3, C44, IF(C41=4, C45, 0))))</f>
        <v>2</v>
      </c>
      <c r="D46" s="12">
        <f t="shared" ref="D46:F46" si="15">IF( D41=1, D42,IF(D41=2, D43, IF(D41=3, D44, IF(D41=4, D45, 0))))</f>
        <v>2</v>
      </c>
      <c r="E46" s="12">
        <f t="shared" si="15"/>
        <v>1</v>
      </c>
      <c r="F46" s="12">
        <f t="shared" si="15"/>
        <v>0</v>
      </c>
      <c r="H46" s="12">
        <f>IF( H41=1, H42,IF(H41=2, H43, IF(H41=3, H44, IF(H41=4, H45, 0))))</f>
        <v>0</v>
      </c>
      <c r="I46" s="12">
        <f>IF( I41=1, I42,IF(I41=2, I43, IF(I41=3, I44, IF(I41=4, I45, 0))))</f>
        <v>1</v>
      </c>
      <c r="J46" s="12">
        <f t="shared" ref="J46:L46" si="16">IF( J41=1, J42,IF(J41=2, J43, IF(J41=3, J44, IF(J41=4, J45, 0))))</f>
        <v>-1</v>
      </c>
      <c r="K46" s="12">
        <f t="shared" ref="K46" si="17">IF( K41=1, K42,IF(K41=2, K43, IF(K41=3, K44, IF(K41=4, K45, 0))))</f>
        <v>0</v>
      </c>
      <c r="L46" s="12">
        <f t="shared" si="16"/>
        <v>1</v>
      </c>
    </row>
    <row r="47" spans="2:14" x14ac:dyDescent="0.25">
      <c r="H47" s="11"/>
      <c r="I47" s="11"/>
      <c r="J47" s="11"/>
      <c r="K47" s="11"/>
      <c r="L47" s="11"/>
    </row>
    <row r="48" spans="2:14" x14ac:dyDescent="0.25">
      <c r="B48" s="8" t="s">
        <v>22</v>
      </c>
      <c r="C48" s="14">
        <v>12</v>
      </c>
      <c r="D48" s="14">
        <v>11</v>
      </c>
      <c r="E48" s="14">
        <v>10</v>
      </c>
      <c r="F48" s="14">
        <v>11</v>
      </c>
      <c r="G48" s="1"/>
      <c r="H48" s="28">
        <f>'Walkability User Interface'!D12</f>
        <v>12</v>
      </c>
      <c r="I48" s="28">
        <f>'Walkability User Interface'!E12</f>
        <v>10</v>
      </c>
      <c r="J48" s="14">
        <v>12</v>
      </c>
      <c r="K48" s="14">
        <v>11</v>
      </c>
      <c r="L48" s="14">
        <v>10</v>
      </c>
    </row>
    <row r="49" spans="2:12" x14ac:dyDescent="0.25">
      <c r="B49" s="4" t="s">
        <v>25</v>
      </c>
      <c r="C49" s="11">
        <v>12</v>
      </c>
      <c r="D49" s="11">
        <v>12</v>
      </c>
      <c r="E49" s="11">
        <v>11</v>
      </c>
      <c r="F49" s="11">
        <v>10</v>
      </c>
      <c r="H49" s="30">
        <f t="shared" ref="H49:I51" si="18">IF("Industrial"=$B$2, $C49, IF("Suburban"=$B$2,  $D49, IF("Urban"=$B$2,  $E49, IF("Urban+"=$B$2,  $F49, 0))))</f>
        <v>11</v>
      </c>
      <c r="I49" s="30">
        <f t="shared" si="18"/>
        <v>11</v>
      </c>
      <c r="J49" s="11">
        <f>IF("Industrial"=$B$2, C49, IF("Suburban"=$B$2,  D49, IF("Urban"=$B$2,  E49, IF("Urban+"=$B$2,  F49, 0))))</f>
        <v>11</v>
      </c>
      <c r="K49" s="11">
        <f>IF("Industrial"=$B$2, C49, IF("Suburban"=$B$2,  D49, IF("Urban"=$B$2,  E49, IF("Urban+"=$B$2,  F49, 0))))</f>
        <v>11</v>
      </c>
      <c r="L49" s="11">
        <f>IF("Industrial"=$B$2, C49, IF("Suburban"=$B$2,  D49, IF("Urban"=$B$2,  E49, IF("Urban+"=$B$2,  F49, 0))))</f>
        <v>11</v>
      </c>
    </row>
    <row r="50" spans="2:12" x14ac:dyDescent="0.25">
      <c r="B50" s="4" t="s">
        <v>21</v>
      </c>
      <c r="C50" s="11">
        <v>12</v>
      </c>
      <c r="D50" s="11">
        <v>11</v>
      </c>
      <c r="E50" s="11">
        <v>10</v>
      </c>
      <c r="F50" s="11">
        <v>10</v>
      </c>
      <c r="H50" s="30">
        <f t="shared" si="18"/>
        <v>10</v>
      </c>
      <c r="I50" s="30">
        <f t="shared" si="18"/>
        <v>10</v>
      </c>
      <c r="J50" s="11">
        <f>IF("Industrial"=$B$2, C50, IF("Suburban"=$B$2,  D50, IF("Urban"=$B$2,  E50, IF("Urban+"=$B$2,  F50, 0))))</f>
        <v>10</v>
      </c>
      <c r="K50" s="11">
        <f>IF("Industrial"=$B$2, C50, IF("Suburban"=$B$2,  D50, IF("Urban"=$B$2,  E50, IF("Urban+"=$B$2,  F50, 0))))</f>
        <v>10</v>
      </c>
      <c r="L50" s="11">
        <f>IF("Industrial"=$B$2, C50, IF("Suburban"=$B$2,  D50, IF("Urban"=$B$2,  E50, IF("Urban+"=$B$2,  F50, 0))))</f>
        <v>10</v>
      </c>
    </row>
    <row r="51" spans="2:12" x14ac:dyDescent="0.25">
      <c r="B51" s="4" t="s">
        <v>23</v>
      </c>
      <c r="C51" s="11">
        <v>1</v>
      </c>
      <c r="D51" s="11">
        <v>1</v>
      </c>
      <c r="E51" s="11">
        <v>2</v>
      </c>
      <c r="F51" s="11">
        <v>3</v>
      </c>
      <c r="H51" s="30">
        <f t="shared" si="18"/>
        <v>2</v>
      </c>
      <c r="I51" s="30">
        <f t="shared" si="18"/>
        <v>2</v>
      </c>
      <c r="J51" s="11">
        <f>IF("Industrial"=$B$2, C51, IF("Suburban"=$B$2,  D51, IF("Urban"=$B$2,  E51, IF("Urban+"=$B$2,  F51, 0))))</f>
        <v>2</v>
      </c>
      <c r="K51" s="11">
        <f>IF("Industrial"=$B$2, C51, IF("Suburban"=$B$2,  D51, IF("Urban"=$B$2,  E51, IF("Urban+"=$B$2,  F51, 0))))</f>
        <v>2</v>
      </c>
      <c r="L51" s="11">
        <f>IF("Industrial"=$B$2, C51, IF("Suburban"=$B$2,  D51, IF("Urban"=$B$2,  E51, IF("Urban+"=$B$2,  F51, 0))))</f>
        <v>2</v>
      </c>
    </row>
    <row r="52" spans="2:12" x14ac:dyDescent="0.25">
      <c r="B52" s="7" t="s">
        <v>24</v>
      </c>
      <c r="C52" s="12">
        <f>MIN(C49-C48, C49-C50)*C51</f>
        <v>0</v>
      </c>
      <c r="D52" s="12">
        <f>MIN(D49-D48, D49-D50)*D51</f>
        <v>1</v>
      </c>
      <c r="E52" s="12">
        <f>MIN(E49-E48, E49-E50)*E51</f>
        <v>2</v>
      </c>
      <c r="F52" s="12">
        <f>MIN(F49-F48, F49-F50)*F51</f>
        <v>-3</v>
      </c>
      <c r="H52" s="12">
        <f>MIN(H49-H48, H49-H50)*H51</f>
        <v>-2</v>
      </c>
      <c r="I52" s="12">
        <f>MIN(I49-I48, I49-I50)*I51</f>
        <v>2</v>
      </c>
      <c r="J52" s="12">
        <f>MIN(J49-J48, J49-J50)*J51</f>
        <v>-2</v>
      </c>
      <c r="K52" s="12">
        <f>MIN(K49-K48, K49-K50)*K51</f>
        <v>0</v>
      </c>
      <c r="L52" s="12">
        <f>MIN(L49-L48, L49-L50)*L51</f>
        <v>2</v>
      </c>
    </row>
    <row r="53" spans="2:12" x14ac:dyDescent="0.25">
      <c r="B53" s="5"/>
      <c r="C53" s="13"/>
      <c r="D53" s="13"/>
      <c r="E53" s="13"/>
      <c r="F53" s="13"/>
      <c r="H53" s="13"/>
      <c r="I53" s="13"/>
      <c r="J53" s="13"/>
      <c r="K53" s="13"/>
      <c r="L53" s="13"/>
    </row>
    <row r="54" spans="2:12" x14ac:dyDescent="0.25">
      <c r="B54" s="8" t="s">
        <v>27</v>
      </c>
      <c r="C54" s="14">
        <v>1</v>
      </c>
      <c r="D54" s="14">
        <v>1</v>
      </c>
      <c r="E54" s="14">
        <v>1</v>
      </c>
      <c r="F54" s="14">
        <v>2</v>
      </c>
      <c r="G54" s="1"/>
      <c r="H54" s="28">
        <f>'Walkability User Interface'!D13</f>
        <v>2</v>
      </c>
      <c r="I54" s="28">
        <f>'Walkability User Interface'!E13</f>
        <v>2</v>
      </c>
      <c r="J54" s="14">
        <v>2</v>
      </c>
      <c r="K54" s="14">
        <v>2</v>
      </c>
      <c r="L54" s="14">
        <v>2</v>
      </c>
    </row>
    <row r="55" spans="2:12" x14ac:dyDescent="0.25">
      <c r="B55" s="4" t="s">
        <v>26</v>
      </c>
      <c r="C55" s="11">
        <v>3</v>
      </c>
      <c r="D55" s="11">
        <v>3</v>
      </c>
      <c r="E55" s="11">
        <v>3</v>
      </c>
      <c r="F55" s="11">
        <v>3</v>
      </c>
      <c r="H55" s="30">
        <f t="shared" ref="H55:I57" si="19">IF("Industrial"=$B$2, $C55, IF("Suburban"=$B$2,  $D55, IF("Urban"=$B$2,  $E55, IF("Urban+"=$B$2,  $F55, 0))))</f>
        <v>3</v>
      </c>
      <c r="I55" s="30">
        <f t="shared" si="19"/>
        <v>3</v>
      </c>
      <c r="J55" s="11">
        <f>IF("Industrial"=$B$2, C55, IF("Suburban"=$B$2,  D55, IF("Urban"=$B$2,  E55, IF("Urban+"=$B$2,  F55, 0))))</f>
        <v>3</v>
      </c>
      <c r="K55" s="11">
        <f>IF("Industrial"=$B$2, C55, IF("Suburban"=$B$2,  D55, IF("Urban"=$B$2,  E55, IF("Urban+"=$B$2,  F55, 0))))</f>
        <v>3</v>
      </c>
      <c r="L55" s="11">
        <f>IF("Industrial"=$B$2, C55, IF("Suburban"=$B$2,  D55, IF("Urban"=$B$2,  E55, IF("Urban+"=$B$2,  F55, 0))))</f>
        <v>3</v>
      </c>
    </row>
    <row r="56" spans="2:12" x14ac:dyDescent="0.25">
      <c r="B56" s="4" t="s">
        <v>30</v>
      </c>
      <c r="C56" s="11">
        <v>2</v>
      </c>
      <c r="D56" s="11">
        <v>2</v>
      </c>
      <c r="E56" s="11">
        <v>2</v>
      </c>
      <c r="F56" s="11">
        <v>2</v>
      </c>
      <c r="H56" s="30">
        <f t="shared" si="19"/>
        <v>2</v>
      </c>
      <c r="I56" s="30">
        <f t="shared" si="19"/>
        <v>2</v>
      </c>
      <c r="J56" s="11">
        <f>IF("Industrial"=$B$2, C56, IF("Suburban"=$B$2,  D56, IF("Urban"=$B$2,  E56, IF("Urban+"=$B$2,  F56, 0))))</f>
        <v>2</v>
      </c>
      <c r="K56" s="11">
        <f>IF("Industrial"=$B$2, C56, IF("Suburban"=$B$2,  D56, IF("Urban"=$B$2,  E56, IF("Urban+"=$B$2,  F56, 0))))</f>
        <v>2</v>
      </c>
      <c r="L56" s="11">
        <f>IF("Industrial"=$B$2, C56, IF("Suburban"=$B$2,  D56, IF("Urban"=$B$2,  E56, IF("Urban+"=$B$2,  F56, 0))))</f>
        <v>2</v>
      </c>
    </row>
    <row r="57" spans="2:12" x14ac:dyDescent="0.25">
      <c r="B57" s="4" t="s">
        <v>28</v>
      </c>
      <c r="C57" s="11">
        <v>1</v>
      </c>
      <c r="D57" s="11">
        <v>1</v>
      </c>
      <c r="E57" s="11">
        <v>1</v>
      </c>
      <c r="F57" s="11">
        <v>1</v>
      </c>
      <c r="H57" s="30">
        <f t="shared" si="19"/>
        <v>1</v>
      </c>
      <c r="I57" s="30">
        <f t="shared" si="19"/>
        <v>1</v>
      </c>
      <c r="J57" s="11">
        <f>IF("Industrial"=$B$2, C57, IF("Suburban"=$B$2,  D57, IF("Urban"=$B$2,  E57, IF("Urban+"=$B$2,  F57, 0))))</f>
        <v>1</v>
      </c>
      <c r="K57" s="11">
        <f>IF("Industrial"=$B$2, C57, IF("Suburban"=$B$2,  D57, IF("Urban"=$B$2,  E57, IF("Urban+"=$B$2,  F57, 0))))</f>
        <v>1</v>
      </c>
      <c r="L57" s="11">
        <f>IF("Industrial"=$B$2, C57, IF("Suburban"=$B$2,  D57, IF("Urban"=$B$2,  E57, IF("Urban+"=$B$2,  F57, 0))))</f>
        <v>1</v>
      </c>
    </row>
    <row r="58" spans="2:12" x14ac:dyDescent="0.25">
      <c r="B58" s="7" t="s">
        <v>29</v>
      </c>
      <c r="C58" s="12">
        <f>MIN(C55-C54)*C57</f>
        <v>2</v>
      </c>
      <c r="D58" s="12">
        <f>MIN(D55-D54)*D57</f>
        <v>2</v>
      </c>
      <c r="E58" s="12">
        <f>MIN(E55-E54)*E57</f>
        <v>2</v>
      </c>
      <c r="F58" s="12">
        <f>MIN(F55-F54)*F57</f>
        <v>1</v>
      </c>
      <c r="H58" s="12">
        <f>MIN(H55-H54)*H57</f>
        <v>1</v>
      </c>
      <c r="I58" s="12">
        <f>MIN(I55-I54)*I57</f>
        <v>1</v>
      </c>
      <c r="J58" s="12">
        <f>MIN(J55-J54)*J57</f>
        <v>1</v>
      </c>
      <c r="K58" s="12">
        <f>MIN(K55-K54)*K57</f>
        <v>1</v>
      </c>
      <c r="L58" s="12">
        <f>MIN(L55-L54)*L57</f>
        <v>1</v>
      </c>
    </row>
    <row r="59" spans="2:12" outlineLevel="1" x14ac:dyDescent="0.25">
      <c r="B59" s="5"/>
      <c r="C59" s="13"/>
      <c r="D59" s="13"/>
      <c r="E59" s="13"/>
      <c r="F59" s="13"/>
      <c r="H59" s="13"/>
      <c r="I59" s="13"/>
      <c r="J59" s="13"/>
      <c r="K59" s="13"/>
      <c r="L59" s="13"/>
    </row>
    <row r="60" spans="2:12" outlineLevel="1" x14ac:dyDescent="0.25">
      <c r="B60" s="17" t="s">
        <v>49</v>
      </c>
      <c r="C60" s="18">
        <v>3</v>
      </c>
      <c r="D60" s="18">
        <v>3</v>
      </c>
      <c r="E60" s="18">
        <v>3</v>
      </c>
      <c r="F60" s="18">
        <v>3</v>
      </c>
      <c r="H60" s="18"/>
      <c r="I60" s="18"/>
      <c r="J60" s="18">
        <v>3</v>
      </c>
      <c r="K60" s="18">
        <v>3</v>
      </c>
      <c r="L60" s="18">
        <v>3</v>
      </c>
    </row>
    <row r="61" spans="2:12" outlineLevel="1" x14ac:dyDescent="0.25">
      <c r="B61" s="4" t="s">
        <v>50</v>
      </c>
      <c r="C61" s="11">
        <v>1</v>
      </c>
      <c r="D61" s="11">
        <v>2</v>
      </c>
      <c r="E61" s="11">
        <v>2</v>
      </c>
      <c r="F61" s="11">
        <v>2</v>
      </c>
      <c r="H61" s="30">
        <f t="shared" ref="H61:I63" si="20">IF("Industrial"=$B$2, $C61, IF("Suburban"=$B$2,  $D61, IF("Urban"=$B$2,  $E61, IF("Urban+"=$B$2,  $F61, 0))))</f>
        <v>2</v>
      </c>
      <c r="I61" s="30">
        <f t="shared" si="20"/>
        <v>2</v>
      </c>
      <c r="J61" s="11">
        <f>IF("Industrial"=$B$2, C61, IF("Suburban"=$B$2,  D61, IF("Urban"=$B$2,  E61, IF("Urban+"=$B$2,  F61, 0))))</f>
        <v>2</v>
      </c>
      <c r="K61" s="11">
        <f>IF("Industrial"=$B$2, C61, IF("Suburban"=$B$2,  D61, IF("Urban"=$B$2,  E61, IF("Urban+"=$B$2,  F61, 0))))</f>
        <v>2</v>
      </c>
      <c r="L61" s="11">
        <f>IF("Industrial"=$B$2, C61, IF("Suburban"=$B$2,  D61, IF("Urban"=$B$2,  E61, IF("Urban+"=$B$2,  F61, 0))))</f>
        <v>2</v>
      </c>
    </row>
    <row r="62" spans="2:12" outlineLevel="1" x14ac:dyDescent="0.25">
      <c r="B62" s="4" t="s">
        <v>51</v>
      </c>
      <c r="C62" s="11">
        <v>2</v>
      </c>
      <c r="D62" s="11">
        <v>3</v>
      </c>
      <c r="E62" s="11">
        <v>3</v>
      </c>
      <c r="F62" s="11">
        <v>3</v>
      </c>
      <c r="H62" s="30">
        <f t="shared" si="20"/>
        <v>3</v>
      </c>
      <c r="I62" s="30">
        <f t="shared" si="20"/>
        <v>3</v>
      </c>
      <c r="J62" s="11">
        <f>IF("Industrial"=$B$2, C62, IF("Suburban"=$B$2,  D62, IF("Urban"=$B$2,  E62, IF("Urban+"=$B$2,  F62, 0))))</f>
        <v>3</v>
      </c>
      <c r="K62" s="11">
        <f>IF("Industrial"=$B$2, C62, IF("Suburban"=$B$2,  D62, IF("Urban"=$B$2,  E62, IF("Urban+"=$B$2,  F62, 0))))</f>
        <v>3</v>
      </c>
      <c r="L62" s="11">
        <f>IF("Industrial"=$B$2, C62, IF("Suburban"=$B$2,  D62, IF("Urban"=$B$2,  E62, IF("Urban+"=$B$2,  F62, 0))))</f>
        <v>3</v>
      </c>
    </row>
    <row r="63" spans="2:12" outlineLevel="1" x14ac:dyDescent="0.25">
      <c r="B63" s="4" t="s">
        <v>52</v>
      </c>
      <c r="C63" s="11">
        <v>1</v>
      </c>
      <c r="D63" s="11">
        <v>1</v>
      </c>
      <c r="E63" s="11">
        <v>1</v>
      </c>
      <c r="F63" s="11">
        <v>1</v>
      </c>
      <c r="H63" s="30">
        <f t="shared" si="20"/>
        <v>1</v>
      </c>
      <c r="I63" s="30">
        <f t="shared" si="20"/>
        <v>1</v>
      </c>
      <c r="J63" s="11">
        <f>IF("Industrial"=$B$2, C63, IF("Suburban"=$B$2,  D63, IF("Urban"=$B$2,  E63, IF("Urban+"=$B$2,  F63, 0))))</f>
        <v>1</v>
      </c>
      <c r="K63" s="11">
        <f>IF("Industrial"=$B$2, C63, IF("Suburban"=$B$2,  D63, IF("Urban"=$B$2,  E63, IF("Urban+"=$B$2,  F63, 0))))</f>
        <v>1</v>
      </c>
      <c r="L63" s="11">
        <f>IF("Industrial"=$B$2, C63, IF("Suburban"=$B$2,  D63, IF("Urban"=$B$2,  E63, IF("Urban+"=$B$2,  F63, 0))))</f>
        <v>1</v>
      </c>
    </row>
    <row r="64" spans="2:12" outlineLevel="1" x14ac:dyDescent="0.25">
      <c r="B64" s="7" t="s">
        <v>53</v>
      </c>
      <c r="C64" s="12">
        <f>MIN(C60-C61)*C63</f>
        <v>2</v>
      </c>
      <c r="D64" s="12">
        <f t="shared" ref="D64:F64" si="21">MIN(D60-D61)*D63</f>
        <v>1</v>
      </c>
      <c r="E64" s="12">
        <f>MIN(E60-E61)*E63</f>
        <v>1</v>
      </c>
      <c r="F64" s="12">
        <f t="shared" si="21"/>
        <v>1</v>
      </c>
      <c r="H64" s="12"/>
      <c r="I64" s="12"/>
      <c r="J64" s="12">
        <f>MIN(J60-J61)*J63</f>
        <v>1</v>
      </c>
      <c r="K64" s="12">
        <f>MIN(K60-K61)*K63</f>
        <v>1</v>
      </c>
      <c r="L64" s="12">
        <f>MIN(L60-L61)*L63</f>
        <v>1</v>
      </c>
    </row>
    <row r="65" spans="2:12" x14ac:dyDescent="0.25">
      <c r="B65" s="5"/>
      <c r="C65" s="13"/>
      <c r="D65" s="13"/>
      <c r="E65" s="13"/>
      <c r="F65" s="13"/>
      <c r="H65" s="13"/>
      <c r="I65" s="13"/>
      <c r="J65" s="13"/>
      <c r="K65" s="13"/>
      <c r="L65" s="13"/>
    </row>
    <row r="66" spans="2:12" x14ac:dyDescent="0.25">
      <c r="B66" s="8" t="s">
        <v>49</v>
      </c>
      <c r="C66" s="14">
        <v>3</v>
      </c>
      <c r="D66" s="14">
        <v>3</v>
      </c>
      <c r="E66" s="14">
        <v>3</v>
      </c>
      <c r="F66" s="14">
        <v>3</v>
      </c>
      <c r="G66" s="1"/>
      <c r="H66" s="28">
        <f>'Walkability User Interface'!D14</f>
        <v>1</v>
      </c>
      <c r="I66" s="28">
        <f>'Walkability User Interface'!E14</f>
        <v>3</v>
      </c>
      <c r="J66" s="14">
        <v>1</v>
      </c>
      <c r="K66" s="14">
        <v>2</v>
      </c>
      <c r="L66" s="14">
        <v>3</v>
      </c>
    </row>
    <row r="67" spans="2:12" x14ac:dyDescent="0.25">
      <c r="B67" s="4" t="s">
        <v>118</v>
      </c>
      <c r="C67" s="11">
        <v>0</v>
      </c>
      <c r="D67" s="11">
        <v>-1</v>
      </c>
      <c r="E67" s="11">
        <v>-1</v>
      </c>
      <c r="F67" s="11">
        <v>-1</v>
      </c>
      <c r="H67" s="30">
        <f t="shared" ref="H67:I69" si="22">IF("Industrial"=$B$2, $C67, IF("Suburban"=$B$2,  $D67, IF("Urban"=$B$2,  $E67, IF("Urban+"=$B$2,  $F67, 0))))</f>
        <v>-1</v>
      </c>
      <c r="I67" s="30">
        <f t="shared" si="22"/>
        <v>-1</v>
      </c>
      <c r="J67" s="11">
        <f>IF("Industrial"=$B$2, C67, IF("Suburban"=$B$2,  D67, IF("Urban"=$B$2,  E67, IF("Urban+"=$B$2,  F67, 0))))</f>
        <v>-1</v>
      </c>
      <c r="K67" s="11">
        <f>IF("Industrial"=$B$2, C67, IF("Suburban"=$B$2,  D67, IF("Urban"=$B$2,  E67, IF("Urban+"=$B$2,  F67, 0))))</f>
        <v>-1</v>
      </c>
      <c r="L67" s="11">
        <f>IF("Industrial"=$B$2, C67, IF("Suburban"=$B$2,  D67, IF("Urban"=$B$2,  E67, IF("Urban+"=$B$2,  F67, 0))))</f>
        <v>-1</v>
      </c>
    </row>
    <row r="68" spans="2:12" x14ac:dyDescent="0.25">
      <c r="B68" s="4" t="s">
        <v>119</v>
      </c>
      <c r="C68" s="11">
        <v>1</v>
      </c>
      <c r="D68" s="11">
        <v>0</v>
      </c>
      <c r="E68" s="11">
        <v>0</v>
      </c>
      <c r="F68" s="11">
        <v>0</v>
      </c>
      <c r="H68" s="30">
        <f t="shared" si="22"/>
        <v>0</v>
      </c>
      <c r="I68" s="30">
        <f t="shared" si="22"/>
        <v>0</v>
      </c>
      <c r="J68" s="11">
        <f>IF("Industrial"=$B$2, C68, IF("Suburban"=$B$2,  D68, IF("Urban"=$B$2,  E68, IF("Urban+"=$B$2,  F68, 0))))</f>
        <v>0</v>
      </c>
      <c r="K68" s="11">
        <f>IF("Industrial"=$B$2, C68, IF("Suburban"=$B$2,  D68, IF("Urban"=$B$2,  E68, IF("Urban+"=$B$2,  F68, 0))))</f>
        <v>0</v>
      </c>
      <c r="L68" s="11">
        <f>IF("Industrial"=$B$2, C68, IF("Suburban"=$B$2,  D68, IF("Urban"=$B$2,  E68, IF("Urban+"=$B$2,  F68, 0))))</f>
        <v>0</v>
      </c>
    </row>
    <row r="69" spans="2:12" x14ac:dyDescent="0.25">
      <c r="B69" s="4" t="s">
        <v>120</v>
      </c>
      <c r="C69" s="11">
        <v>2</v>
      </c>
      <c r="D69" s="11">
        <v>1</v>
      </c>
      <c r="E69" s="11">
        <v>2</v>
      </c>
      <c r="F69" s="11">
        <v>2</v>
      </c>
      <c r="H69" s="30">
        <f t="shared" si="22"/>
        <v>2</v>
      </c>
      <c r="I69" s="30">
        <f t="shared" si="22"/>
        <v>2</v>
      </c>
      <c r="J69" s="11">
        <f>IF("Industrial"=$B$2, C69, IF("Suburban"=$B$2,  D69, IF("Urban"=$B$2,  E69, IF("Urban+"=$B$2,  F69, 0))))</f>
        <v>2</v>
      </c>
      <c r="K69" s="11">
        <f>IF("Industrial"=$B$2, C69, IF("Suburban"=$B$2,  D69, IF("Urban"=$B$2,  E69, IF("Urban+"=$B$2,  F69, 0))))</f>
        <v>2</v>
      </c>
      <c r="L69" s="11">
        <f>IF("Industrial"=$B$2, C69, IF("Suburban"=$B$2,  D69, IF("Urban"=$B$2,  E69, IF("Urban+"=$B$2,  F69, 0))))</f>
        <v>2</v>
      </c>
    </row>
    <row r="70" spans="2:12" x14ac:dyDescent="0.25">
      <c r="B70" s="7" t="s">
        <v>203</v>
      </c>
      <c r="C70" s="12">
        <f>IF( C66=1, C67, IF(C66=2, C68, IF(C66=3, C69, 0)))</f>
        <v>2</v>
      </c>
      <c r="D70" s="12">
        <f t="shared" ref="D70" si="23">IF( D66=1, D67, IF(D66=2, D68, IF(D66=3, D69, 0)))</f>
        <v>1</v>
      </c>
      <c r="E70" s="12">
        <f t="shared" ref="E70" si="24">IF( E66=1, E67, IF(E66=2, E68, IF(E66=3, E69, 0)))</f>
        <v>2</v>
      </c>
      <c r="F70" s="12">
        <f t="shared" ref="F70" si="25">IF( F66=1, F67, IF(F66=2, F68, IF(F66=3, F69, 0)))</f>
        <v>2</v>
      </c>
      <c r="H70" s="12">
        <f>IF( H66=1, H67, IF(H66=2, H68, IF(H66=3, H69, 0)))</f>
        <v>-1</v>
      </c>
      <c r="I70" s="12">
        <f>IF( I66=1, I67, IF(I66=2, I68, IF(I66=3, I69, 0)))</f>
        <v>2</v>
      </c>
      <c r="J70" s="12">
        <f t="shared" ref="J70:L70" si="26">IF( J66=1, J67, IF(J66=2, J68, IF(J66=3, J69, 0)))</f>
        <v>-1</v>
      </c>
      <c r="K70" s="12">
        <f t="shared" ref="K70" si="27">IF( K66=1, K67, IF(K66=2, K68, IF(K66=3, K69, 0)))</f>
        <v>0</v>
      </c>
      <c r="L70" s="12">
        <f t="shared" si="26"/>
        <v>2</v>
      </c>
    </row>
    <row r="71" spans="2:12" outlineLevel="1" x14ac:dyDescent="0.25">
      <c r="H71" s="11"/>
      <c r="I71" s="11"/>
      <c r="J71" s="11"/>
      <c r="K71" s="11"/>
      <c r="L71" s="11"/>
    </row>
    <row r="72" spans="2:12" outlineLevel="1" x14ac:dyDescent="0.25">
      <c r="B72" s="17" t="s">
        <v>62</v>
      </c>
      <c r="C72" s="29">
        <v>3</v>
      </c>
      <c r="D72" s="29">
        <v>3</v>
      </c>
      <c r="E72" s="29">
        <v>3</v>
      </c>
      <c r="F72" s="29">
        <v>3</v>
      </c>
      <c r="G72" s="1"/>
      <c r="H72" s="28">
        <f>'Walkability User Interface'!D15</f>
        <v>1</v>
      </c>
      <c r="I72" s="28">
        <f>'Walkability User Interface'!E15</f>
        <v>3</v>
      </c>
      <c r="J72" s="29">
        <v>3</v>
      </c>
      <c r="K72" s="29">
        <v>3</v>
      </c>
      <c r="L72" s="29">
        <v>3</v>
      </c>
    </row>
    <row r="73" spans="2:12" outlineLevel="1" x14ac:dyDescent="0.25">
      <c r="B73" s="4" t="s">
        <v>63</v>
      </c>
      <c r="C73" s="11">
        <v>2</v>
      </c>
      <c r="D73" s="11">
        <v>2</v>
      </c>
      <c r="E73" s="11">
        <v>2</v>
      </c>
      <c r="F73" s="11">
        <v>2</v>
      </c>
      <c r="H73" s="30">
        <f t="shared" ref="H73:I75" si="28">IF("Industrial"=$B$2, $C73, IF("Suburban"=$B$2,  $D73, IF("Urban"=$B$2,  $E73, IF("Urban+"=$B$2,  $F73, 0))))</f>
        <v>2</v>
      </c>
      <c r="I73" s="30">
        <f t="shared" si="28"/>
        <v>2</v>
      </c>
      <c r="J73" s="11">
        <f>IF("Industrial"=$B$2, C73, IF("Suburban"=$B$2,  D73, IF("Urban"=$B$2,  E73, IF("Urban+"=$B$2,  F73, 0))))</f>
        <v>2</v>
      </c>
      <c r="K73" s="11">
        <f>IF("Industrial"=$B$2, C73, IF("Suburban"=$B$2,  D73, IF("Urban"=$B$2,  E73, IF("Urban+"=$B$2,  F73, 0))))</f>
        <v>2</v>
      </c>
      <c r="L73" s="11">
        <f>IF("Industrial"=$B$2, C73, IF("Suburban"=$B$2,  D73, IF("Urban"=$B$2,  E73, IF("Urban+"=$B$2,  F73, 0))))</f>
        <v>2</v>
      </c>
    </row>
    <row r="74" spans="2:12" outlineLevel="1" x14ac:dyDescent="0.25">
      <c r="B74" s="4" t="s">
        <v>64</v>
      </c>
      <c r="C74" s="11">
        <v>3</v>
      </c>
      <c r="D74" s="11">
        <v>3</v>
      </c>
      <c r="E74" s="11">
        <v>3</v>
      </c>
      <c r="F74" s="11">
        <v>3</v>
      </c>
      <c r="H74" s="30">
        <f t="shared" si="28"/>
        <v>3</v>
      </c>
      <c r="I74" s="30">
        <f t="shared" si="28"/>
        <v>3</v>
      </c>
      <c r="J74" s="11">
        <f>IF("Industrial"=$B$2, C74, IF("Suburban"=$B$2,  D74, IF("Urban"=$B$2,  E74, IF("Urban+"=$B$2,  F74, 0))))</f>
        <v>3</v>
      </c>
      <c r="K74" s="11">
        <f>IF("Industrial"=$B$2, C74, IF("Suburban"=$B$2,  D74, IF("Urban"=$B$2,  E74, IF("Urban+"=$B$2,  F74, 0))))</f>
        <v>3</v>
      </c>
      <c r="L74" s="11">
        <f>IF("Industrial"=$B$2, C74, IF("Suburban"=$B$2,  D74, IF("Urban"=$B$2,  E74, IF("Urban+"=$B$2,  F74, 0))))</f>
        <v>3</v>
      </c>
    </row>
    <row r="75" spans="2:12" outlineLevel="1" x14ac:dyDescent="0.25">
      <c r="B75" s="4" t="s">
        <v>65</v>
      </c>
      <c r="C75" s="11">
        <v>1</v>
      </c>
      <c r="D75" s="11">
        <v>1</v>
      </c>
      <c r="E75" s="11">
        <v>2</v>
      </c>
      <c r="F75" s="11">
        <v>2</v>
      </c>
      <c r="H75" s="30">
        <f t="shared" si="28"/>
        <v>2</v>
      </c>
      <c r="I75" s="30">
        <f t="shared" si="28"/>
        <v>2</v>
      </c>
      <c r="J75" s="11">
        <f>IF("Industrial"=$B$2, C75, IF("Suburban"=$B$2,  D75, IF("Urban"=$B$2,  E75, IF("Urban+"=$B$2,  F75, 0))))</f>
        <v>2</v>
      </c>
      <c r="K75" s="11">
        <f>IF("Industrial"=$B$2, C75, IF("Suburban"=$B$2,  D75, IF("Urban"=$B$2,  E75, IF("Urban+"=$B$2,  F75, 0))))</f>
        <v>2</v>
      </c>
      <c r="L75" s="11">
        <f>IF("Industrial"=$B$2, C75, IF("Suburban"=$B$2,  D75, IF("Urban"=$B$2,  E75, IF("Urban+"=$B$2,  F75, 0))))</f>
        <v>2</v>
      </c>
    </row>
    <row r="76" spans="2:12" outlineLevel="1" x14ac:dyDescent="0.25">
      <c r="B76" s="7" t="s">
        <v>66</v>
      </c>
      <c r="C76" s="12">
        <f>(C72-C73)*C75</f>
        <v>1</v>
      </c>
      <c r="D76" s="12">
        <f t="shared" ref="D76:F76" si="29">(D72-D73)*D75</f>
        <v>1</v>
      </c>
      <c r="E76" s="12">
        <f t="shared" si="29"/>
        <v>2</v>
      </c>
      <c r="F76" s="12">
        <f t="shared" si="29"/>
        <v>2</v>
      </c>
      <c r="H76" s="12">
        <f>(H72-H73)*H75</f>
        <v>-2</v>
      </c>
      <c r="I76" s="12">
        <f>(I72-I73)*I75</f>
        <v>2</v>
      </c>
      <c r="J76" s="12">
        <f t="shared" ref="J76:L76" si="30">(J72-J73)*J75</f>
        <v>2</v>
      </c>
      <c r="K76" s="12">
        <f t="shared" ref="K76" si="31">(K72-K73)*K75</f>
        <v>2</v>
      </c>
      <c r="L76" s="12">
        <f t="shared" si="30"/>
        <v>2</v>
      </c>
    </row>
    <row r="77" spans="2:12" x14ac:dyDescent="0.25">
      <c r="B77" s="5"/>
      <c r="C77" s="13"/>
      <c r="D77" s="13"/>
      <c r="E77" s="13"/>
      <c r="F77" s="13"/>
      <c r="H77" s="13"/>
      <c r="I77" s="13"/>
      <c r="J77" s="13"/>
      <c r="K77" s="13"/>
      <c r="L77" s="13"/>
    </row>
    <row r="78" spans="2:12" x14ac:dyDescent="0.25">
      <c r="B78" s="8" t="s">
        <v>62</v>
      </c>
      <c r="C78" s="14">
        <v>3</v>
      </c>
      <c r="D78" s="14">
        <v>3</v>
      </c>
      <c r="E78" s="14">
        <v>3</v>
      </c>
      <c r="F78" s="14">
        <v>3</v>
      </c>
      <c r="G78" s="1"/>
      <c r="H78" s="28">
        <f>H72</f>
        <v>1</v>
      </c>
      <c r="I78" s="28">
        <f>I72</f>
        <v>3</v>
      </c>
      <c r="J78" s="14">
        <v>4</v>
      </c>
      <c r="K78" s="14">
        <v>2</v>
      </c>
      <c r="L78" s="14">
        <v>3</v>
      </c>
    </row>
    <row r="79" spans="2:12" x14ac:dyDescent="0.25">
      <c r="B79" s="4" t="s">
        <v>121</v>
      </c>
      <c r="C79" s="11">
        <v>-1</v>
      </c>
      <c r="D79" s="11">
        <v>-1</v>
      </c>
      <c r="E79" s="11">
        <v>-2</v>
      </c>
      <c r="F79" s="11">
        <v>-2</v>
      </c>
      <c r="H79" s="30">
        <f t="shared" ref="H79:I82" si="32">IF("Industrial"=$B$2, $C79, IF("Suburban"=$B$2,  $D79, IF("Urban"=$B$2,  $E79, IF("Urban+"=$B$2,  $F79, 0))))</f>
        <v>-2</v>
      </c>
      <c r="I79" s="30">
        <f t="shared" si="32"/>
        <v>-2</v>
      </c>
      <c r="J79" s="11">
        <f>IF("Industrial"=$B$2, C79, IF("Suburban"=$B$2,  D79, IF("Urban"=$B$2,  E79, IF("Urban+"=$B$2,  F79, 0))))</f>
        <v>-2</v>
      </c>
      <c r="K79" s="11">
        <f>IF("Industrial"=$B$2, C79, IF("Suburban"=$B$2,  D79, IF("Urban"=$B$2,  E79, IF("Urban+"=$B$2,  F79, 0))))</f>
        <v>-2</v>
      </c>
      <c r="L79" s="11">
        <f>IF("Industrial"=$B$2, C79, IF("Suburban"=$B$2,  D79, IF("Urban"=$B$2,  E79, IF("Urban+"=$B$2,  F79, 0))))</f>
        <v>-2</v>
      </c>
    </row>
    <row r="80" spans="2:12" x14ac:dyDescent="0.25">
      <c r="B80" s="4" t="s">
        <v>122</v>
      </c>
      <c r="C80" s="11">
        <v>0</v>
      </c>
      <c r="D80" s="11">
        <v>0</v>
      </c>
      <c r="E80" s="11">
        <v>0</v>
      </c>
      <c r="F80" s="11">
        <v>0</v>
      </c>
      <c r="H80" s="30">
        <f t="shared" si="32"/>
        <v>0</v>
      </c>
      <c r="I80" s="30">
        <f t="shared" si="32"/>
        <v>0</v>
      </c>
      <c r="J80" s="11">
        <f>IF("Industrial"=$B$2, C80, IF("Suburban"=$B$2,  D80, IF("Urban"=$B$2,  E80, IF("Urban+"=$B$2,  F80, 0))))</f>
        <v>0</v>
      </c>
      <c r="K80" s="11">
        <f>IF("Industrial"=$B$2, C80, IF("Suburban"=$B$2,  D80, IF("Urban"=$B$2,  E80, IF("Urban+"=$B$2,  F80, 0))))</f>
        <v>0</v>
      </c>
      <c r="L80" s="11">
        <f>IF("Industrial"=$B$2, C80, IF("Suburban"=$B$2,  D80, IF("Urban"=$B$2,  E80, IF("Urban+"=$B$2,  F80, 0))))</f>
        <v>0</v>
      </c>
    </row>
    <row r="81" spans="2:14" x14ac:dyDescent="0.25">
      <c r="B81" s="4" t="s">
        <v>123</v>
      </c>
      <c r="C81" s="11">
        <v>1</v>
      </c>
      <c r="D81" s="11">
        <v>1</v>
      </c>
      <c r="E81" s="11">
        <v>2</v>
      </c>
      <c r="F81" s="11">
        <v>2</v>
      </c>
      <c r="H81" s="30">
        <f t="shared" si="32"/>
        <v>2</v>
      </c>
      <c r="I81" s="30">
        <f t="shared" si="32"/>
        <v>2</v>
      </c>
      <c r="J81" s="11">
        <f>IF("Industrial"=$B$2, C81, IF("Suburban"=$B$2,  D81, IF("Urban"=$B$2,  E81, IF("Urban+"=$B$2,  F81, 0))))</f>
        <v>2</v>
      </c>
      <c r="K81" s="11">
        <f>IF("Industrial"=$B$2, C81, IF("Suburban"=$B$2,  D81, IF("Urban"=$B$2,  E81, IF("Urban+"=$B$2,  F81, 0))))</f>
        <v>2</v>
      </c>
      <c r="L81" s="11">
        <f>IF("Industrial"=$B$2, C81, IF("Suburban"=$B$2,  D81, IF("Urban"=$B$2,  E81, IF("Urban+"=$B$2,  F81, 0))))</f>
        <v>2</v>
      </c>
    </row>
    <row r="82" spans="2:14" x14ac:dyDescent="0.25">
      <c r="B82" s="4" t="s">
        <v>215</v>
      </c>
      <c r="C82" s="11">
        <v>0</v>
      </c>
      <c r="D82" s="11">
        <v>0</v>
      </c>
      <c r="E82" s="11">
        <v>0</v>
      </c>
      <c r="F82" s="11">
        <v>0</v>
      </c>
      <c r="H82" s="30">
        <f t="shared" si="32"/>
        <v>0</v>
      </c>
      <c r="I82" s="30">
        <f t="shared" si="32"/>
        <v>0</v>
      </c>
      <c r="J82" s="11">
        <f>IF("Industrial"=$B$2, C82, IF("Suburban"=$B$2,  D82, IF("Urban"=$B$2,  E82, IF("Urban+"=$B$2,  F82, 0))))</f>
        <v>0</v>
      </c>
      <c r="K82" s="11">
        <f>IF("Industrial"=$B$2, C82, IF("Suburban"=$B$2,  D82, IF("Urban"=$B$2,  E82, IF("Urban+"=$B$2,  F82, 0))))</f>
        <v>0</v>
      </c>
      <c r="L82" s="11">
        <f>IF("Industrial"=$B$2, C82, IF("Suburban"=$B$2,  D82, IF("Urban"=$B$2,  E82, IF("Urban+"=$B$2,  F82, 0))))</f>
        <v>0</v>
      </c>
    </row>
    <row r="83" spans="2:14" x14ac:dyDescent="0.25">
      <c r="B83" s="7" t="s">
        <v>124</v>
      </c>
      <c r="C83" s="12">
        <f>IF( C78=1, C79, IF(C78=2, C80, IF(C78=3, C81,  IF(C78=4, C82, 0))))</f>
        <v>1</v>
      </c>
      <c r="D83" s="12">
        <f t="shared" ref="D83:F83" si="33">IF( D78=1, D79, IF(D78=2, D80, IF(D78=3, D81,  IF(D78=4, D82, 0))))</f>
        <v>1</v>
      </c>
      <c r="E83" s="12">
        <f t="shared" si="33"/>
        <v>2</v>
      </c>
      <c r="F83" s="12">
        <f t="shared" si="33"/>
        <v>2</v>
      </c>
      <c r="H83" s="12">
        <f t="shared" ref="H83:I83" si="34">IF( H78=1, H79, IF(H78=2, H80, IF(H78=3, H81,  IF(H78=4, H82, 0))))</f>
        <v>-2</v>
      </c>
      <c r="I83" s="12">
        <f t="shared" si="34"/>
        <v>2</v>
      </c>
      <c r="J83" s="12">
        <f>IF( J78=1, J79, IF(J78=2, J80, IF(J78=3, J81,  IF(J78=4, J82, 0))))</f>
        <v>0</v>
      </c>
      <c r="K83" s="12">
        <f t="shared" ref="K83:L83" si="35">IF( K78=1, K79, IF(K78=2, K80, IF(K78=3, K81,  IF(K78=4, K82, 0))))</f>
        <v>0</v>
      </c>
      <c r="L83" s="12">
        <f t="shared" si="35"/>
        <v>2</v>
      </c>
    </row>
    <row r="84" spans="2:14" x14ac:dyDescent="0.25">
      <c r="B84" s="5"/>
      <c r="C84" s="13"/>
      <c r="D84" s="13"/>
      <c r="E84" s="13"/>
      <c r="F84" s="13"/>
      <c r="H84" s="13"/>
      <c r="I84" s="13"/>
      <c r="J84" s="13"/>
      <c r="K84" s="13"/>
      <c r="L84" s="13"/>
    </row>
    <row r="85" spans="2:14" x14ac:dyDescent="0.25">
      <c r="B85" s="8" t="s">
        <v>200</v>
      </c>
      <c r="C85" s="14" t="s">
        <v>7</v>
      </c>
      <c r="D85" s="14" t="s">
        <v>7</v>
      </c>
      <c r="E85" s="14" t="s">
        <v>6</v>
      </c>
      <c r="F85" s="14" t="s">
        <v>6</v>
      </c>
      <c r="H85" s="28" t="str">
        <f>'Walkability User Interface'!D16</f>
        <v>No</v>
      </c>
      <c r="I85" s="28" t="str">
        <f>'Walkability User Interface'!E16</f>
        <v>Yes</v>
      </c>
      <c r="J85" s="14" t="s">
        <v>7</v>
      </c>
      <c r="K85" s="14" t="s">
        <v>7</v>
      </c>
      <c r="L85" s="14" t="s">
        <v>6</v>
      </c>
      <c r="N85" t="s">
        <v>309</v>
      </c>
    </row>
    <row r="86" spans="2:14" x14ac:dyDescent="0.25">
      <c r="B86" t="s">
        <v>67</v>
      </c>
      <c r="C86" s="11">
        <v>1</v>
      </c>
      <c r="D86" s="11">
        <v>1</v>
      </c>
      <c r="E86" s="11">
        <v>2</v>
      </c>
      <c r="F86" s="11">
        <v>2</v>
      </c>
      <c r="H86" s="30">
        <f t="shared" ref="H86:I86" si="36">IF("Industrial"=$B$2, $C86, IF("Suburban"=$B$2,  $D86, IF("Urban"=$B$2,  $E86, IF("Urban+"=$B$2,  $F86, 0))))</f>
        <v>2</v>
      </c>
      <c r="I86" s="30">
        <f t="shared" si="36"/>
        <v>2</v>
      </c>
      <c r="J86" s="11">
        <f>IF("Industrial"=$B$2, C86, IF("Suburban"=$B$2,  D86, IF("Urban"=$B$2,  E86, IF("Urban+"=$B$2,  F86, 0))))</f>
        <v>2</v>
      </c>
      <c r="K86" s="11">
        <f>IF("Industrial"=$B$2, C86, IF("Suburban"=$B$2,  D86, IF("Urban"=$B$2,  E86, IF("Urban+"=$B$2,  F86, 0))))</f>
        <v>2</v>
      </c>
      <c r="L86" s="11">
        <f>IF("Industrial"=$B$2, C86, IF("Suburban"=$B$2,  D86, IF("Urban"=$B$2,  E86, IF("Urban+"=$B$2,  F86, 0))))</f>
        <v>2</v>
      </c>
    </row>
    <row r="87" spans="2:14" x14ac:dyDescent="0.25">
      <c r="B87" s="7" t="s">
        <v>68</v>
      </c>
      <c r="C87" s="12">
        <f t="shared" ref="C87" si="37">IF("Yes"=C85, C86, 0)</f>
        <v>0</v>
      </c>
      <c r="D87" s="12">
        <f t="shared" ref="D87" si="38">IF("Yes"=D85, D86, 0)</f>
        <v>0</v>
      </c>
      <c r="E87" s="12">
        <f t="shared" ref="E87" si="39">IF("Yes"=E85, E86, 0)</f>
        <v>2</v>
      </c>
      <c r="F87" s="12">
        <f t="shared" ref="F87" si="40">IF("Yes"=F85, F86, 0)</f>
        <v>2</v>
      </c>
      <c r="H87" s="12">
        <f>IF("Yes"=H85, H86, 0)</f>
        <v>0</v>
      </c>
      <c r="I87" s="12">
        <f>IF("Yes"=I85, I86, 0)</f>
        <v>2</v>
      </c>
      <c r="J87" s="12">
        <f t="shared" ref="J87:L87" si="41">IF("Yes"=J85, J86, 0)</f>
        <v>0</v>
      </c>
      <c r="K87" s="12">
        <f t="shared" si="41"/>
        <v>0</v>
      </c>
      <c r="L87" s="12">
        <f t="shared" si="41"/>
        <v>2</v>
      </c>
    </row>
    <row r="88" spans="2:14" x14ac:dyDescent="0.25">
      <c r="B88"/>
      <c r="C88"/>
      <c r="D88"/>
      <c r="E88"/>
      <c r="F88"/>
    </row>
    <row r="89" spans="2:14" x14ac:dyDescent="0.25">
      <c r="B89" s="22" t="s">
        <v>134</v>
      </c>
      <c r="C89" s="23">
        <f>C13+C19+C33+C46+C52+C58+C70+C83+C87</f>
        <v>11</v>
      </c>
      <c r="D89" s="23">
        <f t="shared" ref="D89:L89" si="42">D13+D19+D33+D46+D52+D58+D70+D83+D87</f>
        <v>11</v>
      </c>
      <c r="E89" s="23">
        <f t="shared" si="42"/>
        <v>15</v>
      </c>
      <c r="F89" s="23">
        <f t="shared" si="42"/>
        <v>5</v>
      </c>
      <c r="H89" s="23">
        <f t="shared" si="42"/>
        <v>1</v>
      </c>
      <c r="I89" s="23">
        <f t="shared" si="42"/>
        <v>20</v>
      </c>
      <c r="J89" s="23">
        <f t="shared" si="42"/>
        <v>-11</v>
      </c>
      <c r="K89" s="23">
        <f t="shared" si="42"/>
        <v>1</v>
      </c>
      <c r="L89" s="23">
        <f t="shared" si="42"/>
        <v>18</v>
      </c>
    </row>
    <row r="90" spans="2:14" x14ac:dyDescent="0.25">
      <c r="B90" s="5"/>
      <c r="C90" s="13"/>
      <c r="D90" s="13"/>
      <c r="E90" s="13"/>
      <c r="F90" s="13"/>
      <c r="H90" s="13"/>
      <c r="I90" s="13"/>
      <c r="J90" s="13"/>
      <c r="K90" s="13"/>
      <c r="L90" s="13"/>
    </row>
    <row r="91" spans="2:14" ht="15.75" x14ac:dyDescent="0.25">
      <c r="B91" s="19" t="s">
        <v>126</v>
      </c>
      <c r="C91" s="20"/>
      <c r="D91" s="20"/>
      <c r="E91" s="20"/>
      <c r="F91" s="20"/>
      <c r="G91" s="21"/>
      <c r="H91" s="21"/>
      <c r="I91" s="21"/>
      <c r="J91" s="21"/>
      <c r="K91" s="21"/>
      <c r="L91" s="21"/>
    </row>
    <row r="92" spans="2:14" x14ac:dyDescent="0.25">
      <c r="H92" s="11"/>
      <c r="I92" s="11"/>
      <c r="J92" s="11"/>
      <c r="K92" s="11"/>
      <c r="L92" s="11"/>
    </row>
    <row r="93" spans="2:14" hidden="1" outlineLevel="1" x14ac:dyDescent="0.25">
      <c r="B93" s="17" t="s">
        <v>216</v>
      </c>
      <c r="C93" s="29">
        <v>1</v>
      </c>
      <c r="D93" s="29">
        <v>1</v>
      </c>
      <c r="E93" s="29">
        <v>1</v>
      </c>
      <c r="F93" s="29">
        <v>1</v>
      </c>
      <c r="G93" s="1"/>
      <c r="H93" s="28">
        <f>'Walkability User Interface'!D20</f>
        <v>4</v>
      </c>
      <c r="I93" s="28">
        <f>'Walkability User Interface'!E20</f>
        <v>4</v>
      </c>
      <c r="J93" s="29">
        <v>1</v>
      </c>
      <c r="K93" s="29">
        <v>3</v>
      </c>
      <c r="L93" s="29">
        <v>4</v>
      </c>
    </row>
    <row r="94" spans="2:14" hidden="1" outlineLevel="1" x14ac:dyDescent="0.25">
      <c r="B94" s="4" t="s">
        <v>217</v>
      </c>
      <c r="C94" s="11">
        <v>3</v>
      </c>
      <c r="D94" s="11">
        <v>3</v>
      </c>
      <c r="E94" s="11">
        <v>3</v>
      </c>
      <c r="F94" s="11">
        <v>3</v>
      </c>
      <c r="H94" s="30">
        <f t="shared" ref="H94:I96" si="43">IF("Industrial"=$B$2, $C94, IF("Suburban"=$B$2,  $D94, IF("Urban"=$B$2,  $E94, IF("Urban+"=$B$2,  $F94, 0))))</f>
        <v>3</v>
      </c>
      <c r="I94" s="30">
        <f t="shared" si="43"/>
        <v>3</v>
      </c>
      <c r="J94" s="11">
        <f>IF("Industrial"=$B$2, C94, IF("Suburban"=$B$2,  D94, IF("Urban"=$B$2,  E94, IF("Urban+"=$B$2,  F94, 0))))</f>
        <v>3</v>
      </c>
      <c r="K94" s="11">
        <f>IF("Industrial"=$B$2, C94, IF("Suburban"=$B$2,  D94, IF("Urban"=$B$2,  E94, IF("Urban+"=$B$2,  F94, 0))))</f>
        <v>3</v>
      </c>
      <c r="L94" s="11">
        <f>IF("Industrial"=$B$2, C94, IF("Suburban"=$B$2,  D94, IF("Urban"=$B$2,  E94, IF("Urban+"=$B$2,  F94, 0))))</f>
        <v>3</v>
      </c>
    </row>
    <row r="95" spans="2:14" hidden="1" outlineLevel="1" x14ac:dyDescent="0.25">
      <c r="B95" s="4" t="s">
        <v>218</v>
      </c>
      <c r="C95" s="11">
        <v>4</v>
      </c>
      <c r="D95" s="11">
        <v>4</v>
      </c>
      <c r="E95" s="11">
        <v>4</v>
      </c>
      <c r="F95" s="11">
        <v>4</v>
      </c>
      <c r="H95" s="30">
        <f t="shared" si="43"/>
        <v>4</v>
      </c>
      <c r="I95" s="30">
        <f t="shared" si="43"/>
        <v>4</v>
      </c>
      <c r="J95" s="11">
        <f>IF("Industrial"=$B$2, C95, IF("Suburban"=$B$2,  D95, IF("Urban"=$B$2,  E95, IF("Urban+"=$B$2,  F95, 0))))</f>
        <v>4</v>
      </c>
      <c r="K95" s="11">
        <f>IF("Industrial"=$B$2, C95, IF("Suburban"=$B$2,  D95, IF("Urban"=$B$2,  E95, IF("Urban+"=$B$2,  F95, 0))))</f>
        <v>4</v>
      </c>
      <c r="L95" s="11">
        <f>IF("Industrial"=$B$2, C95, IF("Suburban"=$B$2,  D95, IF("Urban"=$B$2,  E95, IF("Urban+"=$B$2,  F95, 0))))</f>
        <v>4</v>
      </c>
    </row>
    <row r="96" spans="2:14" hidden="1" outlineLevel="1" x14ac:dyDescent="0.25">
      <c r="B96" s="4" t="s">
        <v>219</v>
      </c>
      <c r="C96" s="11">
        <v>1</v>
      </c>
      <c r="D96" s="11">
        <v>2</v>
      </c>
      <c r="E96" s="11">
        <v>3</v>
      </c>
      <c r="F96" s="11">
        <v>4</v>
      </c>
      <c r="H96" s="30">
        <f t="shared" si="43"/>
        <v>3</v>
      </c>
      <c r="I96" s="30">
        <f t="shared" si="43"/>
        <v>3</v>
      </c>
      <c r="J96" s="11">
        <f>IF("Industrial"=$B$2, C96, IF("Suburban"=$B$2,  D96, IF("Urban"=$B$2,  E96, IF("Urban+"=$B$2,  F96, 0))))</f>
        <v>3</v>
      </c>
      <c r="K96" s="11">
        <f>IF("Industrial"=$B$2, C96, IF("Suburban"=$B$2,  D96, IF("Urban"=$B$2,  E96, IF("Urban+"=$B$2,  F96, 0))))</f>
        <v>3</v>
      </c>
      <c r="L96" s="11">
        <f>IF("Industrial"=$B$2, C96, IF("Suburban"=$B$2,  D96, IF("Urban"=$B$2,  E96, IF("Urban+"=$B$2,  F96, 0))))</f>
        <v>3</v>
      </c>
    </row>
    <row r="97" spans="2:14" hidden="1" outlineLevel="1" x14ac:dyDescent="0.25">
      <c r="B97" s="7" t="s">
        <v>228</v>
      </c>
      <c r="C97" s="12">
        <f>MIN(C93-C94)*C96</f>
        <v>-2</v>
      </c>
      <c r="D97" s="12">
        <f>MIN(D93-D94)*D96</f>
        <v>-4</v>
      </c>
      <c r="E97" s="12">
        <f t="shared" ref="E97:F97" si="44">MIN(E93-E94)*E96</f>
        <v>-6</v>
      </c>
      <c r="F97" s="12">
        <f t="shared" si="44"/>
        <v>-8</v>
      </c>
      <c r="H97" s="12">
        <f>MIN(H93-H94, H95-H94)*H96</f>
        <v>3</v>
      </c>
      <c r="I97" s="12">
        <f>MIN(I93-I94, I95-I94)*I96</f>
        <v>3</v>
      </c>
      <c r="J97" s="12">
        <f>MIN(J93-J94, J95-J94)*J96</f>
        <v>-6</v>
      </c>
      <c r="K97" s="12">
        <f>MIN(K93-K94, K95-K94)*K96</f>
        <v>0</v>
      </c>
      <c r="L97" s="12">
        <f>MIN(L93-L94, L95-L94)*L96</f>
        <v>3</v>
      </c>
    </row>
    <row r="98" spans="2:14" hidden="1" outlineLevel="1" x14ac:dyDescent="0.25">
      <c r="H98" s="11"/>
      <c r="I98" s="11"/>
      <c r="J98" s="11"/>
      <c r="K98" s="11"/>
      <c r="L98" s="11"/>
    </row>
    <row r="99" spans="2:14" collapsed="1" x14ac:dyDescent="0.25">
      <c r="B99" s="8" t="s">
        <v>220</v>
      </c>
      <c r="C99" s="14">
        <v>1</v>
      </c>
      <c r="D99" s="14">
        <v>1</v>
      </c>
      <c r="E99" s="14">
        <v>1</v>
      </c>
      <c r="F99" s="14">
        <v>1</v>
      </c>
      <c r="G99" s="1"/>
      <c r="H99" s="28">
        <f>H93</f>
        <v>4</v>
      </c>
      <c r="I99" s="28">
        <f>I93</f>
        <v>4</v>
      </c>
      <c r="J99" s="14">
        <v>1</v>
      </c>
      <c r="K99" s="14">
        <v>3</v>
      </c>
      <c r="L99" s="14">
        <v>4</v>
      </c>
    </row>
    <row r="100" spans="2:14" x14ac:dyDescent="0.25">
      <c r="B100" s="4" t="s">
        <v>221</v>
      </c>
      <c r="C100" s="11">
        <v>-2</v>
      </c>
      <c r="D100" s="11">
        <v>-4</v>
      </c>
      <c r="E100" s="11">
        <v>-6</v>
      </c>
      <c r="F100" s="11">
        <v>-8</v>
      </c>
      <c r="H100" s="30">
        <f t="shared" ref="H100:I103" si="45">IF("Industrial"=$B$2, $C100, IF("Suburban"=$B$2,  $D100, IF("Urban"=$B$2,  $E100, IF("Urban+"=$B$2,  $F100, 0))))</f>
        <v>-6</v>
      </c>
      <c r="I100" s="30">
        <f t="shared" si="45"/>
        <v>-6</v>
      </c>
      <c r="J100" s="11">
        <f>IF("Industrial"=$B$2, C100, IF("Suburban"=$B$2,  D100, IF("Urban"=$B$2,  E100, IF("Urban+"=$B$2,  F100, 0))))</f>
        <v>-6</v>
      </c>
      <c r="K100" s="11">
        <f>IF("Industrial"=$B$2, C100, IF("Suburban"=$B$2,  D100, IF("Urban"=$B$2,  E100, IF("Urban+"=$B$2,  F100, 0))))</f>
        <v>-6</v>
      </c>
      <c r="L100" s="11">
        <f>IF("Industrial"=$B$2, C100, IF("Suburban"=$B$2,  D100, IF("Urban"=$B$2,  E100, IF("Urban+"=$B$2,  F100, 0))))</f>
        <v>-6</v>
      </c>
    </row>
    <row r="101" spans="2:14" x14ac:dyDescent="0.25">
      <c r="B101" s="4" t="s">
        <v>222</v>
      </c>
      <c r="C101" s="11">
        <v>-1</v>
      </c>
      <c r="D101" s="11">
        <v>-2</v>
      </c>
      <c r="E101" s="11">
        <v>-3</v>
      </c>
      <c r="F101" s="11">
        <v>-4</v>
      </c>
      <c r="H101" s="30">
        <f t="shared" si="45"/>
        <v>-3</v>
      </c>
      <c r="I101" s="30">
        <f t="shared" si="45"/>
        <v>-3</v>
      </c>
      <c r="J101" s="11">
        <f>IF("Industrial"=$B$2, C101, IF("Suburban"=$B$2,  D101, IF("Urban"=$B$2,  E101, IF("Urban+"=$B$2,  F101, 0))))</f>
        <v>-3</v>
      </c>
      <c r="K101" s="11">
        <f>IF("Industrial"=$B$2, C101, IF("Suburban"=$B$2,  D101, IF("Urban"=$B$2,  E101, IF("Urban+"=$B$2,  F101, 0))))</f>
        <v>-3</v>
      </c>
      <c r="L101" s="11">
        <f>IF("Industrial"=$B$2, C101, IF("Suburban"=$B$2,  D101, IF("Urban"=$B$2,  E101, IF("Urban+"=$B$2,  F101, 0))))</f>
        <v>-3</v>
      </c>
    </row>
    <row r="102" spans="2:14" ht="30" x14ac:dyDescent="0.25">
      <c r="B102" s="4" t="s">
        <v>223</v>
      </c>
      <c r="C102" s="11">
        <v>0</v>
      </c>
      <c r="D102" s="11">
        <v>0</v>
      </c>
      <c r="E102" s="11">
        <v>0</v>
      </c>
      <c r="F102" s="11">
        <v>0</v>
      </c>
      <c r="H102" s="30">
        <f t="shared" si="45"/>
        <v>0</v>
      </c>
      <c r="I102" s="30">
        <f t="shared" si="45"/>
        <v>0</v>
      </c>
      <c r="J102" s="11">
        <f>IF("Industrial"=$B$2, C102, IF("Suburban"=$B$2,  D102, IF("Urban"=$B$2,  E102, IF("Urban+"=$B$2,  F102, 0))))</f>
        <v>0</v>
      </c>
      <c r="K102" s="11">
        <f>IF("Industrial"=$B$2, C102, IF("Suburban"=$B$2,  D102, IF("Urban"=$B$2,  E102, IF("Urban+"=$B$2,  F102, 0))))</f>
        <v>0</v>
      </c>
      <c r="L102" s="11">
        <f>IF("Industrial"=$B$2, C102, IF("Suburban"=$B$2,  D102, IF("Urban"=$B$2,  E102, IF("Urban+"=$B$2,  F102, 0))))</f>
        <v>0</v>
      </c>
    </row>
    <row r="103" spans="2:14" x14ac:dyDescent="0.25">
      <c r="B103" s="4" t="s">
        <v>224</v>
      </c>
      <c r="C103" s="11">
        <v>1</v>
      </c>
      <c r="D103" s="11">
        <v>2</v>
      </c>
      <c r="E103" s="11">
        <v>3</v>
      </c>
      <c r="F103" s="11">
        <v>4</v>
      </c>
      <c r="H103" s="30">
        <f t="shared" si="45"/>
        <v>3</v>
      </c>
      <c r="I103" s="30">
        <f t="shared" si="45"/>
        <v>3</v>
      </c>
      <c r="J103" s="11">
        <f>IF("Industrial"=$B$2, C103, IF("Suburban"=$B$2,  D103, IF("Urban"=$B$2,  E103, IF("Urban+"=$B$2,  F103, 0))))</f>
        <v>3</v>
      </c>
      <c r="K103" s="11">
        <f>IF("Industrial"=$B$2, C103, IF("Suburban"=$B$2,  D103, IF("Urban"=$B$2,  E103, IF("Urban+"=$B$2,  F103, 0))))</f>
        <v>3</v>
      </c>
      <c r="L103" s="11">
        <f>IF("Industrial"=$B$2, C103, IF("Suburban"=$B$2,  D103, IF("Urban"=$B$2,  E103, IF("Urban+"=$B$2,  F103, 0))))</f>
        <v>3</v>
      </c>
    </row>
    <row r="104" spans="2:14" x14ac:dyDescent="0.25">
      <c r="B104" s="7" t="s">
        <v>228</v>
      </c>
      <c r="C104" s="12">
        <f>IF(C99=1, C100,IF(C99=2, C101,IF(C99=3, C102, IF(C99=4, C103, IF(C99=5,#REF!, 0)))))</f>
        <v>-2</v>
      </c>
      <c r="D104" s="12">
        <f>IF(D99=1, D100,IF(D99=2, D101,IF(D99=3, D102, IF(D99=4, D103, IF(D99=5,#REF!, 0)))))</f>
        <v>-4</v>
      </c>
      <c r="E104" s="12">
        <f>IF(E99=1, E100,IF(E99=2, E101,IF(E99=3, E102, IF(E99=4, E103, IF(E99=5,#REF!, 0)))))</f>
        <v>-6</v>
      </c>
      <c r="F104" s="12">
        <f>IF(F99=1, F100,IF(F99=2, F101,IF(F99=3, F102, IF(F99=4, F103, IF(F99=5,#REF!, 0)))))</f>
        <v>-8</v>
      </c>
      <c r="H104" s="12">
        <f>IF(H99=1, H100,IF(H99=2, H101,IF(H99=3, H102, IF(H99=4, H103, IF(H99=5,#REF!, 0)))))</f>
        <v>3</v>
      </c>
      <c r="I104" s="12">
        <f>IF(I99=1, I100,IF(I99=2, I101,IF(I99=3, I102, IF(I99=4, I103, IF(I99=5,#REF!, 0)))))</f>
        <v>3</v>
      </c>
      <c r="J104" s="12">
        <f>IF(J99=1, J100,IF(J99=2, J101,IF(J99=3, J102, IF(J99=4, J103, IF(J99=5,#REF!, 0)))))</f>
        <v>-6</v>
      </c>
      <c r="K104" s="12">
        <f>IF(K99=1, K100,IF(K99=2, K101,IF(K99=3, K102, IF(K99=4, K103, IF(K99=5,#REF!, 0)))))</f>
        <v>0</v>
      </c>
      <c r="L104" s="12">
        <f>IF(L99=1, L100,IF(L99=2, L101,IF(L99=3, L102, IF(L99=4, L103, IF(L99=5,#REF!, 0)))))</f>
        <v>3</v>
      </c>
    </row>
    <row r="105" spans="2:14" hidden="1" outlineLevel="1" x14ac:dyDescent="0.25">
      <c r="B105" s="5"/>
      <c r="C105" s="13"/>
      <c r="D105" s="13"/>
      <c r="E105" s="13"/>
      <c r="F105" s="13"/>
      <c r="H105" s="13"/>
      <c r="I105" s="13"/>
      <c r="J105" s="13"/>
      <c r="K105" s="13"/>
      <c r="L105" s="13"/>
    </row>
    <row r="106" spans="2:14" hidden="1" outlineLevel="1" x14ac:dyDescent="0.25">
      <c r="B106" s="17" t="s">
        <v>44</v>
      </c>
      <c r="C106" s="29">
        <v>3</v>
      </c>
      <c r="D106" s="29">
        <v>3</v>
      </c>
      <c r="E106" s="29">
        <v>3</v>
      </c>
      <c r="F106" s="29">
        <v>3</v>
      </c>
      <c r="G106" s="1"/>
      <c r="H106" s="28">
        <f>'Walkability User Interface'!D21</f>
        <v>3</v>
      </c>
      <c r="I106" s="28">
        <f>'Walkability User Interface'!E21</f>
        <v>3</v>
      </c>
      <c r="J106" s="29">
        <v>3</v>
      </c>
      <c r="K106" s="29">
        <v>3</v>
      </c>
      <c r="L106" s="29">
        <v>3</v>
      </c>
      <c r="N106" t="s">
        <v>105</v>
      </c>
    </row>
    <row r="107" spans="2:14" hidden="1" outlineLevel="1" x14ac:dyDescent="0.25">
      <c r="B107" s="4" t="s">
        <v>48</v>
      </c>
      <c r="C107" s="11">
        <v>1</v>
      </c>
      <c r="D107" s="11">
        <v>2</v>
      </c>
      <c r="E107" s="11">
        <v>3</v>
      </c>
      <c r="F107" s="11">
        <v>3</v>
      </c>
      <c r="H107" s="30">
        <f t="shared" ref="H107:I109" si="46">IF("Industrial"=$B$2, $C107, IF("Suburban"=$B$2,  $D107, IF("Urban"=$B$2,  $E107, IF("Urban+"=$B$2,  $F107, 0))))</f>
        <v>3</v>
      </c>
      <c r="I107" s="30">
        <f t="shared" si="46"/>
        <v>3</v>
      </c>
      <c r="J107" s="11">
        <f>IF("Industrial"=$B$2, C107, IF("Suburban"=$B$2,  D107, IF("Urban"=$B$2,  E107, IF("Urban+"=$B$2,  F107, 0))))</f>
        <v>3</v>
      </c>
      <c r="K107" s="11">
        <f>IF("Industrial"=$B$2, C107, IF("Suburban"=$B$2,  D107, IF("Urban"=$B$2,  E107, IF("Urban+"=$B$2,  F107, 0))))</f>
        <v>3</v>
      </c>
      <c r="L107" s="11">
        <f>IF("Industrial"=$B$2, C107, IF("Suburban"=$B$2,  D107, IF("Urban"=$B$2,  E107, IF("Urban+"=$B$2,  F107, 0))))</f>
        <v>3</v>
      </c>
      <c r="N107" t="s">
        <v>117</v>
      </c>
    </row>
    <row r="108" spans="2:14" hidden="1" outlineLevel="1" x14ac:dyDescent="0.25">
      <c r="B108" s="4" t="s">
        <v>45</v>
      </c>
      <c r="C108" s="11">
        <v>2</v>
      </c>
      <c r="D108" s="11">
        <v>2</v>
      </c>
      <c r="E108" s="11">
        <v>3</v>
      </c>
      <c r="F108" s="11">
        <v>3</v>
      </c>
      <c r="H108" s="30">
        <f t="shared" si="46"/>
        <v>3</v>
      </c>
      <c r="I108" s="30">
        <f t="shared" si="46"/>
        <v>3</v>
      </c>
      <c r="J108" s="11">
        <f>IF("Industrial"=$B$2, C108, IF("Suburban"=$B$2,  D108, IF("Urban"=$B$2,  E108, IF("Urban+"=$B$2,  F108, 0))))</f>
        <v>3</v>
      </c>
      <c r="K108" s="11">
        <f>IF("Industrial"=$B$2, C108, IF("Suburban"=$B$2,  D108, IF("Urban"=$B$2,  E108, IF("Urban+"=$B$2,  F108, 0))))</f>
        <v>3</v>
      </c>
      <c r="L108" s="11">
        <f>IF("Industrial"=$B$2, C108, IF("Suburban"=$B$2,  D108, IF("Urban"=$B$2,  E108, IF("Urban+"=$B$2,  F108, 0))))</f>
        <v>3</v>
      </c>
    </row>
    <row r="109" spans="2:14" hidden="1" outlineLevel="1" x14ac:dyDescent="0.25">
      <c r="B109" s="4" t="s">
        <v>46</v>
      </c>
      <c r="C109" s="11">
        <v>1</v>
      </c>
      <c r="D109" s="11">
        <v>1</v>
      </c>
      <c r="E109" s="11">
        <v>1</v>
      </c>
      <c r="F109" s="11">
        <v>1</v>
      </c>
      <c r="H109" s="30">
        <f t="shared" si="46"/>
        <v>1</v>
      </c>
      <c r="I109" s="30">
        <f t="shared" si="46"/>
        <v>1</v>
      </c>
      <c r="J109" s="11">
        <f>IF("Industrial"=$B$2, C109, IF("Suburban"=$B$2,  D109, IF("Urban"=$B$2,  E109, IF("Urban+"=$B$2,  F109, 0))))</f>
        <v>1</v>
      </c>
      <c r="K109" s="11">
        <f>IF("Industrial"=$B$2, C109, IF("Suburban"=$B$2,  D109, IF("Urban"=$B$2,  E109, IF("Urban+"=$B$2,  F109, 0))))</f>
        <v>1</v>
      </c>
      <c r="L109" s="11">
        <f>IF("Industrial"=$B$2, C109, IF("Suburban"=$B$2,  D109, IF("Urban"=$B$2,  E109, IF("Urban+"=$B$2,  F109, 0))))</f>
        <v>1</v>
      </c>
    </row>
    <row r="110" spans="2:14" hidden="1" outlineLevel="1" x14ac:dyDescent="0.25">
      <c r="B110" s="7" t="s">
        <v>47</v>
      </c>
      <c r="C110" s="12">
        <f t="shared" ref="C110:E110" si="47">(C106-C107)*C109</f>
        <v>2</v>
      </c>
      <c r="D110" s="12">
        <f t="shared" si="47"/>
        <v>1</v>
      </c>
      <c r="E110" s="12">
        <f t="shared" si="47"/>
        <v>0</v>
      </c>
      <c r="F110" s="12">
        <f>(F106-F107)*F109</f>
        <v>0</v>
      </c>
      <c r="H110" s="12">
        <f>(H106-H107)*H109</f>
        <v>0</v>
      </c>
      <c r="I110" s="12">
        <f>(I106-I107)*I109</f>
        <v>0</v>
      </c>
      <c r="J110" s="12">
        <f t="shared" ref="J110:L110" si="48">(J106-J107)*J109</f>
        <v>0</v>
      </c>
      <c r="K110" s="12">
        <f t="shared" ref="K110" si="49">(K106-K107)*K109</f>
        <v>0</v>
      </c>
      <c r="L110" s="12">
        <f t="shared" si="48"/>
        <v>0</v>
      </c>
    </row>
    <row r="111" spans="2:14" hidden="1" outlineLevel="1" x14ac:dyDescent="0.25">
      <c r="B111" s="5"/>
      <c r="C111" s="13"/>
      <c r="D111" s="13"/>
      <c r="E111" s="13"/>
      <c r="F111" s="13"/>
      <c r="H111" s="13"/>
      <c r="I111" s="13"/>
      <c r="J111" s="13"/>
      <c r="K111" s="13"/>
      <c r="L111" s="13"/>
    </row>
    <row r="112" spans="2:14" collapsed="1" x14ac:dyDescent="0.25">
      <c r="B112" s="8" t="s">
        <v>44</v>
      </c>
      <c r="C112" s="14">
        <v>3</v>
      </c>
      <c r="D112" s="14">
        <v>3</v>
      </c>
      <c r="E112" s="14">
        <v>3</v>
      </c>
      <c r="F112" s="14">
        <v>3</v>
      </c>
      <c r="G112" s="1"/>
      <c r="H112" s="28">
        <f>H106</f>
        <v>3</v>
      </c>
      <c r="I112" s="28">
        <f>I106</f>
        <v>3</v>
      </c>
      <c r="J112" s="14">
        <v>1</v>
      </c>
      <c r="K112" s="14">
        <v>2</v>
      </c>
      <c r="L112" s="14">
        <v>3</v>
      </c>
    </row>
    <row r="113" spans="2:12" x14ac:dyDescent="0.25">
      <c r="B113" s="4" t="s">
        <v>114</v>
      </c>
      <c r="C113" s="11">
        <v>0</v>
      </c>
      <c r="D113" s="11">
        <v>-1</v>
      </c>
      <c r="E113" s="11">
        <v>-2</v>
      </c>
      <c r="F113" s="11">
        <v>-2</v>
      </c>
      <c r="H113" s="30">
        <f t="shared" ref="H113:I115" si="50">IF("Industrial"=$B$2, $C113, IF("Suburban"=$B$2,  $D113, IF("Urban"=$B$2,  $E113, IF("Urban+"=$B$2,  $F113, 0))))</f>
        <v>-2</v>
      </c>
      <c r="I113" s="30">
        <f t="shared" si="50"/>
        <v>-2</v>
      </c>
      <c r="J113" s="11">
        <f>IF("Industrial"=$B$2, C113, IF("Suburban"=$B$2,  D113, IF("Urban"=$B$2,  E113, IF("Urban+"=$B$2,  F113, 0))))</f>
        <v>-2</v>
      </c>
      <c r="K113" s="11">
        <f>IF("Industrial"=$B$2, C113, IF("Suburban"=$B$2,  D113, IF("Urban"=$B$2,  E113, IF("Urban+"=$B$2,  F113, 0))))</f>
        <v>-2</v>
      </c>
      <c r="L113" s="11">
        <f>IF("Industrial"=$B$2, C113, IF("Suburban"=$B$2,  D113, IF("Urban"=$B$2,  E113, IF("Urban+"=$B$2,  F113, 0))))</f>
        <v>-2</v>
      </c>
    </row>
    <row r="114" spans="2:12" x14ac:dyDescent="0.25">
      <c r="B114" s="4" t="s">
        <v>116</v>
      </c>
      <c r="C114" s="11">
        <v>1</v>
      </c>
      <c r="D114" s="11">
        <v>0</v>
      </c>
      <c r="E114" s="11">
        <v>-1</v>
      </c>
      <c r="F114" s="11">
        <v>-1</v>
      </c>
      <c r="H114" s="30">
        <f t="shared" si="50"/>
        <v>-1</v>
      </c>
      <c r="I114" s="30">
        <f t="shared" si="50"/>
        <v>-1</v>
      </c>
      <c r="J114" s="11">
        <f>IF("Industrial"=$B$2, C114, IF("Suburban"=$B$2,  D114, IF("Urban"=$B$2,  E114, IF("Urban+"=$B$2,  F114, 0))))</f>
        <v>-1</v>
      </c>
      <c r="K114" s="11">
        <f>IF("Industrial"=$B$2, C114, IF("Suburban"=$B$2,  D114, IF("Urban"=$B$2,  E114, IF("Urban+"=$B$2,  F114, 0))))</f>
        <v>-1</v>
      </c>
      <c r="L114" s="11">
        <f>IF("Industrial"=$B$2, C114, IF("Suburban"=$B$2,  D114, IF("Urban"=$B$2,  E114, IF("Urban+"=$B$2,  F114, 0))))</f>
        <v>-1</v>
      </c>
    </row>
    <row r="115" spans="2:12" x14ac:dyDescent="0.25">
      <c r="B115" s="4" t="s">
        <v>115</v>
      </c>
      <c r="C115" s="11">
        <v>2</v>
      </c>
      <c r="D115" s="11">
        <v>1</v>
      </c>
      <c r="E115" s="11">
        <v>0</v>
      </c>
      <c r="F115" s="11">
        <v>0</v>
      </c>
      <c r="H115" s="30">
        <f t="shared" si="50"/>
        <v>0</v>
      </c>
      <c r="I115" s="30">
        <f t="shared" si="50"/>
        <v>0</v>
      </c>
      <c r="J115" s="11">
        <f>IF("Industrial"=$B$2, C115, IF("Suburban"=$B$2,  D115, IF("Urban"=$B$2,  E115, IF("Urban+"=$B$2,  F115, 0))))</f>
        <v>0</v>
      </c>
      <c r="K115" s="11">
        <f>IF("Industrial"=$B$2, C115, IF("Suburban"=$B$2,  D115, IF("Urban"=$B$2,  E115, IF("Urban+"=$B$2,  F115, 0))))</f>
        <v>0</v>
      </c>
      <c r="L115" s="11">
        <f>IF("Industrial"=$B$2, C115, IF("Suburban"=$B$2,  D115, IF("Urban"=$B$2,  E115, IF("Urban+"=$B$2,  F115, 0))))</f>
        <v>0</v>
      </c>
    </row>
    <row r="116" spans="2:12" x14ac:dyDescent="0.25">
      <c r="B116" s="7" t="s">
        <v>47</v>
      </c>
      <c r="C116" s="12">
        <f>IF( C112=1, C113, IF(C112=2, C114, IF(C112=3, C115, 0)))</f>
        <v>2</v>
      </c>
      <c r="D116" s="12">
        <f t="shared" ref="D116:F116" si="51">IF( D112=1, D113, IF(D112=2, D114, IF(D112=3, D115, 0)))</f>
        <v>1</v>
      </c>
      <c r="E116" s="12">
        <f t="shared" si="51"/>
        <v>0</v>
      </c>
      <c r="F116" s="12">
        <f t="shared" si="51"/>
        <v>0</v>
      </c>
      <c r="H116" s="12">
        <f>IF( H112=1, H113, IF(H112=2, H114, IF(H112=3, H115, 0)))</f>
        <v>0</v>
      </c>
      <c r="I116" s="12">
        <f>IF( I112=1, I113, IF(I112=2, I114, IF(I112=3, I115, 0)))</f>
        <v>0</v>
      </c>
      <c r="J116" s="12">
        <f t="shared" ref="J116:L116" si="52">IF( J112=1, J113, IF(J112=2, J114, IF(J112=3, J115, 0)))</f>
        <v>-2</v>
      </c>
      <c r="K116" s="12">
        <f t="shared" ref="K116" si="53">IF( K112=1, K113, IF(K112=2, K114, IF(K112=3, K115, 0)))</f>
        <v>-1</v>
      </c>
      <c r="L116" s="12">
        <f t="shared" si="52"/>
        <v>0</v>
      </c>
    </row>
    <row r="117" spans="2:12" x14ac:dyDescent="0.25">
      <c r="H117" s="11"/>
      <c r="I117" s="11"/>
      <c r="J117" s="11"/>
      <c r="K117" s="11"/>
      <c r="L117" s="11"/>
    </row>
    <row r="118" spans="2:12" x14ac:dyDescent="0.25">
      <c r="B118" s="8" t="s">
        <v>42</v>
      </c>
      <c r="C118" s="14">
        <v>1300</v>
      </c>
      <c r="D118" s="14">
        <v>600</v>
      </c>
      <c r="E118" s="14">
        <v>600</v>
      </c>
      <c r="F118" s="14">
        <v>400</v>
      </c>
      <c r="G118" s="1"/>
      <c r="H118" s="28">
        <f>'Walkability User Interface'!D22</f>
        <v>700</v>
      </c>
      <c r="I118" s="28">
        <f>'Walkability User Interface'!E22</f>
        <v>350</v>
      </c>
      <c r="J118" s="14">
        <v>1500</v>
      </c>
      <c r="K118" s="14">
        <v>700</v>
      </c>
      <c r="L118" s="14">
        <v>500</v>
      </c>
    </row>
    <row r="119" spans="2:12" x14ac:dyDescent="0.25">
      <c r="B119" s="4" t="s">
        <v>208</v>
      </c>
      <c r="C119" s="11">
        <v>1</v>
      </c>
      <c r="D119" s="11">
        <v>1</v>
      </c>
      <c r="E119" s="11">
        <v>1</v>
      </c>
      <c r="F119" s="11">
        <v>1</v>
      </c>
      <c r="H119" s="30">
        <f t="shared" ref="H119:I120" si="54">IF("Industrial"=$B$2, $C119, IF("Suburban"=$B$2,  $D119, IF("Urban"=$B$2,  $E119, IF("Urban+"=$B$2,  $F119, 0))))</f>
        <v>1</v>
      </c>
      <c r="I119" s="30">
        <f t="shared" si="54"/>
        <v>1</v>
      </c>
      <c r="J119" s="11">
        <f>IF("Industrial"=$B$2, C119, IF("Suburban"=$B$2,  D119, IF("Urban"=$B$2,  E119, IF("Urban+"=$B$2,  F119, 0))))</f>
        <v>1</v>
      </c>
      <c r="K119" s="11">
        <f>IF("Industrial"=$B$2, C119, IF("Suburban"=$B$2,  D119, IF("Urban"=$B$2,  E119, IF("Urban+"=$B$2,  F119, 0))))</f>
        <v>1</v>
      </c>
      <c r="L119" s="11">
        <f>IF("Industrial"=$B$2, C119, IF("Suburban"=$B$2,  D119, IF("Urban"=$B$2,  E119, IF("Urban+"=$B$2,  F119, 0))))</f>
        <v>1</v>
      </c>
    </row>
    <row r="120" spans="2:12" x14ac:dyDescent="0.25">
      <c r="B120" s="4" t="s">
        <v>209</v>
      </c>
      <c r="C120" s="11">
        <v>1</v>
      </c>
      <c r="D120" s="11">
        <v>1</v>
      </c>
      <c r="E120" s="11">
        <v>1</v>
      </c>
      <c r="F120" s="11">
        <v>1</v>
      </c>
      <c r="H120" s="30">
        <f t="shared" si="54"/>
        <v>1</v>
      </c>
      <c r="I120" s="30">
        <f t="shared" si="54"/>
        <v>1</v>
      </c>
      <c r="J120" s="11">
        <f>IF("Industrial"=$B$2, C120, IF("Suburban"=$B$2,  D120, IF("Urban"=$B$2,  E120, IF("Urban+"=$B$2,  F120, 0))))</f>
        <v>1</v>
      </c>
      <c r="K120" s="11">
        <f>IF("Industrial"=$B$2, C120, IF("Suburban"=$B$2,  D120, IF("Urban"=$B$2,  E120, IF("Urban+"=$B$2,  F120, 0))))</f>
        <v>1</v>
      </c>
      <c r="L120" s="11">
        <f>IF("Industrial"=$B$2, C120, IF("Suburban"=$B$2,  D120, IF("Urban"=$B$2,  E120, IF("Urban+"=$B$2,  F120, 0))))</f>
        <v>1</v>
      </c>
    </row>
    <row r="121" spans="2:12" x14ac:dyDescent="0.25">
      <c r="B121" s="7" t="s">
        <v>43</v>
      </c>
      <c r="C121" s="12">
        <f>IF(C118&lt;=660, C120+C119, IF(C118&lt;=1320, C119, 0))</f>
        <v>1</v>
      </c>
      <c r="D121" s="12">
        <f t="shared" ref="D121:F121" si="55">IF(D118&lt;=660, D120+D119, IF(D118&lt;=1320, D119, 0))</f>
        <v>2</v>
      </c>
      <c r="E121" s="12">
        <f t="shared" si="55"/>
        <v>2</v>
      </c>
      <c r="F121" s="12">
        <f t="shared" si="55"/>
        <v>2</v>
      </c>
      <c r="H121" s="12">
        <f t="shared" ref="H121:I121" si="56">IF(H118&lt;=660, H120+H119, IF(H118&lt;=1320, H119, 0))</f>
        <v>1</v>
      </c>
      <c r="I121" s="12">
        <f t="shared" si="56"/>
        <v>2</v>
      </c>
      <c r="J121" s="12">
        <f t="shared" ref="J121" si="57">IF(J118&lt;=660, J120+J119, IF(J118&lt;=1320, J119, 0))</f>
        <v>0</v>
      </c>
      <c r="K121" s="12">
        <f t="shared" ref="K121" si="58">IF(K118&lt;=660, K120+K119, IF(K118&lt;=1320, K119, 0))</f>
        <v>1</v>
      </c>
      <c r="L121" s="12">
        <f t="shared" ref="L121" si="59">IF(L118&lt;=660, L120+L119, IF(L118&lt;=1320, L119, 0))</f>
        <v>2</v>
      </c>
    </row>
    <row r="122" spans="2:12" x14ac:dyDescent="0.25">
      <c r="H122" s="11"/>
      <c r="I122" s="11"/>
      <c r="J122" s="11"/>
      <c r="K122" s="11"/>
      <c r="L122" s="11"/>
    </row>
    <row r="123" spans="2:12" x14ac:dyDescent="0.25">
      <c r="B123" s="5"/>
      <c r="C123" s="13"/>
      <c r="D123" s="13"/>
      <c r="E123" s="13"/>
      <c r="F123" s="13"/>
      <c r="H123" s="13"/>
      <c r="I123" s="13"/>
      <c r="J123" s="13"/>
      <c r="K123" s="13"/>
      <c r="L123" s="13"/>
    </row>
    <row r="124" spans="2:12" x14ac:dyDescent="0.25">
      <c r="B124" s="8" t="s">
        <v>293</v>
      </c>
      <c r="C124" s="14" t="s">
        <v>7</v>
      </c>
      <c r="D124" s="14" t="s">
        <v>7</v>
      </c>
      <c r="E124" s="14" t="s">
        <v>6</v>
      </c>
      <c r="F124" s="14" t="s">
        <v>6</v>
      </c>
      <c r="H124" s="28" t="str">
        <f>'Walkability User Interface'!D23</f>
        <v>Yes</v>
      </c>
      <c r="I124" s="28" t="str">
        <f>'Walkability User Interface'!E23</f>
        <v>Yes</v>
      </c>
      <c r="J124" s="14" t="s">
        <v>7</v>
      </c>
      <c r="K124" s="14" t="s">
        <v>7</v>
      </c>
      <c r="L124" s="14" t="s">
        <v>6</v>
      </c>
    </row>
    <row r="125" spans="2:12" x14ac:dyDescent="0.25">
      <c r="B125" t="s">
        <v>294</v>
      </c>
      <c r="C125" s="11">
        <v>1</v>
      </c>
      <c r="D125" s="11">
        <v>1</v>
      </c>
      <c r="E125" s="11">
        <v>2</v>
      </c>
      <c r="F125" s="11">
        <v>2</v>
      </c>
      <c r="H125" s="30">
        <f t="shared" ref="H125:I125" si="60">IF("Industrial"=$B$2, $C125, IF("Suburban"=$B$2,  $D125, IF("Urban"=$B$2,  $E125, IF("Urban+"=$B$2,  $F125, 0))))</f>
        <v>2</v>
      </c>
      <c r="I125" s="30">
        <f t="shared" si="60"/>
        <v>2</v>
      </c>
      <c r="J125" s="11">
        <f>IF("Industrial"=$B$2, C125, IF("Suburban"=$B$2,  D125, IF("Urban"=$B$2,  E125, IF("Urban+"=$B$2,  F125, 0))))</f>
        <v>2</v>
      </c>
      <c r="K125" s="11">
        <f>IF("Industrial"=$B$2, C125, IF("Suburban"=$B$2,  D125, IF("Urban"=$B$2,  E125, IF("Urban+"=$B$2,  F125, 0))))</f>
        <v>2</v>
      </c>
      <c r="L125" s="11">
        <f>IF("Industrial"=$B$2, C125, IF("Suburban"=$B$2,  D125, IF("Urban"=$B$2,  E125, IF("Urban+"=$B$2,  F125, 0))))</f>
        <v>2</v>
      </c>
    </row>
    <row r="126" spans="2:12" x14ac:dyDescent="0.25">
      <c r="B126" s="7" t="s">
        <v>68</v>
      </c>
      <c r="C126" s="12">
        <f t="shared" ref="C126:F126" si="61">IF("Yes"=C124, C125, 0)</f>
        <v>0</v>
      </c>
      <c r="D126" s="12">
        <f t="shared" si="61"/>
        <v>0</v>
      </c>
      <c r="E126" s="12">
        <f t="shared" si="61"/>
        <v>2</v>
      </c>
      <c r="F126" s="12">
        <f t="shared" si="61"/>
        <v>2</v>
      </c>
      <c r="H126" s="12">
        <f>IF("Yes"=H124, H125, 0)</f>
        <v>2</v>
      </c>
      <c r="I126" s="12">
        <f>IF("Yes"=I124, I125, 0)</f>
        <v>2</v>
      </c>
      <c r="J126" s="12">
        <f t="shared" ref="J126:L126" si="62">IF("Yes"=J124, J125, 0)</f>
        <v>0</v>
      </c>
      <c r="K126" s="12">
        <f t="shared" si="62"/>
        <v>0</v>
      </c>
      <c r="L126" s="12">
        <f t="shared" si="62"/>
        <v>2</v>
      </c>
    </row>
    <row r="127" spans="2:12" x14ac:dyDescent="0.25">
      <c r="B127"/>
      <c r="C127"/>
      <c r="D127"/>
      <c r="E127"/>
      <c r="F127"/>
    </row>
    <row r="128" spans="2:12" x14ac:dyDescent="0.25">
      <c r="B128" s="22" t="s">
        <v>135</v>
      </c>
      <c r="C128" s="23">
        <f>C104+C116+C121</f>
        <v>1</v>
      </c>
      <c r="D128" s="23">
        <f t="shared" ref="D128:L128" si="63">D104+D116+D121</f>
        <v>-1</v>
      </c>
      <c r="E128" s="23">
        <f t="shared" si="63"/>
        <v>-4</v>
      </c>
      <c r="F128" s="23">
        <f t="shared" si="63"/>
        <v>-6</v>
      </c>
      <c r="H128" s="23">
        <f t="shared" si="63"/>
        <v>4</v>
      </c>
      <c r="I128" s="23">
        <f t="shared" si="63"/>
        <v>5</v>
      </c>
      <c r="J128" s="23">
        <f t="shared" si="63"/>
        <v>-8</v>
      </c>
      <c r="K128" s="23">
        <f t="shared" si="63"/>
        <v>0</v>
      </c>
      <c r="L128" s="23">
        <f t="shared" si="63"/>
        <v>5</v>
      </c>
    </row>
    <row r="129" spans="2:14" x14ac:dyDescent="0.25">
      <c r="H129" s="11"/>
      <c r="I129" s="11"/>
      <c r="J129" s="11"/>
      <c r="K129" s="11"/>
      <c r="L129" s="11"/>
    </row>
    <row r="130" spans="2:14" ht="15.75" x14ac:dyDescent="0.25">
      <c r="B130" s="19" t="s">
        <v>128</v>
      </c>
      <c r="C130" s="20"/>
      <c r="D130" s="20"/>
      <c r="E130" s="20"/>
      <c r="F130" s="20"/>
      <c r="G130" s="21"/>
      <c r="H130" s="21"/>
      <c r="I130" s="21"/>
      <c r="J130" s="21"/>
      <c r="K130" s="21"/>
      <c r="L130" s="21"/>
    </row>
    <row r="131" spans="2:14" x14ac:dyDescent="0.25">
      <c r="B131" s="24" t="s">
        <v>136</v>
      </c>
      <c r="C131" s="24"/>
      <c r="D131" s="24"/>
      <c r="F131"/>
      <c r="H131" s="25">
        <f>'Walkability User Interface'!$D$6</f>
        <v>2</v>
      </c>
      <c r="I131" s="25">
        <f>'Walkability User Interface'!$E$6</f>
        <v>1</v>
      </c>
    </row>
    <row r="132" spans="2:14" s="6" customFormat="1" ht="15.75" x14ac:dyDescent="0.25">
      <c r="B132" s="8" t="s">
        <v>78</v>
      </c>
      <c r="C132" s="14">
        <v>6</v>
      </c>
      <c r="D132" s="14">
        <v>2</v>
      </c>
      <c r="E132" s="14">
        <v>5</v>
      </c>
      <c r="F132" s="14">
        <v>4</v>
      </c>
      <c r="H132" s="28">
        <f>'Walkability User Interface'!D24</f>
        <v>5</v>
      </c>
      <c r="I132" s="28">
        <f>'Walkability User Interface'!E24</f>
        <v>0</v>
      </c>
      <c r="J132" s="14">
        <v>6</v>
      </c>
      <c r="K132" s="14">
        <v>5</v>
      </c>
      <c r="L132" s="14">
        <v>3</v>
      </c>
      <c r="N132" s="9"/>
    </row>
    <row r="133" spans="2:14" ht="30" x14ac:dyDescent="0.25">
      <c r="B133" s="4" t="s">
        <v>81</v>
      </c>
      <c r="C133" s="11">
        <v>-2</v>
      </c>
      <c r="D133" s="11">
        <v>-2</v>
      </c>
      <c r="E133" s="11">
        <v>-3</v>
      </c>
      <c r="F133" s="11">
        <v>-4</v>
      </c>
      <c r="H133" s="30">
        <f t="shared" ref="H133:I138" si="64">IF("Industrial"=$B$2, $C133, IF("Suburban"=$B$2,  $D133, IF("Urban"=$B$2,  $E133, IF("Urban+"=$B$2,  $F133, 0))))</f>
        <v>-3</v>
      </c>
      <c r="I133" s="30">
        <f t="shared" si="64"/>
        <v>-3</v>
      </c>
      <c r="J133" s="11">
        <f t="shared" ref="J133:J138" si="65">IF("Industrial"=$B$2, C133, IF("Suburban"=$B$2,  D133, IF("Urban"=$B$2,  E133, IF("Urban+"=$B$2,  F133, 0))))</f>
        <v>-3</v>
      </c>
      <c r="K133" s="11">
        <f t="shared" ref="K133:K138" si="66">IF("Industrial"=$B$2, C133, IF("Suburban"=$B$2,  D133, IF("Urban"=$B$2,  E133, IF("Urban+"=$B$2,  F133, 0))))</f>
        <v>-3</v>
      </c>
      <c r="L133" s="11">
        <f t="shared" ref="L133:L138" si="67">IF("Industrial"=$B$2, C133, IF("Suburban"=$B$2,  D133, IF("Urban"=$B$2,  E133, IF("Urban+"=$B$2,  F133, 0))))</f>
        <v>-3</v>
      </c>
    </row>
    <row r="134" spans="2:14" ht="30" x14ac:dyDescent="0.25">
      <c r="B134" s="4" t="s">
        <v>82</v>
      </c>
      <c r="C134" s="11">
        <f>C133/2</f>
        <v>-1</v>
      </c>
      <c r="D134" s="11">
        <f t="shared" ref="D134:F134" si="68">D133/2</f>
        <v>-1</v>
      </c>
      <c r="E134" s="11">
        <f t="shared" si="68"/>
        <v>-1.5</v>
      </c>
      <c r="F134" s="11">
        <f t="shared" si="68"/>
        <v>-2</v>
      </c>
      <c r="H134" s="30">
        <f t="shared" si="64"/>
        <v>-1.5</v>
      </c>
      <c r="I134" s="30">
        <f t="shared" si="64"/>
        <v>-1.5</v>
      </c>
      <c r="J134" s="11">
        <f t="shared" si="65"/>
        <v>-1.5</v>
      </c>
      <c r="K134" s="11">
        <f t="shared" si="66"/>
        <v>-1.5</v>
      </c>
      <c r="L134" s="11">
        <f t="shared" si="67"/>
        <v>-1.5</v>
      </c>
    </row>
    <row r="135" spans="2:14" ht="30" x14ac:dyDescent="0.25">
      <c r="B135" s="4" t="s">
        <v>83</v>
      </c>
      <c r="C135" s="11">
        <f>C134</f>
        <v>-1</v>
      </c>
      <c r="D135" s="11">
        <f t="shared" ref="D135:F135" si="69">D134</f>
        <v>-1</v>
      </c>
      <c r="E135" s="11">
        <f t="shared" si="69"/>
        <v>-1.5</v>
      </c>
      <c r="F135" s="11">
        <f t="shared" si="69"/>
        <v>-2</v>
      </c>
      <c r="H135" s="30">
        <f t="shared" si="64"/>
        <v>-1.5</v>
      </c>
      <c r="I135" s="30">
        <f t="shared" si="64"/>
        <v>-1.5</v>
      </c>
      <c r="J135" s="11">
        <f t="shared" si="65"/>
        <v>-1.5</v>
      </c>
      <c r="K135" s="11">
        <f t="shared" si="66"/>
        <v>-1.5</v>
      </c>
      <c r="L135" s="11">
        <f t="shared" si="67"/>
        <v>-1.5</v>
      </c>
      <c r="N135" t="s">
        <v>35</v>
      </c>
    </row>
    <row r="136" spans="2:14" ht="30" x14ac:dyDescent="0.25">
      <c r="B136" s="4" t="s">
        <v>84</v>
      </c>
      <c r="C136" s="11">
        <v>1</v>
      </c>
      <c r="D136" s="11">
        <v>2</v>
      </c>
      <c r="E136" s="11">
        <v>3</v>
      </c>
      <c r="F136" s="11">
        <v>3</v>
      </c>
      <c r="H136" s="30">
        <f t="shared" si="64"/>
        <v>3</v>
      </c>
      <c r="I136" s="30">
        <f t="shared" si="64"/>
        <v>3</v>
      </c>
      <c r="J136" s="11">
        <f t="shared" si="65"/>
        <v>3</v>
      </c>
      <c r="K136" s="11">
        <f t="shared" si="66"/>
        <v>3</v>
      </c>
      <c r="L136" s="11">
        <f t="shared" si="67"/>
        <v>3</v>
      </c>
      <c r="N136" t="s">
        <v>36</v>
      </c>
    </row>
    <row r="137" spans="2:14" x14ac:dyDescent="0.25">
      <c r="B137" s="4" t="s">
        <v>80</v>
      </c>
      <c r="C137" s="11">
        <v>1</v>
      </c>
      <c r="D137" s="11">
        <v>2</v>
      </c>
      <c r="E137" s="11">
        <v>1</v>
      </c>
      <c r="F137" s="11">
        <v>1</v>
      </c>
      <c r="H137" s="30">
        <f t="shared" si="64"/>
        <v>1</v>
      </c>
      <c r="I137" s="30">
        <f t="shared" si="64"/>
        <v>1</v>
      </c>
      <c r="J137" s="11">
        <f t="shared" si="65"/>
        <v>1</v>
      </c>
      <c r="K137" s="11">
        <f t="shared" si="66"/>
        <v>1</v>
      </c>
      <c r="L137" s="11">
        <f t="shared" si="67"/>
        <v>1</v>
      </c>
    </row>
    <row r="138" spans="2:14" x14ac:dyDescent="0.25">
      <c r="B138" s="4" t="s">
        <v>79</v>
      </c>
      <c r="C138" s="11">
        <v>1</v>
      </c>
      <c r="D138" s="11">
        <v>1</v>
      </c>
      <c r="E138" s="11">
        <v>1</v>
      </c>
      <c r="F138" s="11">
        <v>1</v>
      </c>
      <c r="H138" s="30">
        <f t="shared" si="64"/>
        <v>1</v>
      </c>
      <c r="I138" s="30">
        <f t="shared" si="64"/>
        <v>1</v>
      </c>
      <c r="J138" s="11">
        <f t="shared" si="65"/>
        <v>1</v>
      </c>
      <c r="K138" s="11">
        <f t="shared" si="66"/>
        <v>1</v>
      </c>
      <c r="L138" s="11">
        <f t="shared" si="67"/>
        <v>1</v>
      </c>
    </row>
    <row r="139" spans="2:14" x14ac:dyDescent="0.25">
      <c r="B139" s="7" t="s">
        <v>90</v>
      </c>
      <c r="C139" s="12">
        <f>IF(C132=6, C133,IF(C132=5, C134,IF(C132=4, C135,IF(C132=3, C136, IF(C132=2, C137, IF(C132=1, C138, 0))))))</f>
        <v>-2</v>
      </c>
      <c r="D139" s="12">
        <f t="shared" ref="D139:F139" si="70">IF(D132=6, D133,IF(D132=5, D134,IF(D132=4, D135,IF(D132=3, D136, IF(D132=2, D137, IF(D132=1, D138, 0))))))</f>
        <v>2</v>
      </c>
      <c r="E139" s="12">
        <f t="shared" si="70"/>
        <v>-1.5</v>
      </c>
      <c r="F139" s="12">
        <f t="shared" si="70"/>
        <v>-2</v>
      </c>
      <c r="H139" s="12">
        <f>IF(H132=6, H133,IF(H132=5, H134,IF(H132=4, H135,IF(H132=3, H136, IF(H132=2, H137, IF(H132=1, H138, 0))))))</f>
        <v>-1.5</v>
      </c>
      <c r="I139" s="12">
        <f>IF(I132=6, I133,IF(I132=5, I134,IF(I132=4, I135,IF(I132=3, I136, IF(I132=2, I137, IF(I132=1, I138, 0))))))</f>
        <v>0</v>
      </c>
      <c r="J139" s="12">
        <f t="shared" ref="J139:L139" si="71">IF(J132=6, J133,IF(J132=5, J134,IF(J132=4, J135,IF(J132=3, J136, IF(J132=2, J137, IF(J132=1, J138, 0))))))</f>
        <v>-3</v>
      </c>
      <c r="K139" s="12">
        <f t="shared" ref="K139" si="72">IF(K132=6, K133,IF(K132=5, K134,IF(K132=4, K135,IF(K132=3, K136, IF(K132=2, K137, IF(K132=1, K138, 0))))))</f>
        <v>-1.5</v>
      </c>
      <c r="L139" s="12">
        <f t="shared" si="71"/>
        <v>3</v>
      </c>
    </row>
    <row r="140" spans="2:14" x14ac:dyDescent="0.25">
      <c r="H140" s="11"/>
      <c r="I140" s="11"/>
      <c r="J140" s="11"/>
      <c r="K140" s="11"/>
      <c r="L140" s="11"/>
    </row>
    <row r="141" spans="2:14" s="6" customFormat="1" ht="15.75" x14ac:dyDescent="0.25">
      <c r="B141" s="8" t="s">
        <v>89</v>
      </c>
      <c r="C141" s="14">
        <v>8</v>
      </c>
      <c r="D141" s="14">
        <v>2</v>
      </c>
      <c r="E141" s="14">
        <v>8</v>
      </c>
      <c r="F141" s="14">
        <v>5</v>
      </c>
      <c r="H141" s="28">
        <f>'Walkability User Interface'!D25</f>
        <v>0</v>
      </c>
      <c r="I141" s="28">
        <f>'Walkability User Interface'!E25</f>
        <v>2</v>
      </c>
      <c r="J141" s="14">
        <v>2</v>
      </c>
      <c r="K141" s="14">
        <v>2</v>
      </c>
      <c r="L141" s="14">
        <v>2</v>
      </c>
    </row>
    <row r="142" spans="2:14" x14ac:dyDescent="0.25">
      <c r="B142" s="4" t="s">
        <v>91</v>
      </c>
      <c r="C142" s="11">
        <v>-1</v>
      </c>
      <c r="D142" s="11">
        <v>-1</v>
      </c>
      <c r="E142" s="11">
        <v>-1</v>
      </c>
      <c r="F142" s="11">
        <v>-1</v>
      </c>
      <c r="H142" s="30">
        <f t="shared" ref="H142:I149" si="73">IF("Industrial"=$B$2, $C142, IF("Suburban"=$B$2,  $D142, IF("Urban"=$B$2,  $E142, IF("Urban+"=$B$2,  $F142, 0))))</f>
        <v>-1</v>
      </c>
      <c r="I142" s="30">
        <f t="shared" si="73"/>
        <v>-1</v>
      </c>
      <c r="J142" s="11">
        <f t="shared" ref="J142:J149" si="74">IF("Industrial"=$B$2, C142, IF("Suburban"=$B$2,  D142, IF("Urban"=$B$2,  E142, IF("Urban+"=$B$2,  F142, 0))))</f>
        <v>-1</v>
      </c>
      <c r="K142" s="11">
        <f t="shared" ref="K142:K149" si="75">IF("Industrial"=$B$2, C142, IF("Suburban"=$B$2,  D142, IF("Urban"=$B$2,  E142, IF("Urban+"=$B$2,  F142, 0))))</f>
        <v>-1</v>
      </c>
      <c r="L142" s="11">
        <f t="shared" ref="L142:L149" si="76">IF("Industrial"=$B$2, C142, IF("Suburban"=$B$2,  D142, IF("Urban"=$B$2,  E142, IF("Urban+"=$B$2,  F142, 0))))</f>
        <v>-1</v>
      </c>
      <c r="N142" t="s">
        <v>34</v>
      </c>
    </row>
    <row r="143" spans="2:14" x14ac:dyDescent="0.25">
      <c r="B143" s="4" t="s">
        <v>92</v>
      </c>
      <c r="C143" s="11">
        <v>0</v>
      </c>
      <c r="D143" s="11">
        <v>0</v>
      </c>
      <c r="E143" s="11">
        <v>0</v>
      </c>
      <c r="F143" s="11">
        <v>0</v>
      </c>
      <c r="H143" s="30">
        <f t="shared" si="73"/>
        <v>0</v>
      </c>
      <c r="I143" s="30">
        <f t="shared" si="73"/>
        <v>0</v>
      </c>
      <c r="J143" s="11">
        <f t="shared" si="74"/>
        <v>0</v>
      </c>
      <c r="K143" s="11">
        <f t="shared" si="75"/>
        <v>0</v>
      </c>
      <c r="L143" s="11">
        <f t="shared" si="76"/>
        <v>0</v>
      </c>
    </row>
    <row r="144" spans="2:14" x14ac:dyDescent="0.25">
      <c r="B144" s="4" t="s">
        <v>93</v>
      </c>
      <c r="C144" s="11">
        <v>1</v>
      </c>
      <c r="D144" s="11">
        <v>1</v>
      </c>
      <c r="E144" s="11">
        <v>2</v>
      </c>
      <c r="F144" s="11">
        <v>2</v>
      </c>
      <c r="H144" s="30">
        <f t="shared" si="73"/>
        <v>2</v>
      </c>
      <c r="I144" s="30">
        <f t="shared" si="73"/>
        <v>2</v>
      </c>
      <c r="J144" s="11">
        <f t="shared" si="74"/>
        <v>2</v>
      </c>
      <c r="K144" s="11">
        <f t="shared" si="75"/>
        <v>2</v>
      </c>
      <c r="L144" s="11">
        <f t="shared" si="76"/>
        <v>2</v>
      </c>
    </row>
    <row r="145" spans="2:14" x14ac:dyDescent="0.25">
      <c r="B145" s="4" t="s">
        <v>94</v>
      </c>
      <c r="C145" s="11">
        <v>1.5</v>
      </c>
      <c r="D145" s="11">
        <v>1.5</v>
      </c>
      <c r="E145" s="11">
        <v>3</v>
      </c>
      <c r="F145" s="11">
        <v>3</v>
      </c>
      <c r="H145" s="30">
        <f t="shared" si="73"/>
        <v>3</v>
      </c>
      <c r="I145" s="30">
        <f t="shared" si="73"/>
        <v>3</v>
      </c>
      <c r="J145" s="11">
        <f t="shared" si="74"/>
        <v>3</v>
      </c>
      <c r="K145" s="11">
        <f t="shared" si="75"/>
        <v>3</v>
      </c>
      <c r="L145" s="11">
        <f t="shared" si="76"/>
        <v>3</v>
      </c>
    </row>
    <row r="146" spans="2:14" x14ac:dyDescent="0.25">
      <c r="B146" s="4" t="s">
        <v>85</v>
      </c>
      <c r="C146" s="11">
        <f>C142</f>
        <v>-1</v>
      </c>
      <c r="D146" s="11">
        <f t="shared" ref="D146" si="77">D142</f>
        <v>-1</v>
      </c>
      <c r="E146" s="11">
        <v>-2</v>
      </c>
      <c r="F146" s="11">
        <v>-2</v>
      </c>
      <c r="H146" s="30">
        <f t="shared" si="73"/>
        <v>-2</v>
      </c>
      <c r="I146" s="30">
        <f t="shared" si="73"/>
        <v>-2</v>
      </c>
      <c r="J146" s="11">
        <f t="shared" si="74"/>
        <v>-2</v>
      </c>
      <c r="K146" s="11">
        <f t="shared" si="75"/>
        <v>-2</v>
      </c>
      <c r="L146" s="11">
        <f t="shared" si="76"/>
        <v>-2</v>
      </c>
    </row>
    <row r="147" spans="2:14" x14ac:dyDescent="0.25">
      <c r="B147" s="4" t="s">
        <v>86</v>
      </c>
      <c r="C147" s="11">
        <f t="shared" ref="C147:D147" si="78">C143</f>
        <v>0</v>
      </c>
      <c r="D147" s="11">
        <f t="shared" si="78"/>
        <v>0</v>
      </c>
      <c r="E147" s="11">
        <v>-1</v>
      </c>
      <c r="F147" s="11">
        <v>-1</v>
      </c>
      <c r="H147" s="30">
        <f t="shared" si="73"/>
        <v>-1</v>
      </c>
      <c r="I147" s="30">
        <f t="shared" si="73"/>
        <v>-1</v>
      </c>
      <c r="J147" s="11">
        <f t="shared" si="74"/>
        <v>-1</v>
      </c>
      <c r="K147" s="11">
        <f t="shared" si="75"/>
        <v>-1</v>
      </c>
      <c r="L147" s="11">
        <f t="shared" si="76"/>
        <v>-1</v>
      </c>
    </row>
    <row r="148" spans="2:14" x14ac:dyDescent="0.25">
      <c r="B148" s="4" t="s">
        <v>87</v>
      </c>
      <c r="C148" s="11">
        <f t="shared" ref="C148:D148" si="79">C144</f>
        <v>1</v>
      </c>
      <c r="D148" s="11">
        <f t="shared" si="79"/>
        <v>1</v>
      </c>
      <c r="E148" s="11">
        <v>1</v>
      </c>
      <c r="F148" s="11">
        <v>1</v>
      </c>
      <c r="H148" s="30">
        <f t="shared" si="73"/>
        <v>1</v>
      </c>
      <c r="I148" s="30">
        <f t="shared" si="73"/>
        <v>1</v>
      </c>
      <c r="J148" s="11">
        <f t="shared" si="74"/>
        <v>1</v>
      </c>
      <c r="K148" s="11">
        <f t="shared" si="75"/>
        <v>1</v>
      </c>
      <c r="L148" s="11">
        <f t="shared" si="76"/>
        <v>1</v>
      </c>
    </row>
    <row r="149" spans="2:14" x14ac:dyDescent="0.25">
      <c r="B149" s="4" t="s">
        <v>88</v>
      </c>
      <c r="C149" s="11">
        <f t="shared" ref="C149:D149" si="80">C145</f>
        <v>1.5</v>
      </c>
      <c r="D149" s="11">
        <f t="shared" si="80"/>
        <v>1.5</v>
      </c>
      <c r="E149" s="11">
        <v>2</v>
      </c>
      <c r="F149" s="11">
        <v>2</v>
      </c>
      <c r="H149" s="30">
        <f t="shared" si="73"/>
        <v>2</v>
      </c>
      <c r="I149" s="30">
        <f t="shared" si="73"/>
        <v>2</v>
      </c>
      <c r="J149" s="11">
        <f t="shared" si="74"/>
        <v>2</v>
      </c>
      <c r="K149" s="11">
        <f t="shared" si="75"/>
        <v>2</v>
      </c>
      <c r="L149" s="11">
        <f t="shared" si="76"/>
        <v>2</v>
      </c>
    </row>
    <row r="150" spans="2:14" x14ac:dyDescent="0.25">
      <c r="B150" s="7" t="s">
        <v>90</v>
      </c>
      <c r="C150" s="12">
        <f>IF(C141=8, C142,IF(C141=7, C143,IF(C141=6, C144,IF(C141=5, C145,IF(C141=4, C146,IF(C141=3, C147, IF(C141=2, C148, IF(C141=1, C149, 0))))))))</f>
        <v>-1</v>
      </c>
      <c r="D150" s="12">
        <f t="shared" ref="D150:F150" si="81">IF(D141=8, D142,IF(D141=7, D143,IF(D141=6, D144,IF(D141=5, D145,IF(D141=4, D146,IF(D141=3, D147, IF(D141=2, D148, IF(D141=1, D149, 0))))))))</f>
        <v>1</v>
      </c>
      <c r="E150" s="12">
        <f t="shared" si="81"/>
        <v>-1</v>
      </c>
      <c r="F150" s="12">
        <f t="shared" si="81"/>
        <v>3</v>
      </c>
      <c r="H150" s="12">
        <f>IF(H141=8, H142,IF(H141=7, H143,IF(H141=6, H144,IF(H141=5, H145,IF(H141=4, H146,IF(H141=3, H147, IF(H141=2, H148, IF(H141=1, H149, 0))))))))</f>
        <v>0</v>
      </c>
      <c r="I150" s="12">
        <f>IF(I141=8, I142,IF(I141=7, I143,IF(I141=6, I144,IF(I141=5, I145,IF(I141=4, I146,IF(I141=3, I147, IF(I141=2, I148, IF(I141=1, I149, 0))))))))</f>
        <v>1</v>
      </c>
      <c r="J150" s="12">
        <f t="shared" ref="J150:L150" si="82">IF(J141=8, J142,IF(J141=7, J143,IF(J141=6, J144,IF(J141=5, J145,IF(J141=4, J146,IF(J141=3, J147, IF(J141=2, J148, IF(J141=1, J149, 0))))))))</f>
        <v>1</v>
      </c>
      <c r="K150" s="12">
        <f t="shared" ref="K150" si="83">IF(K141=8, K142,IF(K141=7, K143,IF(K141=6, K144,IF(K141=5, K145,IF(K141=4, K146,IF(K141=3, K147, IF(K141=2, K148, IF(K141=1, K149, 0))))))))</f>
        <v>1</v>
      </c>
      <c r="L150" s="12">
        <f t="shared" si="82"/>
        <v>1</v>
      </c>
    </row>
    <row r="151" spans="2:14" x14ac:dyDescent="0.25">
      <c r="H151" s="11"/>
      <c r="I151" s="11"/>
      <c r="J151" s="11"/>
      <c r="K151" s="11"/>
      <c r="L151" s="11"/>
    </row>
    <row r="152" spans="2:14" x14ac:dyDescent="0.25">
      <c r="B152" s="22" t="s">
        <v>95</v>
      </c>
      <c r="C152" s="23">
        <f>IF($H$131=2, C139, C150)</f>
        <v>-2</v>
      </c>
      <c r="D152" s="23">
        <f>IF($H$131=2, D139, D150)</f>
        <v>2</v>
      </c>
      <c r="E152" s="23">
        <f>IF($H$131=2, E139, E150)</f>
        <v>-1.5</v>
      </c>
      <c r="F152" s="23">
        <f>IF($H$131=2, F139, F150)</f>
        <v>-2</v>
      </c>
      <c r="H152" s="23">
        <f>IF($H$131=2, H139, H150)</f>
        <v>-1.5</v>
      </c>
      <c r="I152" s="23">
        <f>IF($I$131=2, I139, I150)</f>
        <v>1</v>
      </c>
      <c r="J152" s="23">
        <f>IF($H$131=2, J139, J150)</f>
        <v>-3</v>
      </c>
      <c r="K152" s="23">
        <f>IF($H$131=2, K139, K150)</f>
        <v>-1.5</v>
      </c>
      <c r="L152" s="23">
        <f>IF($H$131=2, L139, L150)</f>
        <v>3</v>
      </c>
    </row>
    <row r="153" spans="2:14" x14ac:dyDescent="0.25">
      <c r="H153" s="11"/>
      <c r="I153" s="11"/>
      <c r="J153" s="11"/>
      <c r="K153" s="11"/>
      <c r="L153" s="11"/>
    </row>
    <row r="154" spans="2:14" ht="15.75" x14ac:dyDescent="0.25">
      <c r="B154" s="19" t="s">
        <v>127</v>
      </c>
      <c r="C154" s="20"/>
      <c r="D154" s="20"/>
      <c r="E154" s="20"/>
      <c r="F154" s="20"/>
      <c r="G154" s="21"/>
      <c r="H154" s="21"/>
      <c r="I154" s="21"/>
      <c r="J154" s="21"/>
      <c r="K154" s="21"/>
      <c r="L154" s="21"/>
    </row>
    <row r="155" spans="2:14" x14ac:dyDescent="0.25">
      <c r="B155" s="8" t="s">
        <v>33</v>
      </c>
      <c r="C155" s="14">
        <v>50</v>
      </c>
      <c r="D155" s="14">
        <v>35</v>
      </c>
      <c r="E155" s="14">
        <v>30</v>
      </c>
      <c r="F155" s="14">
        <v>30</v>
      </c>
      <c r="G155" s="1"/>
      <c r="H155" s="28">
        <f>'Walkability User Interface'!D29</f>
        <v>40</v>
      </c>
      <c r="I155" s="28">
        <f>'Walkability User Interface'!E29</f>
        <v>35</v>
      </c>
      <c r="J155" s="14">
        <v>45</v>
      </c>
      <c r="K155" s="14">
        <v>35</v>
      </c>
      <c r="L155" s="14">
        <v>30</v>
      </c>
    </row>
    <row r="156" spans="2:14" x14ac:dyDescent="0.25">
      <c r="B156" s="4" t="s">
        <v>17</v>
      </c>
      <c r="C156" s="11">
        <v>45</v>
      </c>
      <c r="D156" s="11">
        <v>40</v>
      </c>
      <c r="E156" s="11">
        <v>35</v>
      </c>
      <c r="F156" s="11">
        <v>30</v>
      </c>
      <c r="H156" s="30">
        <f t="shared" ref="H156:I158" si="84">IF("Industrial"=$B$2, $C156, IF("Suburban"=$B$2,  $D156, IF("Urban"=$B$2,  $E156, IF("Urban+"=$B$2,  $F156, 0))))</f>
        <v>35</v>
      </c>
      <c r="I156" s="30">
        <f t="shared" si="84"/>
        <v>35</v>
      </c>
      <c r="J156" s="11">
        <f>IF("Industrial"=$B$2, C156, IF("Suburban"=$B$2,  D156, IF("Urban"=$B$2,  E156, IF("Urban+"=$B$2,  F156, 0))))</f>
        <v>35</v>
      </c>
      <c r="K156" s="11">
        <f>IF("Industrial"=$B$2, C156, IF("Suburban"=$B$2,  D156, IF("Urban"=$B$2,  E156, IF("Urban+"=$B$2,  F156, 0))))</f>
        <v>35</v>
      </c>
      <c r="L156" s="11">
        <f>IF("Industrial"=$B$2, C156, IF("Suburban"=$B$2,  D156, IF("Urban"=$B$2,  E156, IF("Urban+"=$B$2,  F156, 0))))</f>
        <v>35</v>
      </c>
      <c r="N156" t="s">
        <v>5</v>
      </c>
    </row>
    <row r="157" spans="2:14" x14ac:dyDescent="0.25">
      <c r="B157" s="4" t="s">
        <v>15</v>
      </c>
      <c r="C157" s="11">
        <v>40</v>
      </c>
      <c r="D157" s="11">
        <v>35</v>
      </c>
      <c r="E157" s="11">
        <v>30</v>
      </c>
      <c r="F157" s="11">
        <v>25</v>
      </c>
      <c r="H157" s="30">
        <f t="shared" si="84"/>
        <v>30</v>
      </c>
      <c r="I157" s="30">
        <f t="shared" si="84"/>
        <v>30</v>
      </c>
      <c r="J157" s="11">
        <f>IF("Industrial"=$B$2, C157, IF("Suburban"=$B$2,  D157, IF("Urban"=$B$2,  E157, IF("Urban+"=$B$2,  F157, 0))))</f>
        <v>30</v>
      </c>
      <c r="K157" s="11">
        <f>IF("Industrial"=$B$2, C157, IF("Suburban"=$B$2,  D157, IF("Urban"=$B$2,  E157, IF("Urban+"=$B$2,  F157, 0))))</f>
        <v>30</v>
      </c>
      <c r="L157" s="11">
        <f>IF("Industrial"=$B$2, C157, IF("Suburban"=$B$2,  D157, IF("Urban"=$B$2,  E157, IF("Urban+"=$B$2,  F157, 0))))</f>
        <v>30</v>
      </c>
    </row>
    <row r="158" spans="2:14" x14ac:dyDescent="0.25">
      <c r="B158" s="4" t="s">
        <v>18</v>
      </c>
      <c r="C158" s="11">
        <v>0.5</v>
      </c>
      <c r="D158" s="11">
        <v>0.5</v>
      </c>
      <c r="E158" s="11">
        <v>0.5</v>
      </c>
      <c r="F158" s="11">
        <v>0.5</v>
      </c>
      <c r="H158" s="30">
        <f t="shared" si="84"/>
        <v>0.5</v>
      </c>
      <c r="I158" s="30">
        <f t="shared" si="84"/>
        <v>0.5</v>
      </c>
      <c r="J158" s="11">
        <f>IF("Industrial"=$B$2, C158, IF("Suburban"=$B$2,  D158, IF("Urban"=$B$2,  E158, IF("Urban+"=$B$2,  F158, 0))))</f>
        <v>0.5</v>
      </c>
      <c r="K158" s="11">
        <f>IF("Industrial"=$B$2, C158, IF("Suburban"=$B$2,  D158, IF("Urban"=$B$2,  E158, IF("Urban+"=$B$2,  F158, 0))))</f>
        <v>0.5</v>
      </c>
      <c r="L158" s="11">
        <f>IF("Industrial"=$B$2, C158, IF("Suburban"=$B$2,  D158, IF("Urban"=$B$2,  E158, IF("Urban+"=$B$2,  F158, 0))))</f>
        <v>0.5</v>
      </c>
    </row>
    <row r="159" spans="2:14" x14ac:dyDescent="0.25">
      <c r="B159" s="7" t="s">
        <v>16</v>
      </c>
      <c r="C159" s="12">
        <f>MIN((C157-C155), 0)*C158</f>
        <v>-5</v>
      </c>
      <c r="D159" s="12">
        <f>MIN((D157-D155), 0)*D158</f>
        <v>0</v>
      </c>
      <c r="E159" s="12">
        <f>MIN((E157-E155), 0)*E158</f>
        <v>0</v>
      </c>
      <c r="F159" s="12">
        <f>MIN((F157-F155), 0)*F158</f>
        <v>-2.5</v>
      </c>
      <c r="H159" s="12">
        <f>MIN((H157-H155), 0)*H158</f>
        <v>-5</v>
      </c>
      <c r="I159" s="12">
        <f>MIN((I157-I155), 0)*I158</f>
        <v>-2.5</v>
      </c>
      <c r="J159" s="12">
        <f>MIN((J157-J155), 0)*J158</f>
        <v>-7.5</v>
      </c>
      <c r="K159" s="12">
        <f>MIN((K157-K155), 0)*K158</f>
        <v>-2.5</v>
      </c>
      <c r="L159" s="12">
        <f>MIN((L157-L155), 0)*L158</f>
        <v>0</v>
      </c>
    </row>
    <row r="160" spans="2:14" x14ac:dyDescent="0.25">
      <c r="H160" s="11"/>
      <c r="I160" s="11"/>
      <c r="J160" s="11"/>
      <c r="K160" s="11"/>
      <c r="L160" s="11"/>
    </row>
    <row r="161" spans="2:14" x14ac:dyDescent="0.25">
      <c r="B161" s="8" t="s">
        <v>54</v>
      </c>
      <c r="C161" s="14">
        <v>0</v>
      </c>
      <c r="D161" s="14">
        <v>30</v>
      </c>
      <c r="E161" s="14">
        <v>60</v>
      </c>
      <c r="F161" s="14">
        <v>10</v>
      </c>
      <c r="G161" s="1"/>
      <c r="H161" s="28">
        <f>'Walkability User Interface'!D30</f>
        <v>30</v>
      </c>
      <c r="I161" s="28">
        <f>'Walkability User Interface'!E30</f>
        <v>30</v>
      </c>
      <c r="J161" s="14">
        <v>60</v>
      </c>
      <c r="K161" s="14">
        <v>30</v>
      </c>
      <c r="L161" s="14">
        <v>15</v>
      </c>
      <c r="N161" t="s">
        <v>55</v>
      </c>
    </row>
    <row r="162" spans="2:14" x14ac:dyDescent="0.25">
      <c r="B162" s="4" t="s">
        <v>57</v>
      </c>
      <c r="C162" s="11">
        <v>1</v>
      </c>
      <c r="D162" s="11">
        <v>1</v>
      </c>
      <c r="E162" s="11">
        <v>1</v>
      </c>
      <c r="F162" s="11">
        <v>1</v>
      </c>
      <c r="H162" s="30">
        <f t="shared" ref="H162:I166" si="85">IF("Industrial"=$B$2, $C162, IF("Suburban"=$B$2,  $D162, IF("Urban"=$B$2,  $E162, IF("Urban+"=$B$2,  $F162, 0))))</f>
        <v>1</v>
      </c>
      <c r="I162" s="30">
        <f t="shared" si="85"/>
        <v>1</v>
      </c>
      <c r="J162" s="11">
        <f>IF("Industrial"=$B$2, C162, IF("Suburban"=$B$2,  D162, IF("Urban"=$B$2,  E162, IF("Urban+"=$B$2,  F162, 0))))</f>
        <v>1</v>
      </c>
      <c r="K162" s="11">
        <f>IF("Industrial"=$B$2, C162, IF("Suburban"=$B$2,  D162, IF("Urban"=$B$2,  E162, IF("Urban+"=$B$2,  F162, 0))))</f>
        <v>1</v>
      </c>
      <c r="L162" s="11">
        <f>IF("Industrial"=$B$2, C162, IF("Suburban"=$B$2,  D162, IF("Urban"=$B$2,  E162, IF("Urban+"=$B$2,  F162, 0))))</f>
        <v>1</v>
      </c>
    </row>
    <row r="163" spans="2:14" x14ac:dyDescent="0.25">
      <c r="B163" s="4" t="s">
        <v>31</v>
      </c>
      <c r="C163" s="11">
        <v>1</v>
      </c>
      <c r="D163" s="11">
        <v>1</v>
      </c>
      <c r="E163" s="11">
        <v>1</v>
      </c>
      <c r="F163" s="11">
        <v>1</v>
      </c>
      <c r="H163" s="30">
        <f t="shared" si="85"/>
        <v>1</v>
      </c>
      <c r="I163" s="30">
        <f t="shared" si="85"/>
        <v>1</v>
      </c>
      <c r="J163" s="11">
        <f>IF("Industrial"=$B$2, C163, IF("Suburban"=$B$2,  D163, IF("Urban"=$B$2,  E163, IF("Urban+"=$B$2,  F163, 0))))</f>
        <v>1</v>
      </c>
      <c r="K163" s="11">
        <f>IF("Industrial"=$B$2, C163, IF("Suburban"=$B$2,  D163, IF("Urban"=$B$2,  E163, IF("Urban+"=$B$2,  F163, 0))))</f>
        <v>1</v>
      </c>
      <c r="L163" s="11">
        <f>IF("Industrial"=$B$2, C163, IF("Suburban"=$B$2,  D163, IF("Urban"=$B$2,  E163, IF("Urban+"=$B$2,  F163, 0))))</f>
        <v>1</v>
      </c>
    </row>
    <row r="164" spans="2:14" x14ac:dyDescent="0.25">
      <c r="B164" s="4" t="s">
        <v>32</v>
      </c>
      <c r="C164" s="11">
        <v>1</v>
      </c>
      <c r="D164" s="11">
        <v>1</v>
      </c>
      <c r="E164" s="11">
        <v>1</v>
      </c>
      <c r="F164" s="11">
        <v>1</v>
      </c>
      <c r="H164" s="30">
        <f t="shared" si="85"/>
        <v>1</v>
      </c>
      <c r="I164" s="30">
        <f t="shared" si="85"/>
        <v>1</v>
      </c>
      <c r="J164" s="11">
        <f>IF("Industrial"=$B$2, C164, IF("Suburban"=$B$2,  D164, IF("Urban"=$B$2,  E164, IF("Urban+"=$B$2,  F164, 0))))</f>
        <v>1</v>
      </c>
      <c r="K164" s="11">
        <f>IF("Industrial"=$B$2, C164, IF("Suburban"=$B$2,  D164, IF("Urban"=$B$2,  E164, IF("Urban+"=$B$2,  F164, 0))))</f>
        <v>1</v>
      </c>
      <c r="L164" s="11">
        <f>IF("Industrial"=$B$2, C164, IF("Suburban"=$B$2,  D164, IF("Urban"=$B$2,  E164, IF("Urban+"=$B$2,  F164, 0))))</f>
        <v>1</v>
      </c>
    </row>
    <row r="165" spans="2:14" x14ac:dyDescent="0.25">
      <c r="B165" s="4" t="s">
        <v>56</v>
      </c>
      <c r="C165" s="11">
        <v>1</v>
      </c>
      <c r="D165" s="11">
        <v>1</v>
      </c>
      <c r="E165" s="11">
        <v>1</v>
      </c>
      <c r="F165" s="11">
        <v>1</v>
      </c>
      <c r="H165" s="30">
        <f t="shared" si="85"/>
        <v>1</v>
      </c>
      <c r="I165" s="30">
        <f t="shared" si="85"/>
        <v>1</v>
      </c>
      <c r="J165" s="11">
        <f>IF("Industrial"=$B$2, C165, IF("Suburban"=$B$2,  D165, IF("Urban"=$B$2,  E165, IF("Urban+"=$B$2,  F165, 0))))</f>
        <v>1</v>
      </c>
      <c r="K165" s="11">
        <f>IF("Industrial"=$B$2, C165, IF("Suburban"=$B$2,  D165, IF("Urban"=$B$2,  E165, IF("Urban+"=$B$2,  F165, 0))))</f>
        <v>1</v>
      </c>
      <c r="L165" s="11">
        <f>IF("Industrial"=$B$2, C165, IF("Suburban"=$B$2,  D165, IF("Urban"=$B$2,  E165, IF("Urban+"=$B$2,  F165, 0))))</f>
        <v>1</v>
      </c>
    </row>
    <row r="166" spans="2:14" x14ac:dyDescent="0.25">
      <c r="B166" s="4" t="s">
        <v>58</v>
      </c>
      <c r="C166" s="11">
        <v>1</v>
      </c>
      <c r="D166" s="11">
        <v>1</v>
      </c>
      <c r="E166" s="11">
        <v>1</v>
      </c>
      <c r="F166" s="11">
        <v>1</v>
      </c>
      <c r="H166" s="30">
        <f t="shared" si="85"/>
        <v>1</v>
      </c>
      <c r="I166" s="30">
        <f t="shared" si="85"/>
        <v>1</v>
      </c>
      <c r="J166" s="11">
        <f>IF("Industrial"=$B$2, C166, IF("Suburban"=$B$2,  D166, IF("Urban"=$B$2,  E166, IF("Urban+"=$B$2,  F166, 0))))</f>
        <v>1</v>
      </c>
      <c r="K166" s="11">
        <f>IF("Industrial"=$B$2, C166, IF("Suburban"=$B$2,  D166, IF("Urban"=$B$2,  E166, IF("Urban+"=$B$2,  F166, 0))))</f>
        <v>1</v>
      </c>
      <c r="L166" s="11">
        <f>IF("Industrial"=$B$2, C166, IF("Suburban"=$B$2,  D166, IF("Urban"=$B$2,  E166, IF("Urban+"=$B$2,  F166, 0))))</f>
        <v>1</v>
      </c>
    </row>
    <row r="167" spans="2:14" x14ac:dyDescent="0.25">
      <c r="B167" s="7" t="s">
        <v>129</v>
      </c>
      <c r="C167" s="12">
        <f>IF(C161&lt;=0, 0, IF(C161&lt;=8, C165+C164+C163+C162, IF(C161&lt;=15, C164+C163+C162, IF(C161&lt;=30, C163+C162, IF(C161&lt;=60, C162)))))*C166</f>
        <v>0</v>
      </c>
      <c r="D167" s="12">
        <f t="shared" ref="D167:F167" si="86">IF(D161&lt;=0, 0, IF(D161&lt;=8, D165+D164+D163+D162, IF(D161&lt;=15, D164+D163+D162, IF(D161&lt;=30, D163+D162, IF(D161&lt;=60, D162)))))*D166</f>
        <v>2</v>
      </c>
      <c r="E167" s="12">
        <f t="shared" si="86"/>
        <v>1</v>
      </c>
      <c r="F167" s="12">
        <f t="shared" si="86"/>
        <v>3</v>
      </c>
      <c r="H167" s="12">
        <f>IF(H161&lt;=0, 0, IF(H161&lt;=8, H165+H164+H163+H162, IF(H161&lt;=15, H164+H163+H162, IF(H161&lt;=30, H163+H162, IF(H161&lt;=60, H162)))))*H166</f>
        <v>2</v>
      </c>
      <c r="I167" s="12">
        <f>IF(I161&lt;=0, 0, IF(I161&lt;=8, I165+I164+I163+I162, IF(I161&lt;=15, I164+I163+I162, IF(I161&lt;=30, I163+I162, IF(I161&lt;=60, I162)))))*I166</f>
        <v>2</v>
      </c>
      <c r="J167" s="12">
        <f t="shared" ref="J167:L167" si="87">IF(J161&lt;=0, 0, IF(J161&lt;=8, J165+J164+J163+J162, IF(J161&lt;=15, J164+J163+J162, IF(J161&lt;=30, J163+J162, IF(J161&lt;=60, J162)))))*J166</f>
        <v>1</v>
      </c>
      <c r="K167" s="12">
        <f t="shared" ref="K167" si="88">IF(K161&lt;=0, 0, IF(K161&lt;=8, K165+K164+K163+K162, IF(K161&lt;=15, K164+K163+K162, IF(K161&lt;=30, K163+K162, IF(K161&lt;=60, K162)))))*K166</f>
        <v>2</v>
      </c>
      <c r="L167" s="12">
        <f t="shared" si="87"/>
        <v>3</v>
      </c>
    </row>
    <row r="168" spans="2:14" x14ac:dyDescent="0.25">
      <c r="H168" s="11"/>
      <c r="I168" s="11"/>
      <c r="J168" s="11"/>
      <c r="K168" s="11"/>
      <c r="L168" s="11"/>
    </row>
    <row r="169" spans="2:14" x14ac:dyDescent="0.25">
      <c r="B169" s="8" t="s">
        <v>211</v>
      </c>
      <c r="C169" s="14" t="s">
        <v>6</v>
      </c>
      <c r="D169" s="14" t="s">
        <v>6</v>
      </c>
      <c r="E169" s="14" t="s">
        <v>7</v>
      </c>
      <c r="F169" s="14" t="s">
        <v>7</v>
      </c>
      <c r="G169" s="1"/>
      <c r="H169" s="28" t="str">
        <f>'Walkability User Interface'!D31</f>
        <v>No</v>
      </c>
      <c r="I169" s="28" t="str">
        <f>'Walkability User Interface'!E31</f>
        <v>No</v>
      </c>
      <c r="J169" s="14" t="s">
        <v>6</v>
      </c>
      <c r="K169" s="14" t="s">
        <v>6</v>
      </c>
      <c r="L169" s="14" t="s">
        <v>7</v>
      </c>
      <c r="N169" t="s">
        <v>201</v>
      </c>
    </row>
    <row r="170" spans="2:14" x14ac:dyDescent="0.25">
      <c r="B170" s="4" t="s">
        <v>210</v>
      </c>
      <c r="C170" s="11">
        <v>1</v>
      </c>
      <c r="D170" s="11">
        <v>1</v>
      </c>
      <c r="E170" s="11">
        <v>2</v>
      </c>
      <c r="F170" s="11">
        <v>2</v>
      </c>
      <c r="H170" s="30">
        <f t="shared" ref="H170:I170" si="89">IF("Industrial"=$B$2, $C170, IF("Suburban"=$B$2,  $D170, IF("Urban"=$B$2,  $E170, IF("Urban+"=$B$2,  $F170, 0))))</f>
        <v>2</v>
      </c>
      <c r="I170" s="30">
        <f t="shared" si="89"/>
        <v>2</v>
      </c>
      <c r="J170" s="11">
        <f>IF("Industrial"=$B$2, C170, IF("Suburban"=$B$2,  D170, IF("Urban"=$B$2,  E170, IF("Urban+"=$B$2,  F170, 0))))</f>
        <v>2</v>
      </c>
      <c r="K170" s="11">
        <f>IF("Industrial"=$B$2, C170, IF("Suburban"=$B$2,  D170, IF("Urban"=$B$2,  E170, IF("Urban+"=$B$2,  F170, 0))))</f>
        <v>2</v>
      </c>
      <c r="L170" s="11">
        <f>IF("Industrial"=$B$2, C170, IF("Suburban"=$B$2,  D170, IF("Urban"=$B$2,  E170, IF("Urban+"=$B$2,  F170, 0))))</f>
        <v>2</v>
      </c>
    </row>
    <row r="171" spans="2:14" x14ac:dyDescent="0.25">
      <c r="B171" s="7" t="s">
        <v>212</v>
      </c>
      <c r="C171" s="12">
        <f>IF("Yes"=C169, C170, 0)</f>
        <v>1</v>
      </c>
      <c r="D171" s="12">
        <f t="shared" ref="D171:F171" si="90">IF("Yes"=D169, D170, 0)</f>
        <v>1</v>
      </c>
      <c r="E171" s="12">
        <f t="shared" si="90"/>
        <v>0</v>
      </c>
      <c r="F171" s="12">
        <f t="shared" si="90"/>
        <v>0</v>
      </c>
      <c r="H171" s="12">
        <f t="shared" ref="H171" si="91">IF("Yes"=H169, H170, 0)</f>
        <v>0</v>
      </c>
      <c r="I171" s="12">
        <f t="shared" ref="I171" si="92">IF("Yes"=I169, I170, 0)</f>
        <v>0</v>
      </c>
      <c r="J171" s="12">
        <f t="shared" ref="J171" si="93">IF("Yes"=J169, J170, 0)</f>
        <v>2</v>
      </c>
      <c r="K171" s="12">
        <f t="shared" ref="K171" si="94">IF("Yes"=K169, K170, 0)</f>
        <v>2</v>
      </c>
      <c r="L171" s="12">
        <f t="shared" ref="L171" si="95">IF("Yes"=L169, L170, 0)</f>
        <v>0</v>
      </c>
    </row>
    <row r="172" spans="2:14" x14ac:dyDescent="0.25">
      <c r="H172" s="11"/>
      <c r="I172" s="11"/>
      <c r="J172" s="11"/>
      <c r="K172" s="11"/>
      <c r="L172" s="11"/>
    </row>
    <row r="173" spans="2:14" x14ac:dyDescent="0.25">
      <c r="B173" s="8" t="s">
        <v>59</v>
      </c>
      <c r="C173" s="14" t="s">
        <v>7</v>
      </c>
      <c r="D173" s="14" t="s">
        <v>7</v>
      </c>
      <c r="E173" s="14" t="s">
        <v>6</v>
      </c>
      <c r="F173" s="14" t="s">
        <v>6</v>
      </c>
      <c r="G173" s="1"/>
      <c r="H173" s="28" t="str">
        <f>'Walkability User Interface'!D32</f>
        <v>No</v>
      </c>
      <c r="I173" s="28" t="str">
        <f>'Walkability User Interface'!E32</f>
        <v>No</v>
      </c>
      <c r="J173" s="14" t="s">
        <v>7</v>
      </c>
      <c r="K173" s="14" t="s">
        <v>7</v>
      </c>
      <c r="L173" s="14" t="s">
        <v>6</v>
      </c>
      <c r="N173" t="s">
        <v>60</v>
      </c>
    </row>
    <row r="174" spans="2:14" x14ac:dyDescent="0.25">
      <c r="B174" s="4" t="s">
        <v>61</v>
      </c>
      <c r="C174" s="11">
        <v>1</v>
      </c>
      <c r="D174" s="11">
        <v>1</v>
      </c>
      <c r="E174" s="11">
        <v>2</v>
      </c>
      <c r="F174" s="11">
        <v>2</v>
      </c>
      <c r="H174" s="30">
        <f t="shared" ref="H174:I174" si="96">IF("Industrial"=$B$2, $C174, IF("Suburban"=$B$2,  $D174, IF("Urban"=$B$2,  $E174, IF("Urban+"=$B$2,  $F174, 0))))</f>
        <v>2</v>
      </c>
      <c r="I174" s="30">
        <f t="shared" si="96"/>
        <v>2</v>
      </c>
      <c r="J174" s="11">
        <f>IF("Industrial"=$B$2, C174, IF("Suburban"=$B$2,  D174, IF("Urban"=$B$2,  E174, IF("Urban+"=$B$2,  F174, 0))))</f>
        <v>2</v>
      </c>
      <c r="K174" s="11">
        <f>IF("Industrial"=$B$2, C174, IF("Suburban"=$B$2,  D174, IF("Urban"=$B$2,  E174, IF("Urban+"=$B$2,  F174, 0))))</f>
        <v>2</v>
      </c>
      <c r="L174" s="11">
        <f>IF("Industrial"=$B$2, C174, IF("Suburban"=$B$2,  D174, IF("Urban"=$B$2,  E174, IF("Urban+"=$B$2,  F174, 0))))</f>
        <v>2</v>
      </c>
    </row>
    <row r="175" spans="2:14" x14ac:dyDescent="0.25">
      <c r="B175" s="7" t="s">
        <v>69</v>
      </c>
      <c r="C175" s="12">
        <f t="shared" ref="C175" si="97">IF("Yes"=C173, C174, 0)</f>
        <v>0</v>
      </c>
      <c r="D175" s="12">
        <f t="shared" ref="D175" si="98">IF("Yes"=D173, D174, 0)</f>
        <v>0</v>
      </c>
      <c r="E175" s="12">
        <f t="shared" ref="E175" si="99">IF("Yes"=E173, E174, 0)</f>
        <v>2</v>
      </c>
      <c r="F175" s="12">
        <f t="shared" ref="F175" si="100">IF("Yes"=F173, F174, 0)</f>
        <v>2</v>
      </c>
      <c r="H175" s="12">
        <f>IF("Yes"=H173, H174, 0)</f>
        <v>0</v>
      </c>
      <c r="I175" s="12">
        <f>IF("Yes"=I173, I174, 0)</f>
        <v>0</v>
      </c>
      <c r="J175" s="12">
        <f t="shared" ref="J175:L175" si="101">IF("Yes"=J173, J174, 0)</f>
        <v>0</v>
      </c>
      <c r="K175" s="12">
        <f t="shared" si="101"/>
        <v>0</v>
      </c>
      <c r="L175" s="12">
        <f t="shared" si="101"/>
        <v>2</v>
      </c>
    </row>
    <row r="176" spans="2:14" x14ac:dyDescent="0.25">
      <c r="H176" s="11"/>
      <c r="I176" s="11"/>
      <c r="J176" s="11"/>
      <c r="K176" s="11"/>
      <c r="L176" s="11"/>
    </row>
    <row r="177" spans="2:14" x14ac:dyDescent="0.25">
      <c r="B177" s="22" t="s">
        <v>137</v>
      </c>
      <c r="C177" s="23">
        <f>C159+C167+C171+C175</f>
        <v>-4</v>
      </c>
      <c r="D177" s="23">
        <f t="shared" ref="D177:L177" si="102">D159+D167+D171+D175</f>
        <v>3</v>
      </c>
      <c r="E177" s="23">
        <f t="shared" si="102"/>
        <v>3</v>
      </c>
      <c r="F177" s="23">
        <f t="shared" si="102"/>
        <v>2.5</v>
      </c>
      <c r="H177" s="23">
        <f>H159+H167+H171+H175</f>
        <v>-3</v>
      </c>
      <c r="I177" s="23">
        <f>I159+I167+I171+I175</f>
        <v>-0.5</v>
      </c>
      <c r="J177" s="23">
        <f t="shared" si="102"/>
        <v>-4.5</v>
      </c>
      <c r="K177" s="23">
        <f t="shared" ref="K177" si="103">K159+K167+K171+K175</f>
        <v>1.5</v>
      </c>
      <c r="L177" s="23">
        <f t="shared" si="102"/>
        <v>5</v>
      </c>
    </row>
    <row r="178" spans="2:14" x14ac:dyDescent="0.25">
      <c r="H178" s="11"/>
      <c r="I178" s="11"/>
      <c r="J178" s="11"/>
      <c r="K178" s="11"/>
      <c r="L178" s="11"/>
    </row>
    <row r="179" spans="2:14" ht="15.75" x14ac:dyDescent="0.25">
      <c r="B179" s="19" t="s">
        <v>254</v>
      </c>
      <c r="C179" s="20"/>
      <c r="D179" s="20"/>
      <c r="E179" s="20"/>
      <c r="F179" s="20"/>
      <c r="G179" s="21"/>
      <c r="H179" s="21"/>
      <c r="I179" s="21"/>
      <c r="J179" s="21"/>
      <c r="K179" s="21"/>
      <c r="L179" s="21"/>
    </row>
    <row r="180" spans="2:14" x14ac:dyDescent="0.25">
      <c r="B180" s="24" t="s">
        <v>139</v>
      </c>
      <c r="C180" s="24"/>
      <c r="D180"/>
      <c r="E180"/>
      <c r="F180"/>
    </row>
    <row r="181" spans="2:14" outlineLevel="1" x14ac:dyDescent="0.25">
      <c r="B181" s="5"/>
      <c r="C181" s="13"/>
      <c r="D181" s="13"/>
      <c r="E181" s="13"/>
      <c r="F181" s="13"/>
      <c r="H181" s="13"/>
      <c r="I181" s="13"/>
      <c r="J181" s="13"/>
      <c r="K181" s="13"/>
      <c r="L181" s="13"/>
    </row>
    <row r="182" spans="2:14" outlineLevel="1" x14ac:dyDescent="0.25">
      <c r="B182" s="17" t="s">
        <v>183</v>
      </c>
      <c r="C182" s="18">
        <v>2</v>
      </c>
      <c r="D182" s="18">
        <v>2</v>
      </c>
      <c r="E182" s="18">
        <v>2</v>
      </c>
      <c r="F182" s="18">
        <v>2</v>
      </c>
      <c r="H182" s="18">
        <f>'Walkability User Interface'!D36</f>
        <v>2</v>
      </c>
      <c r="I182" s="18">
        <f>'Walkability User Interface'!E36</f>
        <v>2</v>
      </c>
      <c r="J182" s="18">
        <v>3</v>
      </c>
      <c r="K182" s="18">
        <v>3</v>
      </c>
      <c r="L182" s="18">
        <v>3</v>
      </c>
      <c r="N182" t="s">
        <v>105</v>
      </c>
    </row>
    <row r="183" spans="2:14" outlineLevel="1" x14ac:dyDescent="0.25">
      <c r="B183" s="4" t="s">
        <v>184</v>
      </c>
      <c r="C183" s="11">
        <v>1</v>
      </c>
      <c r="D183" s="11">
        <v>1</v>
      </c>
      <c r="E183" s="11">
        <v>1</v>
      </c>
      <c r="F183" s="11">
        <v>1</v>
      </c>
      <c r="H183" s="30">
        <f t="shared" ref="H183:I185" si="104">IF("Industrial"=$B$2, $C183, IF("Suburban"=$B$2,  $D183, IF("Urban"=$B$2,  $E183, IF("Urban+"=$B$2,  $F183, 0))))</f>
        <v>1</v>
      </c>
      <c r="I183" s="30">
        <f t="shared" si="104"/>
        <v>1</v>
      </c>
      <c r="J183" s="11">
        <f>IF("Industrial"=$B$2, C183, IF("Suburban"=$B$2,  D183, IF("Urban"=$B$2,  E183, IF("Urban+"=$B$2,  F183, 0))))</f>
        <v>1</v>
      </c>
      <c r="K183" s="11">
        <f>IF("Industrial"=$B$2, C183, IF("Suburban"=$B$2,  D183, IF("Urban"=$B$2,  E183, IF("Urban+"=$B$2,  F183, 0))))</f>
        <v>1</v>
      </c>
      <c r="L183" s="11">
        <f>IF("Industrial"=$B$2, C183, IF("Suburban"=$B$2,  D183, IF("Urban"=$B$2,  E183, IF("Urban+"=$B$2,  F183, 0))))</f>
        <v>1</v>
      </c>
      <c r="N183" t="s">
        <v>117</v>
      </c>
    </row>
    <row r="184" spans="2:14" outlineLevel="1" x14ac:dyDescent="0.25">
      <c r="B184" s="4" t="s">
        <v>185</v>
      </c>
      <c r="C184" s="11">
        <v>1</v>
      </c>
      <c r="D184" s="11">
        <v>2</v>
      </c>
      <c r="E184" s="11">
        <v>2</v>
      </c>
      <c r="F184" s="11">
        <v>2</v>
      </c>
      <c r="H184" s="30">
        <f t="shared" si="104"/>
        <v>2</v>
      </c>
      <c r="I184" s="30">
        <f t="shared" si="104"/>
        <v>2</v>
      </c>
      <c r="J184" s="11">
        <f>IF("Industrial"=$B$2, C184, IF("Suburban"=$B$2,  D184, IF("Urban"=$B$2,  E184, IF("Urban+"=$B$2,  F184, 0))))</f>
        <v>2</v>
      </c>
      <c r="K184" s="11">
        <f>IF("Industrial"=$B$2, C184, IF("Suburban"=$B$2,  D184, IF("Urban"=$B$2,  E184, IF("Urban+"=$B$2,  F184, 0))))</f>
        <v>2</v>
      </c>
      <c r="L184" s="11">
        <f>IF("Industrial"=$B$2, C184, IF("Suburban"=$B$2,  D184, IF("Urban"=$B$2,  E184, IF("Urban+"=$B$2,  F184, 0))))</f>
        <v>2</v>
      </c>
    </row>
    <row r="185" spans="2:14" outlineLevel="1" x14ac:dyDescent="0.25">
      <c r="B185" s="4" t="s">
        <v>187</v>
      </c>
      <c r="C185" s="11">
        <v>1</v>
      </c>
      <c r="D185" s="11">
        <v>1</v>
      </c>
      <c r="E185" s="11">
        <v>2</v>
      </c>
      <c r="F185" s="11">
        <v>3</v>
      </c>
      <c r="H185" s="30">
        <f t="shared" si="104"/>
        <v>2</v>
      </c>
      <c r="I185" s="30">
        <f t="shared" si="104"/>
        <v>2</v>
      </c>
      <c r="J185" s="11">
        <f>IF("Industrial"=$B$2, C185, IF("Suburban"=$B$2,  D185, IF("Urban"=$B$2,  E185, IF("Urban+"=$B$2,  F185, 0))))</f>
        <v>2</v>
      </c>
      <c r="K185" s="11">
        <f>IF("Industrial"=$B$2, C185, IF("Suburban"=$B$2,  D185, IF("Urban"=$B$2,  E185, IF("Urban+"=$B$2,  F185, 0))))</f>
        <v>2</v>
      </c>
      <c r="L185" s="11">
        <f>IF("Industrial"=$B$2, C185, IF("Suburban"=$B$2,  D185, IF("Urban"=$B$2,  E185, IF("Urban+"=$B$2,  F185, 0))))</f>
        <v>2</v>
      </c>
    </row>
    <row r="186" spans="2:14" outlineLevel="1" x14ac:dyDescent="0.25">
      <c r="B186" s="7" t="s">
        <v>186</v>
      </c>
      <c r="C186" s="12">
        <f>(C182-C184)*C185</f>
        <v>1</v>
      </c>
      <c r="D186" s="12">
        <f t="shared" ref="D186" si="105">(D182-D184)*D185</f>
        <v>0</v>
      </c>
      <c r="E186" s="12">
        <f>(E182-E184)*E185</f>
        <v>0</v>
      </c>
      <c r="F186" s="12">
        <f>(F182-F184)*F185</f>
        <v>0</v>
      </c>
      <c r="H186" s="12">
        <f t="shared" ref="H186:L186" si="106">(H182-H184)*H185</f>
        <v>0</v>
      </c>
      <c r="I186" s="12">
        <f t="shared" ref="I186" si="107">(I182-I184)*I185</f>
        <v>0</v>
      </c>
      <c r="J186" s="12">
        <f t="shared" si="106"/>
        <v>2</v>
      </c>
      <c r="K186" s="12">
        <f t="shared" si="106"/>
        <v>2</v>
      </c>
      <c r="L186" s="12">
        <f t="shared" si="106"/>
        <v>2</v>
      </c>
    </row>
    <row r="188" spans="2:14" x14ac:dyDescent="0.25">
      <c r="B188" s="8" t="s">
        <v>130</v>
      </c>
      <c r="C188" s="14">
        <v>2</v>
      </c>
      <c r="D188" s="14">
        <v>2</v>
      </c>
      <c r="E188" s="14">
        <v>2</v>
      </c>
      <c r="F188" s="14">
        <v>2</v>
      </c>
      <c r="H188" s="28">
        <f>'Walkability User Interface'!D36</f>
        <v>2</v>
      </c>
      <c r="I188" s="28">
        <f>'Walkability User Interface'!E36</f>
        <v>2</v>
      </c>
      <c r="J188" s="14">
        <v>1</v>
      </c>
      <c r="K188" s="14">
        <v>2</v>
      </c>
      <c r="L188" s="14">
        <v>3</v>
      </c>
    </row>
    <row r="189" spans="2:14" x14ac:dyDescent="0.25">
      <c r="B189" s="4" t="s">
        <v>131</v>
      </c>
      <c r="C189" s="11">
        <v>0</v>
      </c>
      <c r="D189" s="11">
        <v>-1</v>
      </c>
      <c r="E189" s="11">
        <v>-2</v>
      </c>
      <c r="F189" s="11">
        <v>-3</v>
      </c>
      <c r="H189" s="30">
        <f t="shared" ref="H189:I191" si="108">IF("Industrial"=$B$2, $C189, IF("Suburban"=$B$2,  $D189, IF("Urban"=$B$2,  $E189, IF("Urban+"=$B$2,  $F189, 0))))</f>
        <v>-2</v>
      </c>
      <c r="I189" s="30">
        <f t="shared" si="108"/>
        <v>-2</v>
      </c>
      <c r="J189" s="11">
        <f>IF("Industrial"=$B$2, C189, IF("Suburban"=$B$2,  D189, IF("Urban"=$B$2,  E189, IF("Urban+"=$B$2,  F189, 0))))</f>
        <v>-2</v>
      </c>
      <c r="K189" s="11">
        <f>IF("Industrial"=$B$2, C189, IF("Suburban"=$B$2,  D189, IF("Urban"=$B$2,  E189, IF("Urban+"=$B$2,  F189, 0))))</f>
        <v>-2</v>
      </c>
      <c r="L189" s="11">
        <f>IF("Industrial"=$B$2, C189, IF("Suburban"=$B$2,  D189, IF("Urban"=$B$2,  E189, IF("Urban+"=$B$2,  F189, 0))))</f>
        <v>-2</v>
      </c>
    </row>
    <row r="190" spans="2:14" x14ac:dyDescent="0.25">
      <c r="B190" s="4" t="s">
        <v>132</v>
      </c>
      <c r="C190" s="11">
        <v>1</v>
      </c>
      <c r="D190" s="11">
        <v>0</v>
      </c>
      <c r="E190" s="11">
        <v>0</v>
      </c>
      <c r="F190" s="11">
        <v>0</v>
      </c>
      <c r="H190" s="30">
        <f t="shared" si="108"/>
        <v>0</v>
      </c>
      <c r="I190" s="30">
        <f t="shared" si="108"/>
        <v>0</v>
      </c>
      <c r="J190" s="11">
        <f>IF("Industrial"=$B$2, C190, IF("Suburban"=$B$2,  D190, IF("Urban"=$B$2,  E190, IF("Urban+"=$B$2,  F190, 0))))</f>
        <v>0</v>
      </c>
      <c r="K190" s="11">
        <f>IF("Industrial"=$B$2, C190, IF("Suburban"=$B$2,  D190, IF("Urban"=$B$2,  E190, IF("Urban+"=$B$2,  F190, 0))))</f>
        <v>0</v>
      </c>
      <c r="L190" s="11">
        <f>IF("Industrial"=$B$2, C190, IF("Suburban"=$B$2,  D190, IF("Urban"=$B$2,  E190, IF("Urban+"=$B$2,  F190, 0))))</f>
        <v>0</v>
      </c>
    </row>
    <row r="191" spans="2:14" x14ac:dyDescent="0.25">
      <c r="B191" s="4" t="s">
        <v>133</v>
      </c>
      <c r="C191" s="11">
        <v>1</v>
      </c>
      <c r="D191" s="11">
        <v>1</v>
      </c>
      <c r="E191" s="11">
        <v>2</v>
      </c>
      <c r="F191" s="11">
        <v>3</v>
      </c>
      <c r="H191" s="30">
        <f t="shared" si="108"/>
        <v>2</v>
      </c>
      <c r="I191" s="30">
        <f t="shared" si="108"/>
        <v>2</v>
      </c>
      <c r="J191" s="11">
        <f>IF("Industrial"=$B$2, C191, IF("Suburban"=$B$2,  D191, IF("Urban"=$B$2,  E191, IF("Urban+"=$B$2,  F191, 0))))</f>
        <v>2</v>
      </c>
      <c r="K191" s="11">
        <f>IF("Industrial"=$B$2, C191, IF("Suburban"=$B$2,  D191, IF("Urban"=$B$2,  E191, IF("Urban+"=$B$2,  F191, 0))))</f>
        <v>2</v>
      </c>
      <c r="L191" s="11">
        <f>IF("Industrial"=$B$2, C191, IF("Suburban"=$B$2,  D191, IF("Urban"=$B$2,  E191, IF("Urban+"=$B$2,  F191, 0))))</f>
        <v>2</v>
      </c>
    </row>
    <row r="192" spans="2:14" x14ac:dyDescent="0.25">
      <c r="B192" s="7" t="s">
        <v>190</v>
      </c>
      <c r="C192" s="12">
        <f>IF( C188=1, C189, IF(C188=2, C190, IF(C188=3, C191, 0)))</f>
        <v>1</v>
      </c>
      <c r="D192" s="12">
        <f t="shared" ref="D192:L192" si="109">IF( D188=1, D189, IF(D188=2, D190, IF(D188=3, D191, 0)))</f>
        <v>0</v>
      </c>
      <c r="E192" s="12">
        <f t="shared" si="109"/>
        <v>0</v>
      </c>
      <c r="F192" s="12">
        <f t="shared" si="109"/>
        <v>0</v>
      </c>
      <c r="H192" s="12">
        <f>IF( H188=1, H189, IF(H188=2, H190, IF(H188=3, H191, 0)))</f>
        <v>0</v>
      </c>
      <c r="I192" s="12">
        <f>IF( I188=1, I189, IF(I188=2, I190, IF(I188=3, I191, 0)))</f>
        <v>0</v>
      </c>
      <c r="J192" s="12">
        <f t="shared" si="109"/>
        <v>-2</v>
      </c>
      <c r="K192" s="12">
        <f>IF( K188=1, K189, IF(K188=2, K190, IF(K188=3, K191, 0)))</f>
        <v>0</v>
      </c>
      <c r="L192" s="12">
        <f t="shared" si="109"/>
        <v>2</v>
      </c>
    </row>
    <row r="193" spans="2:14" x14ac:dyDescent="0.25">
      <c r="H193" s="11"/>
      <c r="I193" s="11"/>
      <c r="J193" s="11"/>
      <c r="K193" s="11"/>
      <c r="L193" s="11"/>
    </row>
    <row r="194" spans="2:14" outlineLevel="1" x14ac:dyDescent="0.25">
      <c r="B194" s="17" t="s">
        <v>191</v>
      </c>
      <c r="C194" s="18">
        <v>1</v>
      </c>
      <c r="D194" s="18">
        <v>1</v>
      </c>
      <c r="E194" s="18">
        <v>1</v>
      </c>
      <c r="F194" s="18">
        <v>1</v>
      </c>
      <c r="H194" s="18">
        <f>'Walkability User Interface'!D37</f>
        <v>5</v>
      </c>
      <c r="I194" s="18">
        <f>'Walkability User Interface'!E37</f>
        <v>5</v>
      </c>
      <c r="J194" s="18">
        <v>1</v>
      </c>
      <c r="K194" s="18">
        <v>3</v>
      </c>
      <c r="L194" s="18">
        <v>5</v>
      </c>
    </row>
    <row r="195" spans="2:14" outlineLevel="1" x14ac:dyDescent="0.25">
      <c r="B195" s="4" t="s">
        <v>192</v>
      </c>
      <c r="C195" s="11">
        <v>2</v>
      </c>
      <c r="D195" s="11">
        <v>2</v>
      </c>
      <c r="E195" s="11">
        <v>2</v>
      </c>
      <c r="F195" s="11">
        <v>2</v>
      </c>
      <c r="H195" s="30">
        <f t="shared" ref="H195:I197" si="110">IF("Industrial"=$B$2, $C195, IF("Suburban"=$B$2,  $D195, IF("Urban"=$B$2,  $E195, IF("Urban+"=$B$2,  $F195, 0))))</f>
        <v>2</v>
      </c>
      <c r="I195" s="30">
        <f t="shared" si="110"/>
        <v>2</v>
      </c>
      <c r="J195" s="11">
        <f>IF("Industrial"=$B$2, C195, IF("Suburban"=$B$2,  D195, IF("Urban"=$B$2,  E195, IF("Urban+"=$B$2,  F195, 0))))</f>
        <v>2</v>
      </c>
      <c r="K195" s="11">
        <f>IF("Industrial"=$B$2, C195, IF("Suburban"=$B$2,  D195, IF("Urban"=$B$2,  E195, IF("Urban+"=$B$2,  F195, 0))))</f>
        <v>2</v>
      </c>
      <c r="L195" s="11">
        <f>IF("Industrial"=$B$2, C195, IF("Suburban"=$B$2,  D195, IF("Urban"=$B$2,  E195, IF("Urban+"=$B$2,  F195, 0))))</f>
        <v>2</v>
      </c>
    </row>
    <row r="196" spans="2:14" outlineLevel="1" x14ac:dyDescent="0.25">
      <c r="B196" s="4" t="s">
        <v>193</v>
      </c>
      <c r="C196" s="11">
        <v>5</v>
      </c>
      <c r="D196" s="11">
        <v>5</v>
      </c>
      <c r="E196" s="11">
        <v>5</v>
      </c>
      <c r="F196" s="11">
        <v>5</v>
      </c>
      <c r="H196" s="30">
        <f t="shared" si="110"/>
        <v>5</v>
      </c>
      <c r="I196" s="30">
        <f t="shared" si="110"/>
        <v>5</v>
      </c>
      <c r="J196" s="11">
        <f>IF("Industrial"=$B$2, C196, IF("Suburban"=$B$2,  D196, IF("Urban"=$B$2,  E196, IF("Urban+"=$B$2,  F196, 0))))</f>
        <v>5</v>
      </c>
      <c r="K196" s="11">
        <f>IF("Industrial"=$B$2, C196, IF("Suburban"=$B$2,  D196, IF("Urban"=$B$2,  E196, IF("Urban+"=$B$2,  F196, 0))))</f>
        <v>5</v>
      </c>
      <c r="L196" s="11">
        <f>IF("Industrial"=$B$2, C196, IF("Suburban"=$B$2,  D196, IF("Urban"=$B$2,  E196, IF("Urban+"=$B$2,  F196, 0))))</f>
        <v>5</v>
      </c>
    </row>
    <row r="197" spans="2:14" outlineLevel="1" x14ac:dyDescent="0.25">
      <c r="B197" s="4" t="s">
        <v>194</v>
      </c>
      <c r="C197" s="11">
        <v>1</v>
      </c>
      <c r="D197" s="11">
        <v>1</v>
      </c>
      <c r="E197" s="11">
        <v>1.5</v>
      </c>
      <c r="F197" s="11">
        <v>2</v>
      </c>
      <c r="H197" s="30">
        <f t="shared" si="110"/>
        <v>1.5</v>
      </c>
      <c r="I197" s="30">
        <f t="shared" si="110"/>
        <v>1.5</v>
      </c>
      <c r="J197" s="11">
        <f>IF("Industrial"=$B$2, C197, IF("Suburban"=$B$2,  D197, IF("Urban"=$B$2,  E197, IF("Urban+"=$B$2,  F197, 0))))</f>
        <v>1.5</v>
      </c>
      <c r="K197" s="11">
        <f>IF("Industrial"=$B$2, C197, IF("Suburban"=$B$2,  D197, IF("Urban"=$B$2,  E197, IF("Urban+"=$B$2,  F197, 0))))</f>
        <v>1.5</v>
      </c>
      <c r="L197" s="11">
        <f>IF("Industrial"=$B$2, C197, IF("Suburban"=$B$2,  D197, IF("Urban"=$B$2,  E197, IF("Urban+"=$B$2,  F197, 0))))</f>
        <v>1.5</v>
      </c>
    </row>
    <row r="198" spans="2:14" outlineLevel="1" x14ac:dyDescent="0.25">
      <c r="B198" s="7" t="s">
        <v>195</v>
      </c>
      <c r="C198" s="12">
        <f>MIN(C194-C195)*C197</f>
        <v>-1</v>
      </c>
      <c r="D198" s="12">
        <f>MIN(D194-D195)*D197</f>
        <v>-1</v>
      </c>
      <c r="E198" s="12">
        <f t="shared" ref="E198:L198" si="111">MIN(E194-E195)*E197</f>
        <v>-1.5</v>
      </c>
      <c r="F198" s="12">
        <f t="shared" si="111"/>
        <v>-2</v>
      </c>
      <c r="H198" s="12">
        <f t="shared" si="111"/>
        <v>4.5</v>
      </c>
      <c r="I198" s="12">
        <f t="shared" ref="I198" si="112">MIN(I194-I195)*I197</f>
        <v>4.5</v>
      </c>
      <c r="J198" s="12">
        <f t="shared" si="111"/>
        <v>-1.5</v>
      </c>
      <c r="K198" s="12">
        <f t="shared" si="111"/>
        <v>1.5</v>
      </c>
      <c r="L198" s="12">
        <f t="shared" si="111"/>
        <v>4.5</v>
      </c>
    </row>
    <row r="200" spans="2:14" x14ac:dyDescent="0.25">
      <c r="B200" s="8" t="s">
        <v>77</v>
      </c>
      <c r="C200" s="14">
        <v>1</v>
      </c>
      <c r="D200" s="14">
        <v>2</v>
      </c>
      <c r="E200" s="14">
        <v>4</v>
      </c>
      <c r="F200" s="14">
        <v>5</v>
      </c>
      <c r="H200" s="28">
        <f>'Walkability User Interface'!D37</f>
        <v>5</v>
      </c>
      <c r="I200" s="28">
        <f>'Walkability User Interface'!E37</f>
        <v>5</v>
      </c>
      <c r="J200" s="14">
        <v>1</v>
      </c>
      <c r="K200" s="14">
        <v>3</v>
      </c>
      <c r="L200" s="14">
        <v>5</v>
      </c>
    </row>
    <row r="201" spans="2:14" x14ac:dyDescent="0.25">
      <c r="B201" s="4" t="s">
        <v>71</v>
      </c>
      <c r="C201" s="11">
        <v>3</v>
      </c>
      <c r="D201" s="11">
        <v>3</v>
      </c>
      <c r="E201" s="11">
        <v>4.5</v>
      </c>
      <c r="F201" s="11">
        <v>6</v>
      </c>
      <c r="H201" s="30">
        <f t="shared" ref="H201:I205" si="113">IF("Industrial"=$B$2, $C201, IF("Suburban"=$B$2,  $D201, IF("Urban"=$B$2,  $E201, IF("Urban+"=$B$2,  $F201, 0))))</f>
        <v>4.5</v>
      </c>
      <c r="I201" s="30">
        <f t="shared" si="113"/>
        <v>4.5</v>
      </c>
      <c r="J201" s="11">
        <f>IF("Industrial"=$B$2, C201, IF("Suburban"=$B$2,  D201, IF("Urban"=$B$2,  E201, IF("Urban+"=$B$2,  F201, 0))))</f>
        <v>4.5</v>
      </c>
      <c r="K201" s="11">
        <f>IF("Industrial"=$B$2, C201, IF("Suburban"=$B$2,  D201, IF("Urban"=$B$2,  E201, IF("Urban+"=$B$2,  F201, 0))))</f>
        <v>4.5</v>
      </c>
      <c r="L201" s="11">
        <f>IF("Industrial"=$B$2, C201, IF("Suburban"=$B$2,  D201, IF("Urban"=$B$2,  E201, IF("Urban+"=$B$2,  F201, 0))))</f>
        <v>4.5</v>
      </c>
      <c r="N201" t="s">
        <v>70</v>
      </c>
    </row>
    <row r="202" spans="2:14" x14ac:dyDescent="0.25">
      <c r="B202" s="4" t="s">
        <v>72</v>
      </c>
      <c r="C202" s="11">
        <v>2</v>
      </c>
      <c r="D202" s="11">
        <v>2</v>
      </c>
      <c r="E202" s="11">
        <v>3</v>
      </c>
      <c r="F202" s="11">
        <v>4</v>
      </c>
      <c r="H202" s="30">
        <f t="shared" si="113"/>
        <v>3</v>
      </c>
      <c r="I202" s="30">
        <f t="shared" si="113"/>
        <v>3</v>
      </c>
      <c r="J202" s="11">
        <f>IF("Industrial"=$B$2, C202, IF("Suburban"=$B$2,  D202, IF("Urban"=$B$2,  E202, IF("Urban+"=$B$2,  F202, 0))))</f>
        <v>3</v>
      </c>
      <c r="K202" s="11">
        <f>IF("Industrial"=$B$2, C202, IF("Suburban"=$B$2,  D202, IF("Urban"=$B$2,  E202, IF("Urban+"=$B$2,  F202, 0))))</f>
        <v>3</v>
      </c>
      <c r="L202" s="11">
        <f>IF("Industrial"=$B$2, C202, IF("Suburban"=$B$2,  D202, IF("Urban"=$B$2,  E202, IF("Urban+"=$B$2,  F202, 0))))</f>
        <v>3</v>
      </c>
      <c r="N202" t="s">
        <v>310</v>
      </c>
    </row>
    <row r="203" spans="2:14" x14ac:dyDescent="0.25">
      <c r="B203" s="4" t="s">
        <v>73</v>
      </c>
      <c r="C203" s="11">
        <v>1</v>
      </c>
      <c r="D203" s="11">
        <v>1</v>
      </c>
      <c r="E203" s="11">
        <v>1.5</v>
      </c>
      <c r="F203" s="11">
        <v>2</v>
      </c>
      <c r="H203" s="30">
        <f t="shared" si="113"/>
        <v>1.5</v>
      </c>
      <c r="I203" s="30">
        <f t="shared" si="113"/>
        <v>1.5</v>
      </c>
      <c r="J203" s="11">
        <f>IF("Industrial"=$B$2, C203, IF("Suburban"=$B$2,  D203, IF("Urban"=$B$2,  E203, IF("Urban+"=$B$2,  F203, 0))))</f>
        <v>1.5</v>
      </c>
      <c r="K203" s="11">
        <f>IF("Industrial"=$B$2, C203, IF("Suburban"=$B$2,  D203, IF("Urban"=$B$2,  E203, IF("Urban+"=$B$2,  F203, 0))))</f>
        <v>1.5</v>
      </c>
      <c r="L203" s="11">
        <f>IF("Industrial"=$B$2, C203, IF("Suburban"=$B$2,  D203, IF("Urban"=$B$2,  E203, IF("Urban+"=$B$2,  F203, 0))))</f>
        <v>1.5</v>
      </c>
    </row>
    <row r="204" spans="2:14" ht="30" x14ac:dyDescent="0.25">
      <c r="B204" s="4" t="s">
        <v>74</v>
      </c>
      <c r="C204" s="11">
        <v>0</v>
      </c>
      <c r="D204" s="11">
        <v>0</v>
      </c>
      <c r="E204" s="11">
        <v>0</v>
      </c>
      <c r="F204" s="11">
        <v>0</v>
      </c>
      <c r="H204" s="30">
        <f t="shared" si="113"/>
        <v>0</v>
      </c>
      <c r="I204" s="30">
        <f t="shared" si="113"/>
        <v>0</v>
      </c>
      <c r="J204" s="11">
        <f>IF("Industrial"=$B$2, C204, IF("Suburban"=$B$2,  D204, IF("Urban"=$B$2,  E204, IF("Urban+"=$B$2,  F204, 0))))</f>
        <v>0</v>
      </c>
      <c r="K204" s="11">
        <f>IF("Industrial"=$B$2, C204, IF("Suburban"=$B$2,  D204, IF("Urban"=$B$2,  E204, IF("Urban+"=$B$2,  F204, 0))))</f>
        <v>0</v>
      </c>
      <c r="L204" s="11">
        <f>IF("Industrial"=$B$2, C204, IF("Suburban"=$B$2,  D204, IF("Urban"=$B$2,  E204, IF("Urban+"=$B$2,  F204, 0))))</f>
        <v>0</v>
      </c>
    </row>
    <row r="205" spans="2:14" ht="30" x14ac:dyDescent="0.25">
      <c r="B205" s="4" t="s">
        <v>75</v>
      </c>
      <c r="C205" s="11">
        <v>-1</v>
      </c>
      <c r="D205" s="11">
        <v>-1</v>
      </c>
      <c r="E205" s="11">
        <v>-1.5</v>
      </c>
      <c r="F205" s="11">
        <v>-2</v>
      </c>
      <c r="H205" s="30">
        <f t="shared" si="113"/>
        <v>-1.5</v>
      </c>
      <c r="I205" s="30">
        <f t="shared" si="113"/>
        <v>-1.5</v>
      </c>
      <c r="J205" s="11">
        <f>IF("Industrial"=$B$2, C205, IF("Suburban"=$B$2,  D205, IF("Urban"=$B$2,  E205, IF("Urban+"=$B$2,  F205, 0))))</f>
        <v>-1.5</v>
      </c>
      <c r="K205" s="11">
        <f>IF("Industrial"=$B$2, C205, IF("Suburban"=$B$2,  D205, IF("Urban"=$B$2,  E205, IF("Urban+"=$B$2,  F205, 0))))</f>
        <v>-1.5</v>
      </c>
      <c r="L205" s="11">
        <f>IF("Industrial"=$B$2, C205, IF("Suburban"=$B$2,  D205, IF("Urban"=$B$2,  E205, IF("Urban+"=$B$2,  F205, 0))))</f>
        <v>-1.5</v>
      </c>
    </row>
    <row r="206" spans="2:14" x14ac:dyDescent="0.25">
      <c r="B206" s="7" t="s">
        <v>76</v>
      </c>
      <c r="C206" s="12">
        <f>IF(C200=5, C201,IF(C200=4, C202,IF(C200=3, C203, IF(C200=2, C204, IF(C200=1, C205, 0)))))</f>
        <v>-1</v>
      </c>
      <c r="D206" s="12">
        <f t="shared" ref="D206:F206" si="114">IF(D200=5, D201,IF(D200=4, D202,IF(D200=3, D203, IF(D200=2, D204, IF(D200=1, D205, 0)))))</f>
        <v>0</v>
      </c>
      <c r="E206" s="12">
        <f t="shared" si="114"/>
        <v>3</v>
      </c>
      <c r="F206" s="12">
        <f t="shared" si="114"/>
        <v>6</v>
      </c>
      <c r="H206" s="12">
        <f>IF(H200=5, H201,IF(H200=4, H202,IF(H200=3, H203, IF(H200=2, H204, IF(H200=1, H205, 0)))))</f>
        <v>4.5</v>
      </c>
      <c r="I206" s="12">
        <f>IF(I200=5, I201,IF(I200=4, I202,IF(I200=3, I203, IF(I200=2, I204, IF(I200=1, I205, 0)))))</f>
        <v>4.5</v>
      </c>
      <c r="J206" s="12">
        <f t="shared" ref="J206:L206" si="115">IF(J200=5, J201,IF(J200=4, J202,IF(J200=3, J203, IF(J200=2, J204, IF(J200=1, J205, 0)))))</f>
        <v>-1.5</v>
      </c>
      <c r="K206" s="12">
        <f t="shared" ref="K206" si="116">IF(K200=5, K201,IF(K200=4, K202,IF(K200=3, K203, IF(K200=2, K204, IF(K200=1, K205, 0)))))</f>
        <v>1.5</v>
      </c>
      <c r="L206" s="12">
        <f t="shared" si="115"/>
        <v>4.5</v>
      </c>
    </row>
    <row r="207" spans="2:14" x14ac:dyDescent="0.25">
      <c r="H207" s="11"/>
      <c r="I207" s="11"/>
      <c r="J207" s="11"/>
      <c r="K207" s="11"/>
      <c r="L207" s="11"/>
    </row>
    <row r="208" spans="2:14" x14ac:dyDescent="0.25">
      <c r="B208" s="8" t="s">
        <v>256</v>
      </c>
      <c r="C208" s="14">
        <v>1</v>
      </c>
      <c r="D208" s="14">
        <v>1</v>
      </c>
      <c r="E208" s="14">
        <v>1</v>
      </c>
      <c r="F208" s="14">
        <v>1</v>
      </c>
      <c r="H208" s="28">
        <f>'Walkability User Interface'!D38</f>
        <v>3</v>
      </c>
      <c r="I208" s="28">
        <f>'Walkability User Interface'!E38</f>
        <v>4</v>
      </c>
      <c r="J208" s="14">
        <v>1</v>
      </c>
      <c r="K208" s="14"/>
      <c r="L208" s="14">
        <v>4</v>
      </c>
    </row>
    <row r="209" spans="2:14" ht="30" x14ac:dyDescent="0.25">
      <c r="B209" s="4" t="s">
        <v>257</v>
      </c>
      <c r="C209" s="11">
        <v>-4</v>
      </c>
      <c r="D209" s="11">
        <v>-4</v>
      </c>
      <c r="E209" s="11">
        <v>-5</v>
      </c>
      <c r="F209" s="11">
        <v>-6</v>
      </c>
      <c r="H209" s="30">
        <f t="shared" ref="H209:I212" si="117">IF("Industrial"=$B$2, $C209, IF("Suburban"=$B$2,  $D209, IF("Urban"=$B$2,  $E209, IF("Urban+"=$B$2,  $F209, 0))))</f>
        <v>-5</v>
      </c>
      <c r="I209" s="30">
        <f t="shared" si="117"/>
        <v>-5</v>
      </c>
      <c r="J209" s="11">
        <f>IF("Industrial"=$B$2, C209, IF("Suburban"=$B$2,  D209, IF("Urban"=$B$2,  E209, IF("Urban+"=$B$2,  F209, 0))))</f>
        <v>-5</v>
      </c>
      <c r="K209" s="11">
        <v>0</v>
      </c>
      <c r="L209" s="11">
        <f>IF("Industrial"=$B$2, C209, IF("Suburban"=$B$2,  D209, IF("Urban"=$B$2,  E209, IF("Urban+"=$B$2,  F209, 0))))</f>
        <v>-5</v>
      </c>
      <c r="N209" t="s">
        <v>70</v>
      </c>
    </row>
    <row r="210" spans="2:14" ht="45" x14ac:dyDescent="0.25">
      <c r="B210" s="4" t="s">
        <v>258</v>
      </c>
      <c r="C210" s="11">
        <v>2</v>
      </c>
      <c r="D210" s="11">
        <v>2</v>
      </c>
      <c r="E210" s="11">
        <v>3</v>
      </c>
      <c r="F210" s="11">
        <v>4</v>
      </c>
      <c r="H210" s="30">
        <f t="shared" si="117"/>
        <v>3</v>
      </c>
      <c r="I210" s="30">
        <f t="shared" si="117"/>
        <v>3</v>
      </c>
      <c r="J210" s="11">
        <f>IF("Industrial"=$B$2, C210, IF("Suburban"=$B$2,  D210, IF("Urban"=$B$2,  E210, IF("Urban+"=$B$2,  F210, 0))))</f>
        <v>3</v>
      </c>
      <c r="K210" s="11">
        <v>0</v>
      </c>
      <c r="L210" s="11">
        <f>IF("Industrial"=$B$2, C210, IF("Suburban"=$B$2,  D210, IF("Urban"=$B$2,  E210, IF("Urban+"=$B$2,  F210, 0))))</f>
        <v>3</v>
      </c>
    </row>
    <row r="211" spans="2:14" ht="45" x14ac:dyDescent="0.25">
      <c r="B211" s="4" t="s">
        <v>259</v>
      </c>
      <c r="C211" s="11">
        <v>3</v>
      </c>
      <c r="D211" s="11">
        <v>3</v>
      </c>
      <c r="E211" s="11">
        <v>4</v>
      </c>
      <c r="F211" s="11">
        <v>5</v>
      </c>
      <c r="H211" s="30">
        <f t="shared" si="117"/>
        <v>4</v>
      </c>
      <c r="I211" s="30">
        <f t="shared" si="117"/>
        <v>4</v>
      </c>
      <c r="J211" s="11">
        <f>IF("Industrial"=$B$2, C211, IF("Suburban"=$B$2,  D211, IF("Urban"=$B$2,  E211, IF("Urban+"=$B$2,  F211, 0))))</f>
        <v>4</v>
      </c>
      <c r="K211" s="11">
        <v>0</v>
      </c>
      <c r="L211" s="11">
        <f>IF("Industrial"=$B$2, C211, IF("Suburban"=$B$2,  D211, IF("Urban"=$B$2,  E211, IF("Urban+"=$B$2,  F211, 0))))</f>
        <v>4</v>
      </c>
    </row>
    <row r="212" spans="2:14" ht="75" x14ac:dyDescent="0.25">
      <c r="B212" s="75" t="s">
        <v>261</v>
      </c>
      <c r="C212" s="11">
        <v>4</v>
      </c>
      <c r="D212" s="11">
        <v>4</v>
      </c>
      <c r="E212" s="11">
        <v>5</v>
      </c>
      <c r="F212" s="11">
        <v>6</v>
      </c>
      <c r="H212" s="30">
        <f t="shared" si="117"/>
        <v>5</v>
      </c>
      <c r="I212" s="30">
        <f t="shared" si="117"/>
        <v>5</v>
      </c>
      <c r="J212" s="11">
        <f>IF("Industrial"=$B$2, C212, IF("Suburban"=$B$2,  D212, IF("Urban"=$B$2,  E212, IF("Urban+"=$B$2,  F212, 0))))</f>
        <v>5</v>
      </c>
      <c r="K212" s="11">
        <v>0</v>
      </c>
      <c r="L212" s="11">
        <f>IF("Industrial"=$B$2, C212, IF("Suburban"=$B$2,  D212, IF("Urban"=$B$2,  E212, IF("Urban+"=$B$2,  F212, 0))))</f>
        <v>5</v>
      </c>
    </row>
    <row r="213" spans="2:14" x14ac:dyDescent="0.25">
      <c r="B213" s="7" t="s">
        <v>255</v>
      </c>
      <c r="C213" s="12">
        <f>IF( C208=1, C209, IF(C208=2, C210, IF(C208=3, C211,  IF(C208=4, C212, 0))))</f>
        <v>-4</v>
      </c>
      <c r="D213" s="12">
        <f t="shared" ref="D213:F213" si="118">IF( D208=1, D209, IF(D208=2, D210, IF(D208=3, D211,  IF(D208=4, D212, 0))))</f>
        <v>-4</v>
      </c>
      <c r="E213" s="12">
        <f t="shared" si="118"/>
        <v>-5</v>
      </c>
      <c r="F213" s="12">
        <f t="shared" si="118"/>
        <v>-6</v>
      </c>
      <c r="H213" s="12">
        <f t="shared" ref="H213:L213" si="119">IF( H208=1, H209, IF(H208=2, H210, IF(H208=3, H211,  IF(H208=4, H212, 0))))</f>
        <v>4</v>
      </c>
      <c r="I213" s="12">
        <f t="shared" si="119"/>
        <v>5</v>
      </c>
      <c r="J213" s="12">
        <f t="shared" si="119"/>
        <v>-5</v>
      </c>
      <c r="K213" s="12">
        <f t="shared" si="119"/>
        <v>0</v>
      </c>
      <c r="L213" s="12">
        <f t="shared" si="119"/>
        <v>5</v>
      </c>
    </row>
    <row r="215" spans="2:14" x14ac:dyDescent="0.25">
      <c r="B215" s="8" t="s">
        <v>143</v>
      </c>
      <c r="C215" s="14" t="s">
        <v>7</v>
      </c>
      <c r="D215" s="14" t="s">
        <v>6</v>
      </c>
      <c r="E215" s="14" t="s">
        <v>6</v>
      </c>
      <c r="F215" s="14" t="s">
        <v>6</v>
      </c>
      <c r="H215" s="28" t="str">
        <f>'Walkability User Interface'!D39</f>
        <v>Yes</v>
      </c>
      <c r="I215" s="28" t="str">
        <f>'Walkability User Interface'!E39</f>
        <v>Yes</v>
      </c>
      <c r="J215" s="14" t="s">
        <v>6</v>
      </c>
      <c r="K215" s="14" t="s">
        <v>7</v>
      </c>
      <c r="L215" s="14" t="s">
        <v>6</v>
      </c>
      <c r="N215" t="s">
        <v>141</v>
      </c>
    </row>
    <row r="216" spans="2:14" x14ac:dyDescent="0.25">
      <c r="B216" s="4" t="s">
        <v>144</v>
      </c>
      <c r="C216" s="11">
        <f>IF(C215=0, 0, IF(C$4&lt;=-10, -1, IF(C$4&gt;10, 1, 0)))</f>
        <v>0</v>
      </c>
      <c r="D216" s="11">
        <f>IF(D215=0, 0, IF(D$4&lt;=-10, -1, IF(D$4&gt;10, 1, 0)))</f>
        <v>1</v>
      </c>
      <c r="E216" s="11">
        <f>IF(E215=0, 0, IF(E$4&lt;=-10, -2, IF(E$4&gt;10, 2, 0)))</f>
        <v>2</v>
      </c>
      <c r="F216" s="11">
        <f>IF(F215=0, 0, IF(F$4&lt;=-10, -2, IF(F$4&gt;10, 2, 0)))</f>
        <v>0</v>
      </c>
      <c r="H216" s="30">
        <f t="shared" ref="H216:I216" si="120">IF("Industrial"=$B$2, $C216, IF("Suburban"=$B$2,  $D216, IF("Urban"=$B$2,  $E216, IF("Urban+"=$B$2,  $F216, 0))))</f>
        <v>2</v>
      </c>
      <c r="I216" s="30">
        <f t="shared" si="120"/>
        <v>2</v>
      </c>
      <c r="J216" s="11">
        <f t="shared" ref="J216:L216" si="121">IF(J215=0, 0, IF(J$4&lt;=-10, -2, IF(J$4&gt;10, 2, 0)))</f>
        <v>-2</v>
      </c>
      <c r="K216" s="11">
        <f t="shared" si="121"/>
        <v>0</v>
      </c>
      <c r="L216" s="11">
        <f t="shared" si="121"/>
        <v>2</v>
      </c>
      <c r="N216" t="s">
        <v>142</v>
      </c>
    </row>
    <row r="217" spans="2:14" x14ac:dyDescent="0.25">
      <c r="B217" s="7" t="s">
        <v>202</v>
      </c>
      <c r="C217" s="12">
        <f t="shared" ref="C217:L217" si="122">IF("Yes"=C215, C216, 0)</f>
        <v>0</v>
      </c>
      <c r="D217" s="12">
        <f t="shared" si="122"/>
        <v>1</v>
      </c>
      <c r="E217" s="12">
        <f t="shared" si="122"/>
        <v>2</v>
      </c>
      <c r="F217" s="12">
        <f t="shared" si="122"/>
        <v>0</v>
      </c>
      <c r="H217" s="12">
        <f>IF("Yes"=H215, H216, 0)</f>
        <v>2</v>
      </c>
      <c r="I217" s="12">
        <f>IF("Yes"=I215, I216, 0)</f>
        <v>2</v>
      </c>
      <c r="J217" s="12">
        <f t="shared" si="122"/>
        <v>-2</v>
      </c>
      <c r="K217" s="12">
        <f t="shared" si="122"/>
        <v>0</v>
      </c>
      <c r="L217" s="12">
        <f t="shared" si="122"/>
        <v>2</v>
      </c>
    </row>
    <row r="219" spans="2:14" x14ac:dyDescent="0.25">
      <c r="B219" s="8" t="s">
        <v>146</v>
      </c>
      <c r="C219" s="14" t="s">
        <v>7</v>
      </c>
      <c r="D219" s="14" t="s">
        <v>6</v>
      </c>
      <c r="E219" s="14" t="s">
        <v>6</v>
      </c>
      <c r="F219" s="14" t="s">
        <v>6</v>
      </c>
      <c r="H219" s="28" t="str">
        <f>'Walkability User Interface'!D40</f>
        <v>Yes</v>
      </c>
      <c r="I219" s="28" t="str">
        <f>'Walkability User Interface'!E40</f>
        <v>Yes</v>
      </c>
      <c r="J219" s="14" t="s">
        <v>6</v>
      </c>
      <c r="K219" s="14" t="s">
        <v>7</v>
      </c>
      <c r="L219" s="14" t="s">
        <v>6</v>
      </c>
      <c r="N219" t="s">
        <v>141</v>
      </c>
    </row>
    <row r="220" spans="2:14" x14ac:dyDescent="0.25">
      <c r="B220" s="4" t="s">
        <v>145</v>
      </c>
      <c r="C220" s="11">
        <f>IF(C219=0, 0, IF(C$4&lt;=-10, -1, IF(C$4&gt;10, 1, 0)))</f>
        <v>0</v>
      </c>
      <c r="D220" s="11">
        <f>IF(D219=0, 0, IF(D$4&lt;=-10, -1, IF(D$4&gt;10, 1, 0)))</f>
        <v>1</v>
      </c>
      <c r="E220" s="11">
        <f>IF(E219=0, 0, IF(E$4&lt;=-10, -2, IF(E$4&gt;10, 2, 0)))</f>
        <v>2</v>
      </c>
      <c r="F220" s="11">
        <f>IF(F219=0, 0, IF(F$4&lt;=-10, -2, IF(F$4&gt;10, 2, 0)))</f>
        <v>0</v>
      </c>
      <c r="H220" s="30">
        <f t="shared" ref="H220:I220" si="123">IF("Industrial"=$B$2, $C220, IF("Suburban"=$B$2,  $D220, IF("Urban"=$B$2,  $E220, IF("Urban+"=$B$2,  $F220, 0))))</f>
        <v>2</v>
      </c>
      <c r="I220" s="30">
        <f t="shared" si="123"/>
        <v>2</v>
      </c>
      <c r="J220" s="11">
        <f t="shared" ref="J220:L220" si="124">IF(J219=0, 0, IF(J$4&lt;=-10, -2, IF(J$4&gt;10, 2, 0)))</f>
        <v>-2</v>
      </c>
      <c r="K220" s="11">
        <f t="shared" si="124"/>
        <v>0</v>
      </c>
      <c r="L220" s="11">
        <f t="shared" si="124"/>
        <v>2</v>
      </c>
      <c r="N220" t="s">
        <v>142</v>
      </c>
    </row>
    <row r="221" spans="2:14" x14ac:dyDescent="0.25">
      <c r="B221" s="7" t="s">
        <v>140</v>
      </c>
      <c r="C221" s="12">
        <f t="shared" ref="C221" si="125">IF("Yes"=C219, C220, 0)</f>
        <v>0</v>
      </c>
      <c r="D221" s="12">
        <f t="shared" ref="D221" si="126">IF("Yes"=D219, D220, 0)</f>
        <v>1</v>
      </c>
      <c r="E221" s="12">
        <f t="shared" ref="E221" si="127">IF("Yes"=E219, E220, 0)</f>
        <v>2</v>
      </c>
      <c r="F221" s="12">
        <f t="shared" ref="F221" si="128">IF("Yes"=F219, F220, 0)</f>
        <v>0</v>
      </c>
      <c r="H221" s="12">
        <f>IF("Yes"=H219, H220, 0)</f>
        <v>2</v>
      </c>
      <c r="I221" s="12">
        <f>IF("Yes"=I219, I220, 0)</f>
        <v>2</v>
      </c>
      <c r="J221" s="12">
        <f t="shared" ref="J221" si="129">IF("Yes"=J219, J220, 0)</f>
        <v>-2</v>
      </c>
      <c r="K221" s="12">
        <f t="shared" ref="K221" si="130">IF("Yes"=K219, K220, 0)</f>
        <v>0</v>
      </c>
      <c r="L221" s="12">
        <f t="shared" ref="L221" si="131">IF("Yes"=L219, L220, 0)</f>
        <v>2</v>
      </c>
    </row>
    <row r="222" spans="2:14" x14ac:dyDescent="0.25">
      <c r="H222" s="11"/>
      <c r="I222" s="11"/>
      <c r="J222" s="11"/>
      <c r="K222" s="11"/>
      <c r="L222" s="11"/>
    </row>
    <row r="223" spans="2:14" x14ac:dyDescent="0.25">
      <c r="B223" s="22" t="s">
        <v>138</v>
      </c>
      <c r="C223" s="23">
        <f>C192+C206+C217+C221</f>
        <v>0</v>
      </c>
      <c r="D223" s="23">
        <f>D192+D206+D217+D221</f>
        <v>2</v>
      </c>
      <c r="E223" s="23">
        <f>E192+E206+E217+E221</f>
        <v>7</v>
      </c>
      <c r="F223" s="23">
        <f>F192+F206+F217+F221</f>
        <v>6</v>
      </c>
      <c r="H223" s="23">
        <f>H192+H206+H217+H221</f>
        <v>8.5</v>
      </c>
      <c r="I223" s="23">
        <f>I192+I206+I217+I221</f>
        <v>8.5</v>
      </c>
      <c r="J223" s="23">
        <f>J192+J206+J217+J221</f>
        <v>-7.5</v>
      </c>
      <c r="K223" s="23">
        <f>K192+K206+K217+K221</f>
        <v>1.5</v>
      </c>
      <c r="L223" s="23">
        <f>L192+L206+L217+L221</f>
        <v>10.5</v>
      </c>
    </row>
  </sheetData>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4f6cb59-cbe6-41b5-a9db-eacec253e177" xsi:nil="true"/>
    <lcf76f155ced4ddcb4097134ff3c332f xmlns="a2c698e1-2d77-42e8-aac5-3e909622d87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155667F9881B4BA7A1677CC00602EB" ma:contentTypeVersion="17" ma:contentTypeDescription="Create a new document." ma:contentTypeScope="" ma:versionID="9540893d6548e888fe1d08d6ea3787ba">
  <xsd:schema xmlns:xsd="http://www.w3.org/2001/XMLSchema" xmlns:xs="http://www.w3.org/2001/XMLSchema" xmlns:p="http://schemas.microsoft.com/office/2006/metadata/properties" xmlns:ns2="a2c698e1-2d77-42e8-aac5-3e909622d876" xmlns:ns3="94f6cb59-cbe6-41b5-a9db-eacec253e177" targetNamespace="http://schemas.microsoft.com/office/2006/metadata/properties" ma:root="true" ma:fieldsID="cdeee47aeab60c4cf8213e9b0bea5d84" ns2:_="" ns3:_="">
    <xsd:import namespace="a2c698e1-2d77-42e8-aac5-3e909622d876"/>
    <xsd:import namespace="94f6cb59-cbe6-41b5-a9db-eacec253e1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698e1-2d77-42e8-aac5-3e909622d8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0067f10-bfb6-4e40-a26b-11675d44c6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f6cb59-cbe6-41b5-a9db-eacec253e17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2bc0251-423f-408a-ac0f-8bb46f030e87}" ma:internalName="TaxCatchAll" ma:showField="CatchAllData" ma:web="94f6cb59-cbe6-41b5-a9db-eacec253e1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7FD14F-0A59-4D63-93E5-5D6768B3652D}">
  <ds:schemaRefs>
    <ds:schemaRef ds:uri="http://schemas.microsoft.com/sharepoint/v3/contenttype/forms"/>
  </ds:schemaRefs>
</ds:datastoreItem>
</file>

<file path=customXml/itemProps2.xml><?xml version="1.0" encoding="utf-8"?>
<ds:datastoreItem xmlns:ds="http://schemas.openxmlformats.org/officeDocument/2006/customXml" ds:itemID="{F4D6D8E5-1862-482C-8974-7BC5CDB0B058}">
  <ds:schemaRefs>
    <ds:schemaRef ds:uri="a2c698e1-2d77-42e8-aac5-3e909622d876"/>
    <ds:schemaRef ds:uri="http://purl.org/dc/terms/"/>
    <ds:schemaRef ds:uri="http://schemas.microsoft.com/office/2006/documentManagement/types"/>
    <ds:schemaRef ds:uri="http://www.w3.org/XML/1998/namespace"/>
    <ds:schemaRef ds:uri="94f6cb59-cbe6-41b5-a9db-eacec253e177"/>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E719414-868A-4EEA-BFC8-C5707C2BB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698e1-2d77-42e8-aac5-3e909622d876"/>
    <ds:schemaRef ds:uri="94f6cb59-cbe6-41b5-a9db-eacec253e1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Instructions</vt:lpstr>
      <vt:lpstr>Walkability User Interface</vt:lpstr>
      <vt:lpstr>Walkability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DiAngelis, Heather</cp:lastModifiedBy>
  <dcterms:created xsi:type="dcterms:W3CDTF">2020-07-11T20:07:39Z</dcterms:created>
  <dcterms:modified xsi:type="dcterms:W3CDTF">2023-12-08T20:48:33Z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0x01010066155667F9881B4BA7A1677CC00602EB</vt:lpwstr>
  </property>
  <property fmtid="{D5CDD505-2E9C-101B-9397-08002B2CF9AE}" pid="3" name="MediaServiceImageTags">
    <vt:lpwstr/>
  </property>
</Properties>
</file>