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showSheetTabs="0" xWindow="360" yWindow="150" windowWidth="19320" windowHeight="12120"/>
  </bookViews>
  <sheets>
    <sheet name="Inputs" sheetId="9" r:id="rId1"/>
    <sheet name="Detailed Inputs" sheetId="10" r:id="rId2"/>
    <sheet name="Results" sheetId="11" r:id="rId3"/>
    <sheet name="Inputs_Results" sheetId="1" r:id="rId4"/>
    <sheet name="Cost_by_Year" sheetId="7" r:id="rId5"/>
    <sheet name="Calculations" sheetId="6" r:id="rId6"/>
  </sheets>
  <definedNames>
    <definedName name="AnnMiles">Inputs_Results!$F$34</definedName>
    <definedName name="AvgLifetimeMileage">Inputs_Results!$B$46:$B$95</definedName>
    <definedName name="BaseYear">Inputs_Results!$F$7</definedName>
    <definedName name="BusMiles">Inputs_Results!$F$10</definedName>
    <definedName name="CarsPerTrain">Inputs_Results!$F$32</definedName>
    <definedName name="DelayC1">Inputs_Results!$F$26</definedName>
    <definedName name="DelayC2">Inputs_Results!$F$27</definedName>
    <definedName name="DelayUnitCost">Inputs_Results!$F$18</definedName>
    <definedName name="FuelC1">Inputs_Results!$F$20</definedName>
    <definedName name="FuelC2">Inputs_Results!$F$21</definedName>
    <definedName name="FuelCost">Inputs_Results!$F$14</definedName>
    <definedName name="Headway">Inputs_Results!$F$30</definedName>
    <definedName name="InterestRate">Inputs_Results!$F$29</definedName>
    <definedName name="MaintC1">Inputs_Results!$F$23</definedName>
    <definedName name="MaintC2">Inputs_Results!$F$24</definedName>
    <definedName name="MaintCost">Inputs_Results!$F$15</definedName>
    <definedName name="NewBusCost">Inputs_Results!$F$17</definedName>
    <definedName name="OtherBen">Inputs_Results!$F$33</definedName>
    <definedName name="PaxMiles">Inputs_Results!$F$8</definedName>
    <definedName name="PaxTrips">Inputs_Results!$F$9</definedName>
    <definedName name="PolicyLTDMiles">Inputs_Results!#REF!</definedName>
    <definedName name="RecoverTime">Inputs_Results!$F$31</definedName>
    <definedName name="RehabArray">Inputs_Results!$E$47:$G$76</definedName>
    <definedName name="RevBusHours">Inputs_Results!$F$12</definedName>
    <definedName name="RevBusMiles">Inputs_Results!$F$11</definedName>
    <definedName name="RoadCalls">Inputs_Results!$F$13</definedName>
    <definedName name="TotalFleet">Inputs_Results!$C$46:$C$95</definedName>
  </definedNames>
  <calcPr calcId="145621"/>
</workbook>
</file>

<file path=xl/calcChain.xml><?xml version="1.0" encoding="utf-8"?>
<calcChain xmlns="http://schemas.openxmlformats.org/spreadsheetml/2006/main">
  <c r="F12" i="10" l="1"/>
  <c r="G47" i="1"/>
  <c r="F10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F29" i="1"/>
  <c r="G196" i="6"/>
  <c r="F13" i="10"/>
  <c r="G48" i="1"/>
  <c r="F14" i="10"/>
  <c r="G49" i="1" s="1"/>
  <c r="F15" i="10"/>
  <c r="G50" i="1"/>
  <c r="F16" i="10"/>
  <c r="G51" i="1" s="1"/>
  <c r="F17" i="10"/>
  <c r="G52" i="1"/>
  <c r="F18" i="10"/>
  <c r="G53" i="1" s="1"/>
  <c r="F19" i="10"/>
  <c r="G54" i="1"/>
  <c r="F20" i="10"/>
  <c r="G55" i="1" s="1"/>
  <c r="F21" i="10"/>
  <c r="G56" i="1"/>
  <c r="F22" i="10"/>
  <c r="G57" i="1" s="1"/>
  <c r="F23" i="10"/>
  <c r="G58" i="1"/>
  <c r="F24" i="10"/>
  <c r="G59" i="1" s="1"/>
  <c r="F25" i="10"/>
  <c r="G60" i="1"/>
  <c r="F26" i="10"/>
  <c r="G61" i="1" s="1"/>
  <c r="K12" i="10"/>
  <c r="G62" i="1"/>
  <c r="K13" i="10"/>
  <c r="G63" i="1" s="1"/>
  <c r="K14" i="10"/>
  <c r="G64" i="1"/>
  <c r="K15" i="10"/>
  <c r="G65" i="1" s="1"/>
  <c r="K16" i="10"/>
  <c r="G66" i="1"/>
  <c r="K17" i="10"/>
  <c r="G67" i="1" s="1"/>
  <c r="K18" i="10"/>
  <c r="G68" i="1" s="1"/>
  <c r="K19" i="10"/>
  <c r="G69" i="1" s="1"/>
  <c r="K20" i="10"/>
  <c r="G70" i="1"/>
  <c r="K21" i="10"/>
  <c r="G71" i="1" s="1"/>
  <c r="K22" i="10"/>
  <c r="G72" i="1"/>
  <c r="K23" i="10"/>
  <c r="G73" i="1" s="1"/>
  <c r="K24" i="10"/>
  <c r="G74" i="1"/>
  <c r="K25" i="10"/>
  <c r="G75" i="1" s="1"/>
  <c r="K26" i="10"/>
  <c r="G76" i="1"/>
  <c r="I35" i="10"/>
  <c r="F23" i="1" s="1"/>
  <c r="D6" i="6"/>
  <c r="B46" i="1"/>
  <c r="D7" i="6" s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A6" i="6"/>
  <c r="BA7" i="6"/>
  <c r="F15" i="1"/>
  <c r="I33" i="10"/>
  <c r="F20" i="1"/>
  <c r="BA99" i="6"/>
  <c r="F14" i="1"/>
  <c r="F17" i="1"/>
  <c r="I37" i="10"/>
  <c r="F26" i="1" s="1"/>
  <c r="F32" i="1"/>
  <c r="F18" i="1"/>
  <c r="F30" i="1"/>
  <c r="F8" i="1"/>
  <c r="F11" i="1"/>
  <c r="F31" i="1"/>
  <c r="F9" i="1"/>
  <c r="F12" i="1"/>
  <c r="F13" i="1"/>
  <c r="L196" i="6"/>
  <c r="M196" i="6" s="1"/>
  <c r="I101" i="1" s="1"/>
  <c r="F33" i="1"/>
  <c r="A101" i="1"/>
  <c r="Q101" i="1"/>
  <c r="F47" i="1"/>
  <c r="E48" i="1" s="1"/>
  <c r="F48" i="1" s="1"/>
  <c r="E49" i="1" s="1"/>
  <c r="F49" i="1" s="1"/>
  <c r="E50" i="1" s="1"/>
  <c r="F50" i="1" s="1"/>
  <c r="E51" i="1" s="1"/>
  <c r="F51" i="1" s="1"/>
  <c r="E52" i="1" s="1"/>
  <c r="F52" i="1" s="1"/>
  <c r="E53" i="1" s="1"/>
  <c r="F53" i="1" s="1"/>
  <c r="E54" i="1" s="1"/>
  <c r="F54" i="1" s="1"/>
  <c r="E55" i="1" s="1"/>
  <c r="F55" i="1" s="1"/>
  <c r="E56" i="1" s="1"/>
  <c r="F56" i="1" s="1"/>
  <c r="E57" i="1" s="1"/>
  <c r="F57" i="1" s="1"/>
  <c r="E58" i="1" s="1"/>
  <c r="F58" i="1" s="1"/>
  <c r="E59" i="1" s="1"/>
  <c r="F59" i="1" s="1"/>
  <c r="E60" i="1" s="1"/>
  <c r="F60" i="1" s="1"/>
  <c r="E61" i="1" s="1"/>
  <c r="F61" i="1" s="1"/>
  <c r="E62" i="1" s="1"/>
  <c r="F62" i="1" s="1"/>
  <c r="E63" i="1" s="1"/>
  <c r="F63" i="1" s="1"/>
  <c r="E64" i="1" s="1"/>
  <c r="F64" i="1" s="1"/>
  <c r="E65" i="1" s="1"/>
  <c r="F65" i="1" s="1"/>
  <c r="E66" i="1" s="1"/>
  <c r="F66" i="1" s="1"/>
  <c r="E67" i="1" s="1"/>
  <c r="F67" i="1" s="1"/>
  <c r="E68" i="1" s="1"/>
  <c r="F68" i="1" s="1"/>
  <c r="E69" i="1" s="1"/>
  <c r="F69" i="1" s="1"/>
  <c r="E70" i="1" s="1"/>
  <c r="F70" i="1" s="1"/>
  <c r="E71" i="1" s="1"/>
  <c r="F71" i="1" s="1"/>
  <c r="E72" i="1" s="1"/>
  <c r="F72" i="1" s="1"/>
  <c r="E73" i="1" s="1"/>
  <c r="F73" i="1" s="1"/>
  <c r="E74" i="1" s="1"/>
  <c r="F74" i="1" s="1"/>
  <c r="E75" i="1" s="1"/>
  <c r="F75" i="1" s="1"/>
  <c r="E76" i="1" s="1"/>
  <c r="A198" i="6"/>
  <c r="A199" i="6" s="1"/>
  <c r="A197" i="6"/>
  <c r="E5" i="6"/>
  <c r="F5" i="6" s="1"/>
  <c r="D9" i="11"/>
  <c r="E78" i="11"/>
  <c r="G90" i="11" s="1"/>
  <c r="E79" i="11"/>
  <c r="E75" i="11"/>
  <c r="E76" i="11"/>
  <c r="H89" i="11" s="1"/>
  <c r="D98" i="11"/>
  <c r="E72" i="11"/>
  <c r="D99" i="11"/>
  <c r="D102" i="11"/>
  <c r="E66" i="11"/>
  <c r="F86" i="11" s="1"/>
  <c r="D101" i="11"/>
  <c r="D104" i="11" s="1"/>
  <c r="D106" i="11" s="1"/>
  <c r="E69" i="11"/>
  <c r="G87" i="11" s="1"/>
  <c r="D100" i="11"/>
  <c r="D103" i="11" s="1"/>
  <c r="D105" i="11" s="1"/>
  <c r="D97" i="11"/>
  <c r="G88" i="11"/>
  <c r="G89" i="11"/>
  <c r="G91" i="11"/>
  <c r="F87" i="11"/>
  <c r="F88" i="11"/>
  <c r="F89" i="11"/>
  <c r="F90" i="11"/>
  <c r="F91" i="11"/>
  <c r="L91" i="11"/>
  <c r="K91" i="11"/>
  <c r="I91" i="11"/>
  <c r="H91" i="11"/>
  <c r="D91" i="11"/>
  <c r="C91" i="11"/>
  <c r="L90" i="11"/>
  <c r="K80" i="11"/>
  <c r="K90" i="11"/>
  <c r="I90" i="11"/>
  <c r="D90" i="11"/>
  <c r="C90" i="11"/>
  <c r="L89" i="11"/>
  <c r="K77" i="11"/>
  <c r="K89" i="11"/>
  <c r="I89" i="11"/>
  <c r="D89" i="11"/>
  <c r="C89" i="11"/>
  <c r="M88" i="11"/>
  <c r="L88" i="11"/>
  <c r="K72" i="11"/>
  <c r="K88" i="11"/>
  <c r="I88" i="11"/>
  <c r="H88" i="11"/>
  <c r="D88" i="11"/>
  <c r="C88" i="11"/>
  <c r="K69" i="11"/>
  <c r="K87" i="11" s="1"/>
  <c r="I87" i="11"/>
  <c r="D87" i="11"/>
  <c r="C87" i="11"/>
  <c r="L86" i="11"/>
  <c r="K66" i="11"/>
  <c r="K86" i="11" s="1"/>
  <c r="I86" i="11"/>
  <c r="H86" i="11"/>
  <c r="D86" i="11"/>
  <c r="C86" i="11"/>
  <c r="E80" i="11"/>
  <c r="K79" i="11"/>
  <c r="K78" i="11"/>
  <c r="E77" i="11"/>
  <c r="K76" i="11"/>
  <c r="K75" i="11"/>
  <c r="K74" i="11"/>
  <c r="E74" i="11"/>
  <c r="K73" i="11"/>
  <c r="E73" i="11"/>
  <c r="K71" i="11"/>
  <c r="E71" i="11"/>
  <c r="K70" i="11"/>
  <c r="E70" i="11"/>
  <c r="K68" i="11"/>
  <c r="E68" i="11"/>
  <c r="K67" i="11"/>
  <c r="E67" i="11"/>
  <c r="F7" i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D13" i="10"/>
  <c r="F76" i="1"/>
  <c r="A47" i="1"/>
  <c r="A48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C163" i="6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33" i="6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03" i="6"/>
  <c r="C104" i="6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9" i="6"/>
  <c r="C10" i="6"/>
  <c r="C11" i="6" s="1"/>
  <c r="C39" i="6"/>
  <c r="C69" i="6"/>
  <c r="D99" i="6" l="1"/>
  <c r="BA100" i="6"/>
  <c r="D100" i="6"/>
  <c r="F34" i="1"/>
  <c r="B103" i="1" s="1"/>
  <c r="C12" i="6"/>
  <c r="C41" i="6"/>
  <c r="C71" i="6" s="1"/>
  <c r="C40" i="6"/>
  <c r="C70" i="6" s="1"/>
  <c r="M86" i="11"/>
  <c r="G199" i="6"/>
  <c r="L199" i="6"/>
  <c r="M199" i="6" s="1"/>
  <c r="I104" i="1" s="1"/>
  <c r="A104" i="1"/>
  <c r="A200" i="6"/>
  <c r="F6" i="6"/>
  <c r="F7" i="6"/>
  <c r="G5" i="6"/>
  <c r="D107" i="11"/>
  <c r="T86" i="11" s="1"/>
  <c r="H87" i="11"/>
  <c r="L87" i="11"/>
  <c r="M89" i="11"/>
  <c r="H90" i="11"/>
  <c r="M90" i="11"/>
  <c r="G86" i="11"/>
  <c r="G197" i="6"/>
  <c r="A102" i="1"/>
  <c r="L197" i="6"/>
  <c r="M197" i="6" s="1"/>
  <c r="I102" i="1" s="1"/>
  <c r="M87" i="11"/>
  <c r="E6" i="6"/>
  <c r="E7" i="6"/>
  <c r="G198" i="6"/>
  <c r="L198" i="6"/>
  <c r="M198" i="6" s="1"/>
  <c r="I103" i="1" s="1"/>
  <c r="A103" i="1"/>
  <c r="T107" i="1"/>
  <c r="D101" i="6"/>
  <c r="BA101" i="6"/>
  <c r="B196" i="6" l="1"/>
  <c r="B102" i="1"/>
  <c r="B199" i="6"/>
  <c r="C199" i="6" s="1"/>
  <c r="C104" i="1" s="1"/>
  <c r="B200" i="6"/>
  <c r="C200" i="6" s="1"/>
  <c r="C105" i="1" s="1"/>
  <c r="T142" i="1"/>
  <c r="T109" i="1"/>
  <c r="T145" i="1"/>
  <c r="T147" i="1"/>
  <c r="T149" i="1"/>
  <c r="T151" i="1"/>
  <c r="T153" i="1"/>
  <c r="T155" i="1"/>
  <c r="T157" i="1"/>
  <c r="T159" i="1"/>
  <c r="T140" i="1"/>
  <c r="T129" i="1"/>
  <c r="T133" i="1"/>
  <c r="T137" i="1"/>
  <c r="B101" i="1"/>
  <c r="T108" i="1"/>
  <c r="T105" i="1"/>
  <c r="T111" i="1"/>
  <c r="T113" i="1"/>
  <c r="T115" i="1"/>
  <c r="T117" i="1"/>
  <c r="T119" i="1"/>
  <c r="T121" i="1"/>
  <c r="T123" i="1"/>
  <c r="T125" i="1"/>
  <c r="T126" i="1"/>
  <c r="T130" i="1"/>
  <c r="T134" i="1"/>
  <c r="T138" i="1"/>
  <c r="T141" i="1"/>
  <c r="T104" i="1"/>
  <c r="T144" i="1"/>
  <c r="T146" i="1"/>
  <c r="T148" i="1"/>
  <c r="T150" i="1"/>
  <c r="T152" i="1"/>
  <c r="T154" i="1"/>
  <c r="T156" i="1"/>
  <c r="T158" i="1"/>
  <c r="T160" i="1"/>
  <c r="T127" i="1"/>
  <c r="T131" i="1"/>
  <c r="T135" i="1"/>
  <c r="T139" i="1"/>
  <c r="T103" i="1"/>
  <c r="T143" i="1"/>
  <c r="T110" i="1"/>
  <c r="T112" i="1"/>
  <c r="T114" i="1"/>
  <c r="T116" i="1"/>
  <c r="T118" i="1"/>
  <c r="T120" i="1"/>
  <c r="T122" i="1"/>
  <c r="T124" i="1"/>
  <c r="T101" i="1"/>
  <c r="T128" i="1"/>
  <c r="T132" i="1"/>
  <c r="T136" i="1"/>
  <c r="C196" i="6"/>
  <c r="B197" i="6"/>
  <c r="C197" i="6" s="1"/>
  <c r="C102" i="1" s="1"/>
  <c r="B198" i="6"/>
  <c r="C198" i="6" s="1"/>
  <c r="C103" i="1" s="1"/>
  <c r="T102" i="1"/>
  <c r="B104" i="1"/>
  <c r="T106" i="1"/>
  <c r="U86" i="11"/>
  <c r="F100" i="6"/>
  <c r="F99" i="6"/>
  <c r="F101" i="6"/>
  <c r="V86" i="11"/>
  <c r="E100" i="6"/>
  <c r="E99" i="6"/>
  <c r="E101" i="6"/>
  <c r="G6" i="6"/>
  <c r="G7" i="6"/>
  <c r="H5" i="6"/>
  <c r="T87" i="11"/>
  <c r="G200" i="6"/>
  <c r="L200" i="6"/>
  <c r="M200" i="6" s="1"/>
  <c r="I105" i="1" s="1"/>
  <c r="A105" i="1"/>
  <c r="A201" i="6"/>
  <c r="B105" i="1"/>
  <c r="C13" i="6"/>
  <c r="C42" i="6"/>
  <c r="C72" i="6" s="1"/>
  <c r="C101" i="1" l="1"/>
  <c r="H196" i="6"/>
  <c r="G100" i="6"/>
  <c r="G99" i="6"/>
  <c r="G101" i="6"/>
  <c r="G201" i="6"/>
  <c r="A106" i="1"/>
  <c r="L201" i="6"/>
  <c r="M201" i="6" s="1"/>
  <c r="I106" i="1" s="1"/>
  <c r="B106" i="1"/>
  <c r="A202" i="6"/>
  <c r="B201" i="6"/>
  <c r="C201" i="6" s="1"/>
  <c r="C106" i="1" s="1"/>
  <c r="H6" i="6"/>
  <c r="H7" i="6"/>
  <c r="I5" i="6"/>
  <c r="U87" i="11"/>
  <c r="V87" i="11"/>
  <c r="T88" i="11"/>
  <c r="C14" i="6"/>
  <c r="C43" i="6"/>
  <c r="C73" i="6" s="1"/>
  <c r="H197" i="6" l="1"/>
  <c r="N196" i="6"/>
  <c r="J101" i="1" s="1"/>
  <c r="H100" i="6"/>
  <c r="H99" i="6"/>
  <c r="H101" i="6"/>
  <c r="C15" i="6"/>
  <c r="C44" i="6"/>
  <c r="C74" i="6" s="1"/>
  <c r="T89" i="11"/>
  <c r="U88" i="11"/>
  <c r="V88" i="11"/>
  <c r="I6" i="6"/>
  <c r="I7" i="6"/>
  <c r="J5" i="6"/>
  <c r="G202" i="6"/>
  <c r="L202" i="6"/>
  <c r="M202" i="6" s="1"/>
  <c r="I107" i="1" s="1"/>
  <c r="A107" i="1"/>
  <c r="A203" i="6"/>
  <c r="B107" i="1"/>
  <c r="B202" i="6"/>
  <c r="C202" i="6" s="1"/>
  <c r="C107" i="1" s="1"/>
  <c r="H198" i="6" l="1"/>
  <c r="N197" i="6"/>
  <c r="J102" i="1" s="1"/>
  <c r="G203" i="6"/>
  <c r="L203" i="6"/>
  <c r="M203" i="6" s="1"/>
  <c r="I108" i="1" s="1"/>
  <c r="A108" i="1"/>
  <c r="B108" i="1"/>
  <c r="A204" i="6"/>
  <c r="B203" i="6"/>
  <c r="C203" i="6" s="1"/>
  <c r="C108" i="1" s="1"/>
  <c r="C45" i="6"/>
  <c r="C75" i="6" s="1"/>
  <c r="C16" i="6"/>
  <c r="I100" i="6"/>
  <c r="I99" i="6"/>
  <c r="I101" i="6"/>
  <c r="T90" i="11"/>
  <c r="U89" i="11"/>
  <c r="V89" i="11"/>
  <c r="J6" i="6"/>
  <c r="J7" i="6"/>
  <c r="K5" i="6"/>
  <c r="H199" i="6" l="1"/>
  <c r="N198" i="6"/>
  <c r="J103" i="1" s="1"/>
  <c r="G204" i="6"/>
  <c r="L204" i="6"/>
  <c r="M204" i="6" s="1"/>
  <c r="I109" i="1" s="1"/>
  <c r="A109" i="1"/>
  <c r="B109" i="1"/>
  <c r="A205" i="6"/>
  <c r="B204" i="6"/>
  <c r="C204" i="6" s="1"/>
  <c r="C109" i="1" s="1"/>
  <c r="K6" i="6"/>
  <c r="K7" i="6"/>
  <c r="L5" i="6"/>
  <c r="J100" i="6"/>
  <c r="J99" i="6"/>
  <c r="J101" i="6"/>
  <c r="T91" i="11"/>
  <c r="U90" i="11"/>
  <c r="V90" i="11"/>
  <c r="T92" i="11"/>
  <c r="C46" i="6"/>
  <c r="C76" i="6" s="1"/>
  <c r="C17" i="6"/>
  <c r="N199" i="6" l="1"/>
  <c r="J104" i="1" s="1"/>
  <c r="H200" i="6"/>
  <c r="C18" i="6"/>
  <c r="C47" i="6"/>
  <c r="C77" i="6" s="1"/>
  <c r="V91" i="11"/>
  <c r="V92" i="11" s="1"/>
  <c r="U91" i="11"/>
  <c r="U92" i="11" s="1"/>
  <c r="K99" i="6"/>
  <c r="K100" i="6"/>
  <c r="K101" i="6"/>
  <c r="L6" i="6"/>
  <c r="L7" i="6"/>
  <c r="M5" i="6"/>
  <c r="G205" i="6"/>
  <c r="A110" i="1"/>
  <c r="L205" i="6"/>
  <c r="M205" i="6" s="1"/>
  <c r="I110" i="1" s="1"/>
  <c r="B110" i="1"/>
  <c r="A206" i="6"/>
  <c r="B205" i="6"/>
  <c r="C205" i="6" s="1"/>
  <c r="C110" i="1" s="1"/>
  <c r="H201" i="6" l="1"/>
  <c r="N200" i="6"/>
  <c r="J105" i="1" s="1"/>
  <c r="L99" i="6"/>
  <c r="L100" i="6"/>
  <c r="L101" i="6"/>
  <c r="G206" i="6"/>
  <c r="L206" i="6"/>
  <c r="M206" i="6" s="1"/>
  <c r="I111" i="1" s="1"/>
  <c r="A111" i="1"/>
  <c r="B111" i="1"/>
  <c r="A207" i="6"/>
  <c r="B206" i="6"/>
  <c r="C206" i="6" s="1"/>
  <c r="C111" i="1" s="1"/>
  <c r="M6" i="6"/>
  <c r="M7" i="6"/>
  <c r="N5" i="6"/>
  <c r="C19" i="6"/>
  <c r="C48" i="6"/>
  <c r="C78" i="6" s="1"/>
  <c r="H202" i="6" l="1"/>
  <c r="N201" i="6"/>
  <c r="J106" i="1" s="1"/>
  <c r="N7" i="6"/>
  <c r="N6" i="6"/>
  <c r="O5" i="6"/>
  <c r="C49" i="6"/>
  <c r="C79" i="6" s="1"/>
  <c r="C20" i="6"/>
  <c r="G207" i="6"/>
  <c r="L207" i="6"/>
  <c r="M207" i="6" s="1"/>
  <c r="I112" i="1" s="1"/>
  <c r="A112" i="1"/>
  <c r="B112" i="1"/>
  <c r="A208" i="6"/>
  <c r="B207" i="6"/>
  <c r="C207" i="6" s="1"/>
  <c r="C112" i="1" s="1"/>
  <c r="M100" i="6"/>
  <c r="M99" i="6"/>
  <c r="M101" i="6"/>
  <c r="H203" i="6" l="1"/>
  <c r="N202" i="6"/>
  <c r="J107" i="1" s="1"/>
  <c r="G208" i="6"/>
  <c r="L208" i="6"/>
  <c r="M208" i="6" s="1"/>
  <c r="I113" i="1" s="1"/>
  <c r="A113" i="1"/>
  <c r="B113" i="1"/>
  <c r="A209" i="6"/>
  <c r="B208" i="6"/>
  <c r="C208" i="6" s="1"/>
  <c r="C113" i="1" s="1"/>
  <c r="O7" i="6"/>
  <c r="O6" i="6"/>
  <c r="P5" i="6"/>
  <c r="N100" i="6"/>
  <c r="N99" i="6"/>
  <c r="N101" i="6"/>
  <c r="C50" i="6"/>
  <c r="C80" i="6" s="1"/>
  <c r="C21" i="6"/>
  <c r="N203" i="6" l="1"/>
  <c r="J108" i="1" s="1"/>
  <c r="H204" i="6"/>
  <c r="P7" i="6"/>
  <c r="P6" i="6"/>
  <c r="Q5" i="6"/>
  <c r="O99" i="6"/>
  <c r="O100" i="6"/>
  <c r="O101" i="6"/>
  <c r="C22" i="6"/>
  <c r="C51" i="6"/>
  <c r="C81" i="6" s="1"/>
  <c r="G209" i="6"/>
  <c r="A114" i="1"/>
  <c r="L209" i="6"/>
  <c r="M209" i="6" s="1"/>
  <c r="I114" i="1" s="1"/>
  <c r="B114" i="1"/>
  <c r="A210" i="6"/>
  <c r="B209" i="6"/>
  <c r="C209" i="6" s="1"/>
  <c r="C114" i="1" s="1"/>
  <c r="H205" i="6" l="1"/>
  <c r="N204" i="6"/>
  <c r="J109" i="1" s="1"/>
  <c r="G210" i="6"/>
  <c r="A115" i="1"/>
  <c r="L210" i="6"/>
  <c r="M210" i="6" s="1"/>
  <c r="I115" i="1" s="1"/>
  <c r="A211" i="6"/>
  <c r="B115" i="1"/>
  <c r="B210" i="6"/>
  <c r="C210" i="6" s="1"/>
  <c r="C115" i="1" s="1"/>
  <c r="Q7" i="6"/>
  <c r="Q6" i="6"/>
  <c r="R5" i="6"/>
  <c r="P100" i="6"/>
  <c r="P99" i="6"/>
  <c r="P101" i="6"/>
  <c r="C23" i="6"/>
  <c r="C52" i="6"/>
  <c r="C82" i="6" s="1"/>
  <c r="N205" i="6" l="1"/>
  <c r="J110" i="1" s="1"/>
  <c r="H206" i="6"/>
  <c r="C53" i="6"/>
  <c r="C83" i="6" s="1"/>
  <c r="C24" i="6"/>
  <c r="R7" i="6"/>
  <c r="R6" i="6"/>
  <c r="S5" i="6"/>
  <c r="Q100" i="6"/>
  <c r="Q99" i="6"/>
  <c r="Q101" i="6"/>
  <c r="G211" i="6"/>
  <c r="A116" i="1"/>
  <c r="L211" i="6"/>
  <c r="M211" i="6" s="1"/>
  <c r="I116" i="1" s="1"/>
  <c r="B116" i="1"/>
  <c r="A212" i="6"/>
  <c r="B211" i="6"/>
  <c r="C211" i="6" s="1"/>
  <c r="C116" i="1" s="1"/>
  <c r="H207" i="6" l="1"/>
  <c r="N206" i="6"/>
  <c r="J111" i="1" s="1"/>
  <c r="S7" i="6"/>
  <c r="S6" i="6"/>
  <c r="T5" i="6"/>
  <c r="R100" i="6"/>
  <c r="R99" i="6"/>
  <c r="R101" i="6"/>
  <c r="G212" i="6"/>
  <c r="L212" i="6"/>
  <c r="M212" i="6" s="1"/>
  <c r="I117" i="1" s="1"/>
  <c r="A117" i="1"/>
  <c r="B117" i="1"/>
  <c r="A213" i="6"/>
  <c r="B212" i="6"/>
  <c r="C212" i="6" s="1"/>
  <c r="C117" i="1" s="1"/>
  <c r="C54" i="6"/>
  <c r="C84" i="6" s="1"/>
  <c r="C25" i="6"/>
  <c r="H208" i="6" l="1"/>
  <c r="N207" i="6"/>
  <c r="J112" i="1" s="1"/>
  <c r="G213" i="6"/>
  <c r="A118" i="1"/>
  <c r="L213" i="6"/>
  <c r="M213" i="6" s="1"/>
  <c r="I118" i="1" s="1"/>
  <c r="B118" i="1"/>
  <c r="A214" i="6"/>
  <c r="B213" i="6"/>
  <c r="C213" i="6" s="1"/>
  <c r="C118" i="1" s="1"/>
  <c r="T7" i="6"/>
  <c r="T6" i="6"/>
  <c r="U5" i="6"/>
  <c r="C26" i="6"/>
  <c r="C55" i="6"/>
  <c r="C85" i="6" s="1"/>
  <c r="S100" i="6"/>
  <c r="S101" i="6"/>
  <c r="S99" i="6"/>
  <c r="H209" i="6" l="1"/>
  <c r="N208" i="6"/>
  <c r="J113" i="1" s="1"/>
  <c r="G214" i="6"/>
  <c r="L214" i="6"/>
  <c r="M214" i="6" s="1"/>
  <c r="I119" i="1" s="1"/>
  <c r="A119" i="1"/>
  <c r="B119" i="1"/>
  <c r="A215" i="6"/>
  <c r="B214" i="6"/>
  <c r="C214" i="6" s="1"/>
  <c r="C119" i="1" s="1"/>
  <c r="C27" i="6"/>
  <c r="C56" i="6"/>
  <c r="C86" i="6" s="1"/>
  <c r="U7" i="6"/>
  <c r="U6" i="6"/>
  <c r="V5" i="6"/>
  <c r="T100" i="6"/>
  <c r="T99" i="6"/>
  <c r="T101" i="6"/>
  <c r="H210" i="6" l="1"/>
  <c r="N209" i="6"/>
  <c r="J114" i="1" s="1"/>
  <c r="U100" i="6"/>
  <c r="U99" i="6"/>
  <c r="U101" i="6"/>
  <c r="C57" i="6"/>
  <c r="C87" i="6" s="1"/>
  <c r="C28" i="6"/>
  <c r="G215" i="6"/>
  <c r="A120" i="1"/>
  <c r="L215" i="6"/>
  <c r="M215" i="6" s="1"/>
  <c r="I120" i="1" s="1"/>
  <c r="B120" i="1"/>
  <c r="A216" i="6"/>
  <c r="B215" i="6"/>
  <c r="C215" i="6" s="1"/>
  <c r="C120" i="1" s="1"/>
  <c r="V7" i="6"/>
  <c r="V6" i="6"/>
  <c r="W5" i="6"/>
  <c r="N210" i="6" l="1"/>
  <c r="J115" i="1" s="1"/>
  <c r="H211" i="6"/>
  <c r="C58" i="6"/>
  <c r="C88" i="6" s="1"/>
  <c r="C29" i="6"/>
  <c r="G216" i="6"/>
  <c r="L216" i="6"/>
  <c r="M216" i="6" s="1"/>
  <c r="I121" i="1" s="1"/>
  <c r="A121" i="1"/>
  <c r="B121" i="1"/>
  <c r="A217" i="6"/>
  <c r="B216" i="6"/>
  <c r="C216" i="6" s="1"/>
  <c r="C121" i="1" s="1"/>
  <c r="W7" i="6"/>
  <c r="W6" i="6"/>
  <c r="X5" i="6"/>
  <c r="V100" i="6"/>
  <c r="V99" i="6"/>
  <c r="V101" i="6"/>
  <c r="N211" i="6" l="1"/>
  <c r="J116" i="1" s="1"/>
  <c r="H212" i="6"/>
  <c r="X6" i="6"/>
  <c r="X7" i="6"/>
  <c r="Y5" i="6"/>
  <c r="W100" i="6"/>
  <c r="W99" i="6"/>
  <c r="W101" i="6"/>
  <c r="G217" i="6"/>
  <c r="A122" i="1"/>
  <c r="L217" i="6"/>
  <c r="M217" i="6" s="1"/>
  <c r="I122" i="1" s="1"/>
  <c r="B122" i="1"/>
  <c r="A218" i="6"/>
  <c r="B217" i="6"/>
  <c r="C217" i="6" s="1"/>
  <c r="C122" i="1" s="1"/>
  <c r="C30" i="6"/>
  <c r="C59" i="6"/>
  <c r="C89" i="6" s="1"/>
  <c r="H213" i="6" l="1"/>
  <c r="N212" i="6"/>
  <c r="J117" i="1" s="1"/>
  <c r="C31" i="6"/>
  <c r="C60" i="6"/>
  <c r="C90" i="6" s="1"/>
  <c r="G218" i="6"/>
  <c r="L218" i="6"/>
  <c r="M218" i="6" s="1"/>
  <c r="I123" i="1" s="1"/>
  <c r="A123" i="1"/>
  <c r="B123" i="1"/>
  <c r="A219" i="6"/>
  <c r="B218" i="6"/>
  <c r="C218" i="6" s="1"/>
  <c r="C123" i="1" s="1"/>
  <c r="Y6" i="6"/>
  <c r="Y7" i="6"/>
  <c r="Z5" i="6"/>
  <c r="X100" i="6"/>
  <c r="X99" i="6"/>
  <c r="X101" i="6"/>
  <c r="H214" i="6" l="1"/>
  <c r="N213" i="6"/>
  <c r="J118" i="1" s="1"/>
  <c r="Z6" i="6"/>
  <c r="Z7" i="6"/>
  <c r="AA5" i="6"/>
  <c r="G219" i="6"/>
  <c r="A124" i="1"/>
  <c r="L219" i="6"/>
  <c r="M219" i="6" s="1"/>
  <c r="I124" i="1" s="1"/>
  <c r="B124" i="1"/>
  <c r="A220" i="6"/>
  <c r="B219" i="6"/>
  <c r="C219" i="6" s="1"/>
  <c r="C124" i="1" s="1"/>
  <c r="Y100" i="6"/>
  <c r="Y99" i="6"/>
  <c r="Y101" i="6"/>
  <c r="C61" i="6"/>
  <c r="C91" i="6" s="1"/>
  <c r="C32" i="6"/>
  <c r="H215" i="6" l="1"/>
  <c r="N214" i="6"/>
  <c r="J119" i="1" s="1"/>
  <c r="Z100" i="6"/>
  <c r="Z99" i="6"/>
  <c r="Z101" i="6"/>
  <c r="C62" i="6"/>
  <c r="C92" i="6" s="1"/>
  <c r="C33" i="6"/>
  <c r="G220" i="6"/>
  <c r="L220" i="6"/>
  <c r="M220" i="6" s="1"/>
  <c r="I125" i="1" s="1"/>
  <c r="A125" i="1"/>
  <c r="B125" i="1"/>
  <c r="A221" i="6"/>
  <c r="B220" i="6"/>
  <c r="C220" i="6" s="1"/>
  <c r="C125" i="1" s="1"/>
  <c r="AA7" i="6"/>
  <c r="AA6" i="6"/>
  <c r="AB5" i="6"/>
  <c r="N215" i="6" l="1"/>
  <c r="J120" i="1" s="1"/>
  <c r="H216" i="6"/>
  <c r="C34" i="6"/>
  <c r="C63" i="6"/>
  <c r="C93" i="6" s="1"/>
  <c r="AB6" i="6"/>
  <c r="AB7" i="6"/>
  <c r="AC5" i="6"/>
  <c r="G221" i="6"/>
  <c r="A126" i="1"/>
  <c r="L221" i="6"/>
  <c r="M221" i="6" s="1"/>
  <c r="I126" i="1" s="1"/>
  <c r="B126" i="1"/>
  <c r="A222" i="6"/>
  <c r="B221" i="6"/>
  <c r="C221" i="6" s="1"/>
  <c r="C126" i="1" s="1"/>
  <c r="AA100" i="6"/>
  <c r="AA101" i="6"/>
  <c r="AA99" i="6"/>
  <c r="N216" i="6" l="1"/>
  <c r="J121" i="1" s="1"/>
  <c r="H217" i="6"/>
  <c r="AB100" i="6"/>
  <c r="AB99" i="6"/>
  <c r="AB101" i="6"/>
  <c r="G222" i="6"/>
  <c r="L222" i="6"/>
  <c r="M222" i="6" s="1"/>
  <c r="I127" i="1" s="1"/>
  <c r="A127" i="1"/>
  <c r="B127" i="1"/>
  <c r="A223" i="6"/>
  <c r="B222" i="6"/>
  <c r="C222" i="6" s="1"/>
  <c r="C127" i="1" s="1"/>
  <c r="AC6" i="6"/>
  <c r="AC7" i="6"/>
  <c r="AD5" i="6"/>
  <c r="C35" i="6"/>
  <c r="C64" i="6"/>
  <c r="C94" i="6" s="1"/>
  <c r="H218" i="6" l="1"/>
  <c r="N217" i="6"/>
  <c r="J122" i="1" s="1"/>
  <c r="AD6" i="6"/>
  <c r="AD7" i="6"/>
  <c r="AE5" i="6"/>
  <c r="G223" i="6"/>
  <c r="A128" i="1"/>
  <c r="L223" i="6"/>
  <c r="M223" i="6" s="1"/>
  <c r="I128" i="1" s="1"/>
  <c r="B128" i="1"/>
  <c r="A224" i="6"/>
  <c r="B223" i="6"/>
  <c r="C223" i="6" s="1"/>
  <c r="C128" i="1" s="1"/>
  <c r="AC100" i="6"/>
  <c r="AC99" i="6"/>
  <c r="AC101" i="6"/>
  <c r="C65" i="6"/>
  <c r="C95" i="6" s="1"/>
  <c r="C36" i="6"/>
  <c r="H219" i="6" l="1"/>
  <c r="N218" i="6"/>
  <c r="J123" i="1" s="1"/>
  <c r="C66" i="6"/>
  <c r="C96" i="6" s="1"/>
  <c r="C37" i="6"/>
  <c r="AE7" i="6"/>
  <c r="AE6" i="6"/>
  <c r="AF5" i="6"/>
  <c r="G224" i="6"/>
  <c r="L224" i="6"/>
  <c r="M224" i="6" s="1"/>
  <c r="I129" i="1" s="1"/>
  <c r="A129" i="1"/>
  <c r="B129" i="1"/>
  <c r="A225" i="6"/>
  <c r="B224" i="6"/>
  <c r="C224" i="6" s="1"/>
  <c r="C129" i="1" s="1"/>
  <c r="AD100" i="6"/>
  <c r="AD99" i="6"/>
  <c r="AD101" i="6"/>
  <c r="H220" i="6" l="1"/>
  <c r="N219" i="6"/>
  <c r="J124" i="1" s="1"/>
  <c r="AF6" i="6"/>
  <c r="AF7" i="6"/>
  <c r="AG5" i="6"/>
  <c r="C67" i="6"/>
  <c r="C97" i="6" s="1"/>
  <c r="C38" i="6"/>
  <c r="C68" i="6" s="1"/>
  <c r="C98" i="6" s="1"/>
  <c r="G225" i="6"/>
  <c r="A130" i="1"/>
  <c r="L225" i="6"/>
  <c r="M225" i="6" s="1"/>
  <c r="I130" i="1" s="1"/>
  <c r="B130" i="1"/>
  <c r="A226" i="6"/>
  <c r="B225" i="6"/>
  <c r="C225" i="6" s="1"/>
  <c r="C130" i="1" s="1"/>
  <c r="AE100" i="6"/>
  <c r="AE99" i="6"/>
  <c r="AE101" i="6"/>
  <c r="H221" i="6" l="1"/>
  <c r="N220" i="6"/>
  <c r="J125" i="1" s="1"/>
  <c r="G226" i="6"/>
  <c r="L226" i="6"/>
  <c r="M226" i="6" s="1"/>
  <c r="I131" i="1" s="1"/>
  <c r="A131" i="1"/>
  <c r="B131" i="1"/>
  <c r="A227" i="6"/>
  <c r="B226" i="6"/>
  <c r="C226" i="6" s="1"/>
  <c r="C131" i="1" s="1"/>
  <c r="AG6" i="6"/>
  <c r="AG7" i="6"/>
  <c r="AH5" i="6"/>
  <c r="AF100" i="6"/>
  <c r="AF99" i="6"/>
  <c r="AF101" i="6"/>
  <c r="N221" i="6" l="1"/>
  <c r="J126" i="1" s="1"/>
  <c r="H222" i="6"/>
  <c r="AG100" i="6"/>
  <c r="AG99" i="6"/>
  <c r="AG101" i="6"/>
  <c r="AH6" i="6"/>
  <c r="AH7" i="6"/>
  <c r="AI5" i="6"/>
  <c r="G227" i="6"/>
  <c r="A132" i="1"/>
  <c r="L227" i="6"/>
  <c r="M227" i="6" s="1"/>
  <c r="I132" i="1" s="1"/>
  <c r="B132" i="1"/>
  <c r="A228" i="6"/>
  <c r="B227" i="6"/>
  <c r="C227" i="6" s="1"/>
  <c r="C132" i="1" s="1"/>
  <c r="N222" i="6" l="1"/>
  <c r="J127" i="1" s="1"/>
  <c r="H223" i="6"/>
  <c r="AH100" i="6"/>
  <c r="AH99" i="6"/>
  <c r="AH101" i="6"/>
  <c r="G228" i="6"/>
  <c r="L228" i="6"/>
  <c r="M228" i="6" s="1"/>
  <c r="I133" i="1" s="1"/>
  <c r="A133" i="1"/>
  <c r="B133" i="1"/>
  <c r="A229" i="6"/>
  <c r="B228" i="6"/>
  <c r="C228" i="6" s="1"/>
  <c r="C133" i="1" s="1"/>
  <c r="AI7" i="6"/>
  <c r="AI6" i="6"/>
  <c r="AJ5" i="6"/>
  <c r="H224" i="6" l="1"/>
  <c r="N223" i="6"/>
  <c r="J128" i="1" s="1"/>
  <c r="AJ6" i="6"/>
  <c r="AJ7" i="6"/>
  <c r="AK5" i="6"/>
  <c r="AI100" i="6"/>
  <c r="AI101" i="6"/>
  <c r="AI99" i="6"/>
  <c r="G229" i="6"/>
  <c r="L229" i="6"/>
  <c r="M229" i="6" s="1"/>
  <c r="I134" i="1" s="1"/>
  <c r="A134" i="1"/>
  <c r="B134" i="1"/>
  <c r="A230" i="6"/>
  <c r="B229" i="6"/>
  <c r="C229" i="6" s="1"/>
  <c r="C134" i="1" s="1"/>
  <c r="H225" i="6" l="1"/>
  <c r="N224" i="6"/>
  <c r="J129" i="1" s="1"/>
  <c r="AJ100" i="6"/>
  <c r="AJ99" i="6"/>
  <c r="AJ101" i="6"/>
  <c r="AK6" i="6"/>
  <c r="AK7" i="6"/>
  <c r="AL5" i="6"/>
  <c r="G230" i="6"/>
  <c r="L230" i="6"/>
  <c r="M230" i="6" s="1"/>
  <c r="I135" i="1" s="1"/>
  <c r="A135" i="1"/>
  <c r="B135" i="1"/>
  <c r="A231" i="6"/>
  <c r="B230" i="6"/>
  <c r="C230" i="6" s="1"/>
  <c r="C135" i="1" s="1"/>
  <c r="H226" i="6" l="1"/>
  <c r="N225" i="6"/>
  <c r="J130" i="1" s="1"/>
  <c r="AL6" i="6"/>
  <c r="AL7" i="6"/>
  <c r="AM5" i="6"/>
  <c r="G231" i="6"/>
  <c r="L231" i="6"/>
  <c r="M231" i="6" s="1"/>
  <c r="I136" i="1" s="1"/>
  <c r="A136" i="1"/>
  <c r="B136" i="1"/>
  <c r="A232" i="6"/>
  <c r="B231" i="6"/>
  <c r="C231" i="6" s="1"/>
  <c r="C136" i="1" s="1"/>
  <c r="AK100" i="6"/>
  <c r="AK99" i="6"/>
  <c r="AK101" i="6"/>
  <c r="H227" i="6" l="1"/>
  <c r="N226" i="6"/>
  <c r="J131" i="1" s="1"/>
  <c r="AM7" i="6"/>
  <c r="AM6" i="6"/>
  <c r="AN5" i="6"/>
  <c r="G232" i="6"/>
  <c r="L232" i="6"/>
  <c r="M232" i="6" s="1"/>
  <c r="I137" i="1" s="1"/>
  <c r="A137" i="1"/>
  <c r="B137" i="1"/>
  <c r="A233" i="6"/>
  <c r="B232" i="6"/>
  <c r="C232" i="6" s="1"/>
  <c r="C137" i="1" s="1"/>
  <c r="AL100" i="6"/>
  <c r="AL99" i="6"/>
  <c r="AL101" i="6"/>
  <c r="H228" i="6" l="1"/>
  <c r="N227" i="6"/>
  <c r="J132" i="1" s="1"/>
  <c r="AN6" i="6"/>
  <c r="AN7" i="6"/>
  <c r="AO5" i="6"/>
  <c r="AM100" i="6"/>
  <c r="AM99" i="6"/>
  <c r="AM101" i="6"/>
  <c r="G233" i="6"/>
  <c r="L233" i="6"/>
  <c r="M233" i="6" s="1"/>
  <c r="I138" i="1" s="1"/>
  <c r="A138" i="1"/>
  <c r="B138" i="1"/>
  <c r="A234" i="6"/>
  <c r="B233" i="6"/>
  <c r="C233" i="6" s="1"/>
  <c r="C138" i="1" s="1"/>
  <c r="H229" i="6" l="1"/>
  <c r="N228" i="6"/>
  <c r="J133" i="1" s="1"/>
  <c r="AO6" i="6"/>
  <c r="AO7" i="6"/>
  <c r="AP5" i="6"/>
  <c r="G234" i="6"/>
  <c r="L234" i="6"/>
  <c r="M234" i="6" s="1"/>
  <c r="I139" i="1" s="1"/>
  <c r="A139" i="1"/>
  <c r="B139" i="1"/>
  <c r="A235" i="6"/>
  <c r="B234" i="6"/>
  <c r="C234" i="6" s="1"/>
  <c r="C139" i="1" s="1"/>
  <c r="AN100" i="6"/>
  <c r="AN99" i="6"/>
  <c r="AN101" i="6"/>
  <c r="H230" i="6" l="1"/>
  <c r="N229" i="6"/>
  <c r="J134" i="1" s="1"/>
  <c r="G235" i="6"/>
  <c r="L235" i="6"/>
  <c r="M235" i="6" s="1"/>
  <c r="I140" i="1" s="1"/>
  <c r="A140" i="1"/>
  <c r="B140" i="1"/>
  <c r="A236" i="6"/>
  <c r="B235" i="6"/>
  <c r="C235" i="6" s="1"/>
  <c r="C140" i="1" s="1"/>
  <c r="AP6" i="6"/>
  <c r="AP7" i="6"/>
  <c r="AQ5" i="6"/>
  <c r="AO100" i="6"/>
  <c r="AO99" i="6"/>
  <c r="AO101" i="6"/>
  <c r="H231" i="6" l="1"/>
  <c r="N230" i="6"/>
  <c r="J135" i="1" s="1"/>
  <c r="AP100" i="6"/>
  <c r="AP99" i="6"/>
  <c r="AP101" i="6"/>
  <c r="AQ7" i="6"/>
  <c r="AQ6" i="6"/>
  <c r="AR5" i="6"/>
  <c r="G236" i="6"/>
  <c r="L236" i="6"/>
  <c r="M236" i="6" s="1"/>
  <c r="I141" i="1" s="1"/>
  <c r="A141" i="1"/>
  <c r="A237" i="6"/>
  <c r="B141" i="1"/>
  <c r="B236" i="6"/>
  <c r="C236" i="6" s="1"/>
  <c r="C141" i="1" s="1"/>
  <c r="N231" i="6" l="1"/>
  <c r="J136" i="1" s="1"/>
  <c r="H232" i="6"/>
  <c r="G237" i="6"/>
  <c r="L237" i="6"/>
  <c r="M237" i="6" s="1"/>
  <c r="I142" i="1" s="1"/>
  <c r="A142" i="1"/>
  <c r="B142" i="1"/>
  <c r="A238" i="6"/>
  <c r="B237" i="6"/>
  <c r="C237" i="6" s="1"/>
  <c r="C142" i="1" s="1"/>
  <c r="AR6" i="6"/>
  <c r="AR7" i="6"/>
  <c r="AS5" i="6"/>
  <c r="AQ100" i="6"/>
  <c r="AQ101" i="6"/>
  <c r="AQ99" i="6"/>
  <c r="H233" i="6" l="1"/>
  <c r="N232" i="6"/>
  <c r="J137" i="1" s="1"/>
  <c r="G238" i="6"/>
  <c r="L238" i="6"/>
  <c r="M238" i="6" s="1"/>
  <c r="I143" i="1" s="1"/>
  <c r="A143" i="1"/>
  <c r="B143" i="1"/>
  <c r="A239" i="6"/>
  <c r="B238" i="6"/>
  <c r="C238" i="6" s="1"/>
  <c r="C143" i="1" s="1"/>
  <c r="AR100" i="6"/>
  <c r="AR99" i="6"/>
  <c r="AR101" i="6"/>
  <c r="AS6" i="6"/>
  <c r="AS7" i="6"/>
  <c r="AT5" i="6"/>
  <c r="N233" i="6" l="1"/>
  <c r="J138" i="1" s="1"/>
  <c r="H234" i="6"/>
  <c r="AS100" i="6"/>
  <c r="AS99" i="6"/>
  <c r="AS101" i="6"/>
  <c r="G239" i="6"/>
  <c r="L239" i="6"/>
  <c r="M239" i="6" s="1"/>
  <c r="I144" i="1" s="1"/>
  <c r="A144" i="1"/>
  <c r="A240" i="6"/>
  <c r="B144" i="1"/>
  <c r="B239" i="6"/>
  <c r="C239" i="6" s="1"/>
  <c r="C144" i="1" s="1"/>
  <c r="AT6" i="6"/>
  <c r="AT7" i="6"/>
  <c r="AU5" i="6"/>
  <c r="N234" i="6" l="1"/>
  <c r="J139" i="1" s="1"/>
  <c r="H235" i="6"/>
  <c r="AT100" i="6"/>
  <c r="AT99" i="6"/>
  <c r="AT101" i="6"/>
  <c r="G240" i="6"/>
  <c r="L240" i="6"/>
  <c r="M240" i="6" s="1"/>
  <c r="I145" i="1" s="1"/>
  <c r="A145" i="1"/>
  <c r="A241" i="6"/>
  <c r="B145" i="1"/>
  <c r="B240" i="6"/>
  <c r="C240" i="6" s="1"/>
  <c r="C145" i="1" s="1"/>
  <c r="AU7" i="6"/>
  <c r="AU6" i="6"/>
  <c r="AV5" i="6"/>
  <c r="N235" i="6" l="1"/>
  <c r="J140" i="1" s="1"/>
  <c r="H236" i="6"/>
  <c r="AU100" i="6"/>
  <c r="AU99" i="6"/>
  <c r="AU101" i="6"/>
  <c r="G241" i="6"/>
  <c r="L241" i="6"/>
  <c r="M241" i="6" s="1"/>
  <c r="I146" i="1" s="1"/>
  <c r="A146" i="1"/>
  <c r="B146" i="1"/>
  <c r="A242" i="6"/>
  <c r="B241" i="6"/>
  <c r="C241" i="6" s="1"/>
  <c r="C146" i="1" s="1"/>
  <c r="AV6" i="6"/>
  <c r="AV7" i="6"/>
  <c r="AW5" i="6"/>
  <c r="H237" i="6" l="1"/>
  <c r="N236" i="6"/>
  <c r="J141" i="1" s="1"/>
  <c r="AW6" i="6"/>
  <c r="AW7" i="6"/>
  <c r="AX5" i="6"/>
  <c r="G242" i="6"/>
  <c r="L242" i="6"/>
  <c r="M242" i="6" s="1"/>
  <c r="I147" i="1" s="1"/>
  <c r="A147" i="1"/>
  <c r="B147" i="1"/>
  <c r="A243" i="6"/>
  <c r="B242" i="6"/>
  <c r="C242" i="6" s="1"/>
  <c r="C147" i="1" s="1"/>
  <c r="AV100" i="6"/>
  <c r="AV99" i="6"/>
  <c r="AV101" i="6"/>
  <c r="H238" i="6" l="1"/>
  <c r="N237" i="6"/>
  <c r="J142" i="1" s="1"/>
  <c r="AW100" i="6"/>
  <c r="AW99" i="6"/>
  <c r="AW101" i="6"/>
  <c r="G243" i="6"/>
  <c r="L243" i="6"/>
  <c r="M243" i="6" s="1"/>
  <c r="I148" i="1" s="1"/>
  <c r="A148" i="1"/>
  <c r="A244" i="6"/>
  <c r="B148" i="1"/>
  <c r="B243" i="6"/>
  <c r="C243" i="6" s="1"/>
  <c r="C148" i="1" s="1"/>
  <c r="AX6" i="6"/>
  <c r="AX7" i="6"/>
  <c r="AY5" i="6"/>
  <c r="H239" i="6" l="1"/>
  <c r="N238" i="6"/>
  <c r="J143" i="1" s="1"/>
  <c r="AX100" i="6"/>
  <c r="AX99" i="6"/>
  <c r="AX101" i="6"/>
  <c r="G244" i="6"/>
  <c r="L244" i="6"/>
  <c r="M244" i="6" s="1"/>
  <c r="I149" i="1" s="1"/>
  <c r="A149" i="1"/>
  <c r="A245" i="6"/>
  <c r="B149" i="1"/>
  <c r="B244" i="6"/>
  <c r="C244" i="6" s="1"/>
  <c r="C149" i="1" s="1"/>
  <c r="AY7" i="6"/>
  <c r="AY6" i="6"/>
  <c r="AZ5" i="6"/>
  <c r="H240" i="6" l="1"/>
  <c r="N239" i="6"/>
  <c r="J144" i="1" s="1"/>
  <c r="AZ6" i="6"/>
  <c r="AZ7" i="6"/>
  <c r="G245" i="6"/>
  <c r="L245" i="6"/>
  <c r="M245" i="6" s="1"/>
  <c r="I150" i="1" s="1"/>
  <c r="A150" i="1"/>
  <c r="B150" i="1"/>
  <c r="A246" i="6"/>
  <c r="B245" i="6"/>
  <c r="C245" i="6" s="1"/>
  <c r="C150" i="1" s="1"/>
  <c r="AY100" i="6"/>
  <c r="AY101" i="6"/>
  <c r="AY99" i="6"/>
  <c r="N240" i="6" l="1"/>
  <c r="J145" i="1" s="1"/>
  <c r="H241" i="6"/>
  <c r="AZ100" i="6"/>
  <c r="BC100" i="6" s="1"/>
  <c r="AZ99" i="6"/>
  <c r="BC99" i="6" s="1"/>
  <c r="AZ101" i="6"/>
  <c r="BC101" i="6" s="1"/>
  <c r="BC6" i="6"/>
  <c r="G246" i="6"/>
  <c r="L246" i="6"/>
  <c r="M246" i="6" s="1"/>
  <c r="I151" i="1" s="1"/>
  <c r="A151" i="1"/>
  <c r="B151" i="1"/>
  <c r="A247" i="6"/>
  <c r="B246" i="6"/>
  <c r="C246" i="6" s="1"/>
  <c r="C151" i="1" s="1"/>
  <c r="H242" i="6" l="1"/>
  <c r="N241" i="6"/>
  <c r="J146" i="1" s="1"/>
  <c r="I38" i="10"/>
  <c r="F27" i="1" s="1"/>
  <c r="I34" i="10"/>
  <c r="F21" i="1" s="1"/>
  <c r="G247" i="6"/>
  <c r="L247" i="6"/>
  <c r="M247" i="6" s="1"/>
  <c r="I152" i="1" s="1"/>
  <c r="A152" i="1"/>
  <c r="A248" i="6"/>
  <c r="B152" i="1"/>
  <c r="B247" i="6"/>
  <c r="C247" i="6" s="1"/>
  <c r="C152" i="1" s="1"/>
  <c r="I36" i="10"/>
  <c r="F24" i="1" s="1"/>
  <c r="H243" i="6" l="1"/>
  <c r="N242" i="6"/>
  <c r="J147" i="1" s="1"/>
  <c r="F196" i="6"/>
  <c r="F198" i="6"/>
  <c r="G103" i="1" s="1"/>
  <c r="F200" i="6"/>
  <c r="G105" i="1" s="1"/>
  <c r="F202" i="6"/>
  <c r="G107" i="1" s="1"/>
  <c r="F204" i="6"/>
  <c r="G109" i="1" s="1"/>
  <c r="F206" i="6"/>
  <c r="G111" i="1" s="1"/>
  <c r="F208" i="6"/>
  <c r="G113" i="1" s="1"/>
  <c r="F210" i="6"/>
  <c r="G115" i="1" s="1"/>
  <c r="F212" i="6"/>
  <c r="G117" i="1" s="1"/>
  <c r="F214" i="6"/>
  <c r="G119" i="1" s="1"/>
  <c r="F216" i="6"/>
  <c r="G121" i="1" s="1"/>
  <c r="F218" i="6"/>
  <c r="G123" i="1" s="1"/>
  <c r="F220" i="6"/>
  <c r="G125" i="1" s="1"/>
  <c r="F222" i="6"/>
  <c r="G127" i="1" s="1"/>
  <c r="F224" i="6"/>
  <c r="G129" i="1" s="1"/>
  <c r="F226" i="6"/>
  <c r="G131" i="1" s="1"/>
  <c r="F228" i="6"/>
  <c r="G133" i="1" s="1"/>
  <c r="F230" i="6"/>
  <c r="G135" i="1" s="1"/>
  <c r="F232" i="6"/>
  <c r="G137" i="1" s="1"/>
  <c r="F234" i="6"/>
  <c r="G139" i="1" s="1"/>
  <c r="F236" i="6"/>
  <c r="G141" i="1" s="1"/>
  <c r="F197" i="6"/>
  <c r="G102" i="1" s="1"/>
  <c r="F199" i="6"/>
  <c r="G104" i="1" s="1"/>
  <c r="F201" i="6"/>
  <c r="G106" i="1" s="1"/>
  <c r="F203" i="6"/>
  <c r="G108" i="1" s="1"/>
  <c r="F205" i="6"/>
  <c r="G110" i="1" s="1"/>
  <c r="F207" i="6"/>
  <c r="G112" i="1" s="1"/>
  <c r="F209" i="6"/>
  <c r="G114" i="1" s="1"/>
  <c r="F211" i="6"/>
  <c r="G116" i="1" s="1"/>
  <c r="F213" i="6"/>
  <c r="G118" i="1" s="1"/>
  <c r="F215" i="6"/>
  <c r="G120" i="1" s="1"/>
  <c r="F217" i="6"/>
  <c r="G122" i="1" s="1"/>
  <c r="F219" i="6"/>
  <c r="G124" i="1" s="1"/>
  <c r="F221" i="6"/>
  <c r="G126" i="1" s="1"/>
  <c r="F223" i="6"/>
  <c r="G128" i="1" s="1"/>
  <c r="F225" i="6"/>
  <c r="G130" i="1" s="1"/>
  <c r="F227" i="6"/>
  <c r="G132" i="1" s="1"/>
  <c r="F229" i="6"/>
  <c r="G134" i="1" s="1"/>
  <c r="F231" i="6"/>
  <c r="G136" i="1" s="1"/>
  <c r="F233" i="6"/>
  <c r="G138" i="1" s="1"/>
  <c r="F239" i="6"/>
  <c r="G144" i="1" s="1"/>
  <c r="F243" i="6"/>
  <c r="G148" i="1" s="1"/>
  <c r="F247" i="6"/>
  <c r="G152" i="1" s="1"/>
  <c r="F235" i="6"/>
  <c r="G140" i="1" s="1"/>
  <c r="F240" i="6"/>
  <c r="G145" i="1" s="1"/>
  <c r="F244" i="6"/>
  <c r="G149" i="1" s="1"/>
  <c r="F237" i="6"/>
  <c r="G142" i="1" s="1"/>
  <c r="F241" i="6"/>
  <c r="G146" i="1" s="1"/>
  <c r="F245" i="6"/>
  <c r="G150" i="1" s="1"/>
  <c r="F238" i="6"/>
  <c r="G143" i="1" s="1"/>
  <c r="F242" i="6"/>
  <c r="G147" i="1" s="1"/>
  <c r="F246" i="6"/>
  <c r="G151" i="1" s="1"/>
  <c r="G248" i="6"/>
  <c r="L248" i="6"/>
  <c r="M248" i="6" s="1"/>
  <c r="I153" i="1" s="1"/>
  <c r="A153" i="1"/>
  <c r="A249" i="6"/>
  <c r="B153" i="1"/>
  <c r="B248" i="6"/>
  <c r="C248" i="6" s="1"/>
  <c r="C153" i="1" s="1"/>
  <c r="D196" i="6"/>
  <c r="D198" i="6"/>
  <c r="D103" i="1" s="1"/>
  <c r="D200" i="6"/>
  <c r="D105" i="1" s="1"/>
  <c r="D202" i="6"/>
  <c r="D107" i="1" s="1"/>
  <c r="D204" i="6"/>
  <c r="D109" i="1" s="1"/>
  <c r="D206" i="6"/>
  <c r="D111" i="1" s="1"/>
  <c r="D208" i="6"/>
  <c r="D113" i="1" s="1"/>
  <c r="D210" i="6"/>
  <c r="D115" i="1" s="1"/>
  <c r="D212" i="6"/>
  <c r="D117" i="1" s="1"/>
  <c r="D214" i="6"/>
  <c r="D119" i="1" s="1"/>
  <c r="D216" i="6"/>
  <c r="D121" i="1" s="1"/>
  <c r="D218" i="6"/>
  <c r="D123" i="1" s="1"/>
  <c r="D220" i="6"/>
  <c r="D125" i="1" s="1"/>
  <c r="D222" i="6"/>
  <c r="D127" i="1" s="1"/>
  <c r="D224" i="6"/>
  <c r="D129" i="1" s="1"/>
  <c r="D226" i="6"/>
  <c r="D131" i="1" s="1"/>
  <c r="D228" i="6"/>
  <c r="D133" i="1" s="1"/>
  <c r="D230" i="6"/>
  <c r="D135" i="1" s="1"/>
  <c r="D232" i="6"/>
  <c r="D137" i="1" s="1"/>
  <c r="D234" i="6"/>
  <c r="D139" i="1" s="1"/>
  <c r="D236" i="6"/>
  <c r="D141" i="1" s="1"/>
  <c r="D238" i="6"/>
  <c r="D143" i="1" s="1"/>
  <c r="D240" i="6"/>
  <c r="D145" i="1" s="1"/>
  <c r="D242" i="6"/>
  <c r="D147" i="1" s="1"/>
  <c r="D244" i="6"/>
  <c r="D149" i="1" s="1"/>
  <c r="D246" i="6"/>
  <c r="D151" i="1" s="1"/>
  <c r="D197" i="6"/>
  <c r="D102" i="1" s="1"/>
  <c r="D199" i="6"/>
  <c r="D104" i="1" s="1"/>
  <c r="D201" i="6"/>
  <c r="D106" i="1" s="1"/>
  <c r="D203" i="6"/>
  <c r="D108" i="1" s="1"/>
  <c r="D205" i="6"/>
  <c r="D110" i="1" s="1"/>
  <c r="D207" i="6"/>
  <c r="D112" i="1" s="1"/>
  <c r="D209" i="6"/>
  <c r="D114" i="1" s="1"/>
  <c r="D211" i="6"/>
  <c r="D116" i="1" s="1"/>
  <c r="D213" i="6"/>
  <c r="D118" i="1" s="1"/>
  <c r="D215" i="6"/>
  <c r="D120" i="1" s="1"/>
  <c r="D217" i="6"/>
  <c r="D122" i="1" s="1"/>
  <c r="D219" i="6"/>
  <c r="D124" i="1" s="1"/>
  <c r="D221" i="6"/>
  <c r="D126" i="1" s="1"/>
  <c r="D223" i="6"/>
  <c r="D128" i="1" s="1"/>
  <c r="D225" i="6"/>
  <c r="D130" i="1" s="1"/>
  <c r="D227" i="6"/>
  <c r="D132" i="1" s="1"/>
  <c r="D229" i="6"/>
  <c r="D134" i="1" s="1"/>
  <c r="D231" i="6"/>
  <c r="D136" i="1" s="1"/>
  <c r="D233" i="6"/>
  <c r="D138" i="1" s="1"/>
  <c r="D235" i="6"/>
  <c r="D140" i="1" s="1"/>
  <c r="D237" i="6"/>
  <c r="D142" i="1" s="1"/>
  <c r="D239" i="6"/>
  <c r="D144" i="1" s="1"/>
  <c r="D241" i="6"/>
  <c r="D146" i="1" s="1"/>
  <c r="D243" i="6"/>
  <c r="D148" i="1" s="1"/>
  <c r="D245" i="6"/>
  <c r="D150" i="1" s="1"/>
  <c r="D247" i="6"/>
  <c r="D152" i="1" s="1"/>
  <c r="E197" i="6"/>
  <c r="E102" i="1" s="1"/>
  <c r="E199" i="6"/>
  <c r="E104" i="1" s="1"/>
  <c r="E201" i="6"/>
  <c r="E106" i="1" s="1"/>
  <c r="E203" i="6"/>
  <c r="E108" i="1" s="1"/>
  <c r="E205" i="6"/>
  <c r="E110" i="1" s="1"/>
  <c r="E207" i="6"/>
  <c r="E112" i="1" s="1"/>
  <c r="E196" i="6"/>
  <c r="E198" i="6"/>
  <c r="E103" i="1" s="1"/>
  <c r="E200" i="6"/>
  <c r="E105" i="1" s="1"/>
  <c r="E202" i="6"/>
  <c r="E107" i="1" s="1"/>
  <c r="E204" i="6"/>
  <c r="E109" i="1" s="1"/>
  <c r="E206" i="6"/>
  <c r="E111" i="1" s="1"/>
  <c r="E208" i="6"/>
  <c r="E113" i="1" s="1"/>
  <c r="E209" i="6"/>
  <c r="E114" i="1" s="1"/>
  <c r="E211" i="6"/>
  <c r="E116" i="1" s="1"/>
  <c r="E213" i="6"/>
  <c r="E118" i="1" s="1"/>
  <c r="E215" i="6"/>
  <c r="E120" i="1" s="1"/>
  <c r="E217" i="6"/>
  <c r="E122" i="1" s="1"/>
  <c r="E219" i="6"/>
  <c r="E124" i="1" s="1"/>
  <c r="E221" i="6"/>
  <c r="E126" i="1" s="1"/>
  <c r="E223" i="6"/>
  <c r="E128" i="1" s="1"/>
  <c r="E225" i="6"/>
  <c r="E130" i="1" s="1"/>
  <c r="E227" i="6"/>
  <c r="E132" i="1" s="1"/>
  <c r="E229" i="6"/>
  <c r="E134" i="1" s="1"/>
  <c r="E231" i="6"/>
  <c r="E136" i="1" s="1"/>
  <c r="E233" i="6"/>
  <c r="E138" i="1" s="1"/>
  <c r="E235" i="6"/>
  <c r="E140" i="1" s="1"/>
  <c r="E237" i="6"/>
  <c r="E142" i="1" s="1"/>
  <c r="E239" i="6"/>
  <c r="E144" i="1" s="1"/>
  <c r="E241" i="6"/>
  <c r="E146" i="1" s="1"/>
  <c r="E243" i="6"/>
  <c r="E148" i="1" s="1"/>
  <c r="E245" i="6"/>
  <c r="E150" i="1" s="1"/>
  <c r="E247" i="6"/>
  <c r="E152" i="1" s="1"/>
  <c r="E210" i="6"/>
  <c r="E115" i="1" s="1"/>
  <c r="E212" i="6"/>
  <c r="E117" i="1" s="1"/>
  <c r="E214" i="6"/>
  <c r="E119" i="1" s="1"/>
  <c r="E216" i="6"/>
  <c r="E121" i="1" s="1"/>
  <c r="E218" i="6"/>
  <c r="E123" i="1" s="1"/>
  <c r="E220" i="6"/>
  <c r="E125" i="1" s="1"/>
  <c r="E222" i="6"/>
  <c r="E127" i="1" s="1"/>
  <c r="E224" i="6"/>
  <c r="E129" i="1" s="1"/>
  <c r="E226" i="6"/>
  <c r="E131" i="1" s="1"/>
  <c r="E228" i="6"/>
  <c r="E133" i="1" s="1"/>
  <c r="E230" i="6"/>
  <c r="E135" i="1" s="1"/>
  <c r="E232" i="6"/>
  <c r="E137" i="1" s="1"/>
  <c r="E234" i="6"/>
  <c r="E139" i="1" s="1"/>
  <c r="E236" i="6"/>
  <c r="E141" i="1" s="1"/>
  <c r="E238" i="6"/>
  <c r="E143" i="1" s="1"/>
  <c r="E240" i="6"/>
  <c r="E145" i="1" s="1"/>
  <c r="E242" i="6"/>
  <c r="E147" i="1" s="1"/>
  <c r="E244" i="6"/>
  <c r="E149" i="1" s="1"/>
  <c r="E246" i="6"/>
  <c r="E151" i="1" s="1"/>
  <c r="F152" i="1" l="1"/>
  <c r="D248" i="6"/>
  <c r="D153" i="1" s="1"/>
  <c r="E248" i="6"/>
  <c r="E153" i="1" s="1"/>
  <c r="H244" i="6"/>
  <c r="N243" i="6"/>
  <c r="J148" i="1" s="1"/>
  <c r="H152" i="1"/>
  <c r="J196" i="6"/>
  <c r="E101" i="1"/>
  <c r="F146" i="1"/>
  <c r="F138" i="1"/>
  <c r="F130" i="1"/>
  <c r="F122" i="1"/>
  <c r="F114" i="1"/>
  <c r="F106" i="1"/>
  <c r="F149" i="1"/>
  <c r="F141" i="1"/>
  <c r="F133" i="1"/>
  <c r="F125" i="1"/>
  <c r="F117" i="1"/>
  <c r="F109" i="1"/>
  <c r="I196" i="6"/>
  <c r="D101" i="1"/>
  <c r="F101" i="1" s="1"/>
  <c r="G249" i="6"/>
  <c r="L249" i="6"/>
  <c r="M249" i="6" s="1"/>
  <c r="I154" i="1" s="1"/>
  <c r="A154" i="1"/>
  <c r="B154" i="1"/>
  <c r="A250" i="6"/>
  <c r="B249" i="6"/>
  <c r="F144" i="1"/>
  <c r="F136" i="1"/>
  <c r="F128" i="1"/>
  <c r="F120" i="1"/>
  <c r="F112" i="1"/>
  <c r="F104" i="1"/>
  <c r="F147" i="1"/>
  <c r="F139" i="1"/>
  <c r="F131" i="1"/>
  <c r="F123" i="1"/>
  <c r="F115" i="1"/>
  <c r="F107" i="1"/>
  <c r="F150" i="1"/>
  <c r="F142" i="1"/>
  <c r="F134" i="1"/>
  <c r="F126" i="1"/>
  <c r="F118" i="1"/>
  <c r="F110" i="1"/>
  <c r="F102" i="1"/>
  <c r="F145" i="1"/>
  <c r="F137" i="1"/>
  <c r="F129" i="1"/>
  <c r="F121" i="1"/>
  <c r="F113" i="1"/>
  <c r="F105" i="1"/>
  <c r="F153" i="1"/>
  <c r="F148" i="1"/>
  <c r="F140" i="1"/>
  <c r="F132" i="1"/>
  <c r="F124" i="1"/>
  <c r="F116" i="1"/>
  <c r="F108" i="1"/>
  <c r="F151" i="1"/>
  <c r="F143" i="1"/>
  <c r="F135" i="1"/>
  <c r="F127" i="1"/>
  <c r="F119" i="1"/>
  <c r="F111" i="1"/>
  <c r="F103" i="1"/>
  <c r="F248" i="6"/>
  <c r="G153" i="1" s="1"/>
  <c r="K196" i="6"/>
  <c r="G101" i="1"/>
  <c r="H245" i="6" l="1"/>
  <c r="N244" i="6"/>
  <c r="J149" i="1" s="1"/>
  <c r="K197" i="6"/>
  <c r="Q196" i="6"/>
  <c r="N101" i="1" s="1"/>
  <c r="H119" i="1"/>
  <c r="H151" i="1"/>
  <c r="H132" i="1"/>
  <c r="H121" i="1"/>
  <c r="H102" i="1"/>
  <c r="H134" i="1"/>
  <c r="H107" i="1"/>
  <c r="H139" i="1"/>
  <c r="H120" i="1"/>
  <c r="I197" i="6"/>
  <c r="O196" i="6"/>
  <c r="K101" i="1" s="1"/>
  <c r="H133" i="1"/>
  <c r="H114" i="1"/>
  <c r="H146" i="1"/>
  <c r="H108" i="1"/>
  <c r="H153" i="1"/>
  <c r="H110" i="1"/>
  <c r="H142" i="1"/>
  <c r="H115" i="1"/>
  <c r="H147" i="1"/>
  <c r="H128" i="1"/>
  <c r="C249" i="6"/>
  <c r="C154" i="1" s="1"/>
  <c r="F249" i="6"/>
  <c r="G154" i="1" s="1"/>
  <c r="D249" i="6"/>
  <c r="D154" i="1" s="1"/>
  <c r="E249" i="6"/>
  <c r="E154" i="1" s="1"/>
  <c r="H109" i="1"/>
  <c r="H141" i="1"/>
  <c r="H122" i="1"/>
  <c r="J197" i="6"/>
  <c r="P196" i="6"/>
  <c r="L101" i="1" s="1"/>
  <c r="H127" i="1"/>
  <c r="H140" i="1"/>
  <c r="H129" i="1"/>
  <c r="H103" i="1"/>
  <c r="H135" i="1"/>
  <c r="H116" i="1"/>
  <c r="H148" i="1"/>
  <c r="H105" i="1"/>
  <c r="H137" i="1"/>
  <c r="H118" i="1"/>
  <c r="H150" i="1"/>
  <c r="H123" i="1"/>
  <c r="H104" i="1"/>
  <c r="H136" i="1"/>
  <c r="G250" i="6"/>
  <c r="L250" i="6"/>
  <c r="M250" i="6" s="1"/>
  <c r="I155" i="1" s="1"/>
  <c r="A155" i="1"/>
  <c r="B155" i="1"/>
  <c r="A251" i="6"/>
  <c r="B250" i="6"/>
  <c r="H117" i="1"/>
  <c r="H149" i="1"/>
  <c r="H130" i="1"/>
  <c r="H111" i="1"/>
  <c r="H143" i="1"/>
  <c r="H124" i="1"/>
  <c r="H113" i="1"/>
  <c r="H145" i="1"/>
  <c r="H126" i="1"/>
  <c r="H131" i="1"/>
  <c r="H112" i="1"/>
  <c r="H144" i="1"/>
  <c r="H101" i="1"/>
  <c r="H125" i="1"/>
  <c r="H106" i="1"/>
  <c r="H138" i="1"/>
  <c r="F154" i="1" l="1"/>
  <c r="N245" i="6"/>
  <c r="J150" i="1" s="1"/>
  <c r="H246" i="6"/>
  <c r="J198" i="6"/>
  <c r="P197" i="6"/>
  <c r="L102" i="1" s="1"/>
  <c r="H154" i="1"/>
  <c r="C250" i="6"/>
  <c r="C155" i="1" s="1"/>
  <c r="F250" i="6"/>
  <c r="G155" i="1" s="1"/>
  <c r="D250" i="6"/>
  <c r="D155" i="1" s="1"/>
  <c r="E250" i="6"/>
  <c r="E155" i="1" s="1"/>
  <c r="M101" i="1"/>
  <c r="O101" i="1" s="1"/>
  <c r="P101" i="1" s="1"/>
  <c r="G251" i="6"/>
  <c r="L251" i="6"/>
  <c r="M251" i="6" s="1"/>
  <c r="I156" i="1" s="1"/>
  <c r="A156" i="1"/>
  <c r="A252" i="6"/>
  <c r="B156" i="1"/>
  <c r="B251" i="6"/>
  <c r="I198" i="6"/>
  <c r="O197" i="6"/>
  <c r="K102" i="1" s="1"/>
  <c r="M102" i="1" s="1"/>
  <c r="K198" i="6"/>
  <c r="Q197" i="6"/>
  <c r="N102" i="1" s="1"/>
  <c r="F155" i="1" l="1"/>
  <c r="N246" i="6"/>
  <c r="J151" i="1" s="1"/>
  <c r="H247" i="6"/>
  <c r="O102" i="1"/>
  <c r="Q102" i="1" s="1"/>
  <c r="H155" i="1"/>
  <c r="K199" i="6"/>
  <c r="Q198" i="6"/>
  <c r="N103" i="1" s="1"/>
  <c r="P102" i="1"/>
  <c r="I199" i="6"/>
  <c r="O198" i="6"/>
  <c r="K103" i="1" s="1"/>
  <c r="G252" i="6"/>
  <c r="L252" i="6"/>
  <c r="M252" i="6" s="1"/>
  <c r="I157" i="1" s="1"/>
  <c r="A157" i="1"/>
  <c r="A253" i="6"/>
  <c r="B157" i="1"/>
  <c r="B252" i="6"/>
  <c r="J199" i="6"/>
  <c r="P198" i="6"/>
  <c r="L103" i="1" s="1"/>
  <c r="C251" i="6"/>
  <c r="C156" i="1" s="1"/>
  <c r="D251" i="6"/>
  <c r="D156" i="1" s="1"/>
  <c r="F251" i="6"/>
  <c r="G156" i="1" s="1"/>
  <c r="E251" i="6"/>
  <c r="E156" i="1" s="1"/>
  <c r="F156" i="1" l="1"/>
  <c r="N247" i="6"/>
  <c r="J152" i="1" s="1"/>
  <c r="H248" i="6"/>
  <c r="H156" i="1"/>
  <c r="C252" i="6"/>
  <c r="C157" i="1" s="1"/>
  <c r="F252" i="6"/>
  <c r="G157" i="1" s="1"/>
  <c r="D252" i="6"/>
  <c r="D157" i="1" s="1"/>
  <c r="E252" i="6"/>
  <c r="E157" i="1" s="1"/>
  <c r="J200" i="6"/>
  <c r="P199" i="6"/>
  <c r="L104" i="1" s="1"/>
  <c r="G253" i="6"/>
  <c r="L253" i="6"/>
  <c r="M253" i="6" s="1"/>
  <c r="I158" i="1" s="1"/>
  <c r="A158" i="1"/>
  <c r="B158" i="1"/>
  <c r="A254" i="6"/>
  <c r="B253" i="6"/>
  <c r="M103" i="1"/>
  <c r="O103" i="1" s="1"/>
  <c r="I200" i="6"/>
  <c r="O199" i="6"/>
  <c r="K104" i="1" s="1"/>
  <c r="K200" i="6"/>
  <c r="Q199" i="6"/>
  <c r="N104" i="1" s="1"/>
  <c r="M104" i="1" l="1"/>
  <c r="H249" i="6"/>
  <c r="N248" i="6"/>
  <c r="J153" i="1" s="1"/>
  <c r="O104" i="1"/>
  <c r="K201" i="6"/>
  <c r="Q200" i="6"/>
  <c r="N105" i="1" s="1"/>
  <c r="C253" i="6"/>
  <c r="C158" i="1" s="1"/>
  <c r="D253" i="6"/>
  <c r="D158" i="1" s="1"/>
  <c r="F253" i="6"/>
  <c r="G158" i="1" s="1"/>
  <c r="E253" i="6"/>
  <c r="E158" i="1" s="1"/>
  <c r="G254" i="6"/>
  <c r="L254" i="6"/>
  <c r="M254" i="6" s="1"/>
  <c r="I159" i="1" s="1"/>
  <c r="A159" i="1"/>
  <c r="B159" i="1"/>
  <c r="A255" i="6"/>
  <c r="B254" i="6"/>
  <c r="F157" i="1"/>
  <c r="I201" i="6"/>
  <c r="O200" i="6"/>
  <c r="K105" i="1" s="1"/>
  <c r="Q103" i="1"/>
  <c r="P103" i="1"/>
  <c r="P104" i="1" s="1"/>
  <c r="J201" i="6"/>
  <c r="P200" i="6"/>
  <c r="L105" i="1" s="1"/>
  <c r="F158" i="1" l="1"/>
  <c r="N249" i="6"/>
  <c r="J154" i="1" s="1"/>
  <c r="H250" i="6"/>
  <c r="C254" i="6"/>
  <c r="C159" i="1" s="1"/>
  <c r="D254" i="6"/>
  <c r="D159" i="1" s="1"/>
  <c r="F254" i="6"/>
  <c r="G159" i="1" s="1"/>
  <c r="E254" i="6"/>
  <c r="E159" i="1" s="1"/>
  <c r="I202" i="6"/>
  <c r="O201" i="6"/>
  <c r="K106" i="1" s="1"/>
  <c r="Q104" i="1"/>
  <c r="G255" i="6"/>
  <c r="L255" i="6"/>
  <c r="M255" i="6" s="1"/>
  <c r="I160" i="1" s="1"/>
  <c r="A160" i="1"/>
  <c r="B160" i="1"/>
  <c r="B255" i="6"/>
  <c r="J202" i="6"/>
  <c r="P201" i="6"/>
  <c r="L106" i="1" s="1"/>
  <c r="M105" i="1"/>
  <c r="O105" i="1" s="1"/>
  <c r="H157" i="1"/>
  <c r="H158" i="1"/>
  <c r="K202" i="6"/>
  <c r="Q201" i="6"/>
  <c r="N106" i="1" s="1"/>
  <c r="H251" i="6" l="1"/>
  <c r="N250" i="6"/>
  <c r="J155" i="1" s="1"/>
  <c r="K203" i="6"/>
  <c r="Q202" i="6"/>
  <c r="N107" i="1" s="1"/>
  <c r="J203" i="6"/>
  <c r="P202" i="6"/>
  <c r="L107" i="1" s="1"/>
  <c r="M106" i="1"/>
  <c r="O106" i="1" s="1"/>
  <c r="Q105" i="1"/>
  <c r="P105" i="1"/>
  <c r="I203" i="6"/>
  <c r="O202" i="6"/>
  <c r="K107" i="1" s="1"/>
  <c r="C255" i="6"/>
  <c r="C160" i="1" s="1"/>
  <c r="F255" i="6"/>
  <c r="G160" i="1" s="1"/>
  <c r="D255" i="6"/>
  <c r="D160" i="1" s="1"/>
  <c r="E255" i="6"/>
  <c r="E160" i="1" s="1"/>
  <c r="F159" i="1"/>
  <c r="M107" i="1" l="1"/>
  <c r="O107" i="1" s="1"/>
  <c r="P107" i="1" s="1"/>
  <c r="F160" i="1"/>
  <c r="H252" i="6"/>
  <c r="N251" i="6"/>
  <c r="J156" i="1" s="1"/>
  <c r="P106" i="1"/>
  <c r="Q106" i="1"/>
  <c r="J204" i="6"/>
  <c r="P203" i="6"/>
  <c r="L108" i="1" s="1"/>
  <c r="H160" i="1"/>
  <c r="I204" i="6"/>
  <c r="O203" i="6"/>
  <c r="K108" i="1" s="1"/>
  <c r="M108" i="1" s="1"/>
  <c r="K204" i="6"/>
  <c r="Q203" i="6"/>
  <c r="N108" i="1" s="1"/>
  <c r="H159" i="1"/>
  <c r="Q107" i="1" l="1"/>
  <c r="O108" i="1"/>
  <c r="Q108" i="1" s="1"/>
  <c r="N252" i="6"/>
  <c r="J157" i="1" s="1"/>
  <c r="H253" i="6"/>
  <c r="K205" i="6"/>
  <c r="Q204" i="6"/>
  <c r="N109" i="1" s="1"/>
  <c r="J205" i="6"/>
  <c r="P204" i="6"/>
  <c r="L109" i="1" s="1"/>
  <c r="I205" i="6"/>
  <c r="O204" i="6"/>
  <c r="K109" i="1" s="1"/>
  <c r="P108" i="1" l="1"/>
  <c r="M109" i="1"/>
  <c r="O109" i="1" s="1"/>
  <c r="Q109" i="1" s="1"/>
  <c r="H254" i="6"/>
  <c r="N253" i="6"/>
  <c r="J158" i="1" s="1"/>
  <c r="I206" i="6"/>
  <c r="O205" i="6"/>
  <c r="K110" i="1" s="1"/>
  <c r="J206" i="6"/>
  <c r="P205" i="6"/>
  <c r="L110" i="1" s="1"/>
  <c r="K206" i="6"/>
  <c r="Q205" i="6"/>
  <c r="N110" i="1" s="1"/>
  <c r="P109" i="1" l="1"/>
  <c r="H255" i="6"/>
  <c r="N255" i="6" s="1"/>
  <c r="J160" i="1" s="1"/>
  <c r="N254" i="6"/>
  <c r="J159" i="1" s="1"/>
  <c r="K207" i="6"/>
  <c r="Q206" i="6"/>
  <c r="N111" i="1" s="1"/>
  <c r="M110" i="1"/>
  <c r="O110" i="1" s="1"/>
  <c r="I207" i="6"/>
  <c r="O206" i="6"/>
  <c r="K111" i="1" s="1"/>
  <c r="J207" i="6"/>
  <c r="P206" i="6"/>
  <c r="L111" i="1" s="1"/>
  <c r="M111" i="1" l="1"/>
  <c r="O111" i="1" s="1"/>
  <c r="I208" i="6"/>
  <c r="O207" i="6"/>
  <c r="K112" i="1" s="1"/>
  <c r="P110" i="1"/>
  <c r="Q110" i="1"/>
  <c r="J208" i="6"/>
  <c r="P207" i="6"/>
  <c r="L112" i="1" s="1"/>
  <c r="K208" i="6"/>
  <c r="Q207" i="6"/>
  <c r="N112" i="1" s="1"/>
  <c r="P111" i="1" l="1"/>
  <c r="Q111" i="1"/>
  <c r="M112" i="1"/>
  <c r="O112" i="1" s="1"/>
  <c r="K209" i="6"/>
  <c r="Q208" i="6"/>
  <c r="N113" i="1" s="1"/>
  <c r="J209" i="6"/>
  <c r="P208" i="6"/>
  <c r="L113" i="1" s="1"/>
  <c r="I209" i="6"/>
  <c r="O208" i="6"/>
  <c r="K113" i="1" s="1"/>
  <c r="M113" i="1" l="1"/>
  <c r="O113" i="1" s="1"/>
  <c r="J210" i="6"/>
  <c r="P209" i="6"/>
  <c r="L114" i="1" s="1"/>
  <c r="I210" i="6"/>
  <c r="O209" i="6"/>
  <c r="K114" i="1" s="1"/>
  <c r="M114" i="1" s="1"/>
  <c r="K210" i="6"/>
  <c r="Q209" i="6"/>
  <c r="N114" i="1" s="1"/>
  <c r="P112" i="1"/>
  <c r="Q112" i="1"/>
  <c r="Q113" i="1" l="1"/>
  <c r="O114" i="1"/>
  <c r="Q114" i="1" s="1"/>
  <c r="P113" i="1"/>
  <c r="K211" i="6"/>
  <c r="Q210" i="6"/>
  <c r="N115" i="1" s="1"/>
  <c r="P114" i="1"/>
  <c r="I211" i="6"/>
  <c r="O210" i="6"/>
  <c r="K115" i="1" s="1"/>
  <c r="J211" i="6"/>
  <c r="P210" i="6"/>
  <c r="L115" i="1" s="1"/>
  <c r="M115" i="1" l="1"/>
  <c r="O115" i="1" s="1"/>
  <c r="P115" i="1" s="1"/>
  <c r="J212" i="6"/>
  <c r="P211" i="6"/>
  <c r="L116" i="1" s="1"/>
  <c r="I212" i="6"/>
  <c r="O211" i="6"/>
  <c r="K116" i="1" s="1"/>
  <c r="M116" i="1" s="1"/>
  <c r="K212" i="6"/>
  <c r="Q211" i="6"/>
  <c r="N116" i="1" s="1"/>
  <c r="Q115" i="1" l="1"/>
  <c r="O116" i="1"/>
  <c r="P116" i="1" s="1"/>
  <c r="K213" i="6"/>
  <c r="Q212" i="6"/>
  <c r="N117" i="1" s="1"/>
  <c r="I213" i="6"/>
  <c r="O212" i="6"/>
  <c r="K117" i="1" s="1"/>
  <c r="J213" i="6"/>
  <c r="P212" i="6"/>
  <c r="L117" i="1" s="1"/>
  <c r="Q116" i="1" l="1"/>
  <c r="M117" i="1"/>
  <c r="O117" i="1" s="1"/>
  <c r="J214" i="6"/>
  <c r="P213" i="6"/>
  <c r="L118" i="1" s="1"/>
  <c r="I214" i="6"/>
  <c r="O213" i="6"/>
  <c r="K118" i="1" s="1"/>
  <c r="M118" i="1" s="1"/>
  <c r="K214" i="6"/>
  <c r="Q213" i="6"/>
  <c r="N118" i="1" s="1"/>
  <c r="I215" i="6" l="1"/>
  <c r="O214" i="6"/>
  <c r="K119" i="1" s="1"/>
  <c r="K215" i="6"/>
  <c r="Q214" i="6"/>
  <c r="N119" i="1" s="1"/>
  <c r="J215" i="6"/>
  <c r="P214" i="6"/>
  <c r="L119" i="1" s="1"/>
  <c r="O118" i="1"/>
  <c r="P117" i="1"/>
  <c r="Q117" i="1"/>
  <c r="Q118" i="1" l="1"/>
  <c r="P118" i="1"/>
  <c r="K216" i="6"/>
  <c r="Q215" i="6"/>
  <c r="N120" i="1" s="1"/>
  <c r="M119" i="1"/>
  <c r="O119" i="1" s="1"/>
  <c r="J216" i="6"/>
  <c r="P215" i="6"/>
  <c r="L120" i="1" s="1"/>
  <c r="I216" i="6"/>
  <c r="O215" i="6"/>
  <c r="K120" i="1" s="1"/>
  <c r="M120" i="1" s="1"/>
  <c r="O120" i="1" s="1"/>
  <c r="I217" i="6" l="1"/>
  <c r="O216" i="6"/>
  <c r="K121" i="1" s="1"/>
  <c r="K217" i="6"/>
  <c r="Q216" i="6"/>
  <c r="N121" i="1" s="1"/>
  <c r="J217" i="6"/>
  <c r="P216" i="6"/>
  <c r="L121" i="1" s="1"/>
  <c r="P119" i="1"/>
  <c r="P120" i="1" s="1"/>
  <c r="Q119" i="1"/>
  <c r="Q120" i="1" l="1"/>
  <c r="K218" i="6"/>
  <c r="Q217" i="6"/>
  <c r="N122" i="1" s="1"/>
  <c r="M121" i="1"/>
  <c r="O121" i="1" s="1"/>
  <c r="J218" i="6"/>
  <c r="P217" i="6"/>
  <c r="L122" i="1" s="1"/>
  <c r="I218" i="6"/>
  <c r="O217" i="6"/>
  <c r="K122" i="1" s="1"/>
  <c r="M122" i="1" l="1"/>
  <c r="O122" i="1" s="1"/>
  <c r="J219" i="6"/>
  <c r="P218" i="6"/>
  <c r="L123" i="1" s="1"/>
  <c r="P121" i="1"/>
  <c r="Q121" i="1"/>
  <c r="I219" i="6"/>
  <c r="O218" i="6"/>
  <c r="K123" i="1" s="1"/>
  <c r="M123" i="1" s="1"/>
  <c r="K219" i="6"/>
  <c r="Q218" i="6"/>
  <c r="N123" i="1" s="1"/>
  <c r="Q122" i="1" l="1"/>
  <c r="O123" i="1"/>
  <c r="P122" i="1"/>
  <c r="P123" i="1" s="1"/>
  <c r="I220" i="6"/>
  <c r="O219" i="6"/>
  <c r="K124" i="1" s="1"/>
  <c r="K220" i="6"/>
  <c r="Q219" i="6"/>
  <c r="N124" i="1" s="1"/>
  <c r="J220" i="6"/>
  <c r="P219" i="6"/>
  <c r="L124" i="1" s="1"/>
  <c r="J221" i="6" l="1"/>
  <c r="P220" i="6"/>
  <c r="L125" i="1" s="1"/>
  <c r="I221" i="6"/>
  <c r="O220" i="6"/>
  <c r="K125" i="1" s="1"/>
  <c r="K221" i="6"/>
  <c r="Q220" i="6"/>
  <c r="N125" i="1" s="1"/>
  <c r="Q123" i="1"/>
  <c r="M124" i="1"/>
  <c r="O124" i="1" s="1"/>
  <c r="M125" i="1" l="1"/>
  <c r="O125" i="1" s="1"/>
  <c r="P124" i="1"/>
  <c r="P125" i="1" s="1"/>
  <c r="Q124" i="1"/>
  <c r="I222" i="6"/>
  <c r="O221" i="6"/>
  <c r="K126" i="1" s="1"/>
  <c r="K222" i="6"/>
  <c r="Q221" i="6"/>
  <c r="N126" i="1" s="1"/>
  <c r="J222" i="6"/>
  <c r="P221" i="6"/>
  <c r="L126" i="1" s="1"/>
  <c r="M126" i="1" l="1"/>
  <c r="O126" i="1"/>
  <c r="Q125" i="1"/>
  <c r="K223" i="6"/>
  <c r="Q222" i="6"/>
  <c r="N127" i="1" s="1"/>
  <c r="J223" i="6"/>
  <c r="P222" i="6"/>
  <c r="L127" i="1" s="1"/>
  <c r="I223" i="6"/>
  <c r="O222" i="6"/>
  <c r="K127" i="1" s="1"/>
  <c r="M127" i="1" s="1"/>
  <c r="O127" i="1" s="1"/>
  <c r="K224" i="6" l="1"/>
  <c r="Q223" i="6"/>
  <c r="N128" i="1" s="1"/>
  <c r="I224" i="6"/>
  <c r="O223" i="6"/>
  <c r="K128" i="1" s="1"/>
  <c r="J224" i="6"/>
  <c r="P223" i="6"/>
  <c r="L128" i="1" s="1"/>
  <c r="Q126" i="1"/>
  <c r="P126" i="1"/>
  <c r="P127" i="1" s="1"/>
  <c r="J225" i="6" l="1"/>
  <c r="P224" i="6"/>
  <c r="L129" i="1" s="1"/>
  <c r="K225" i="6"/>
  <c r="Q224" i="6"/>
  <c r="N129" i="1" s="1"/>
  <c r="M128" i="1"/>
  <c r="O128" i="1" s="1"/>
  <c r="Q127" i="1"/>
  <c r="I225" i="6"/>
  <c r="O224" i="6"/>
  <c r="K129" i="1" s="1"/>
  <c r="M129" i="1" l="1"/>
  <c r="O129" i="1" s="1"/>
  <c r="I226" i="6"/>
  <c r="O225" i="6"/>
  <c r="K130" i="1" s="1"/>
  <c r="K226" i="6"/>
  <c r="Q225" i="6"/>
  <c r="N130" i="1" s="1"/>
  <c r="P128" i="1"/>
  <c r="P129" i="1" s="1"/>
  <c r="Q128" i="1"/>
  <c r="J226" i="6"/>
  <c r="P225" i="6"/>
  <c r="L130" i="1" s="1"/>
  <c r="M130" i="1" l="1"/>
  <c r="O130" i="1" s="1"/>
  <c r="P130" i="1" s="1"/>
  <c r="I227" i="6"/>
  <c r="O226" i="6"/>
  <c r="K131" i="1" s="1"/>
  <c r="M131" i="1" s="1"/>
  <c r="Q129" i="1"/>
  <c r="J227" i="6"/>
  <c r="P226" i="6"/>
  <c r="L131" i="1" s="1"/>
  <c r="K227" i="6"/>
  <c r="Q226" i="6"/>
  <c r="N131" i="1" s="1"/>
  <c r="Q130" i="1" l="1"/>
  <c r="O131" i="1"/>
  <c r="K228" i="6"/>
  <c r="Q227" i="6"/>
  <c r="N132" i="1" s="1"/>
  <c r="I228" i="6"/>
  <c r="O227" i="6"/>
  <c r="K132" i="1" s="1"/>
  <c r="J228" i="6"/>
  <c r="P227" i="6"/>
  <c r="L132" i="1" s="1"/>
  <c r="I229" i="6" l="1"/>
  <c r="O228" i="6"/>
  <c r="K133" i="1" s="1"/>
  <c r="J229" i="6"/>
  <c r="P228" i="6"/>
  <c r="L133" i="1" s="1"/>
  <c r="K229" i="6"/>
  <c r="Q228" i="6"/>
  <c r="N133" i="1" s="1"/>
  <c r="M132" i="1"/>
  <c r="O132" i="1" s="1"/>
  <c r="P131" i="1"/>
  <c r="Q131" i="1"/>
  <c r="P132" i="1" l="1"/>
  <c r="Q132" i="1"/>
  <c r="J230" i="6"/>
  <c r="P229" i="6"/>
  <c r="L134" i="1" s="1"/>
  <c r="M133" i="1"/>
  <c r="O133" i="1" s="1"/>
  <c r="K230" i="6"/>
  <c r="Q229" i="6"/>
  <c r="N134" i="1" s="1"/>
  <c r="I230" i="6"/>
  <c r="O229" i="6"/>
  <c r="K134" i="1" s="1"/>
  <c r="M134" i="1" s="1"/>
  <c r="O134" i="1" s="1"/>
  <c r="I231" i="6" l="1"/>
  <c r="O230" i="6"/>
  <c r="K135" i="1" s="1"/>
  <c r="J231" i="6"/>
  <c r="P230" i="6"/>
  <c r="L135" i="1" s="1"/>
  <c r="K231" i="6"/>
  <c r="Q230" i="6"/>
  <c r="N135" i="1" s="1"/>
  <c r="P133" i="1"/>
  <c r="Q133" i="1"/>
  <c r="Q134" i="1" l="1"/>
  <c r="P134" i="1"/>
  <c r="J232" i="6"/>
  <c r="P231" i="6"/>
  <c r="L136" i="1" s="1"/>
  <c r="M135" i="1"/>
  <c r="O135" i="1" s="1"/>
  <c r="K232" i="6"/>
  <c r="Q231" i="6"/>
  <c r="N136" i="1" s="1"/>
  <c r="I232" i="6"/>
  <c r="O231" i="6"/>
  <c r="K136" i="1" s="1"/>
  <c r="M136" i="1" s="1"/>
  <c r="O136" i="1" l="1"/>
  <c r="K233" i="6"/>
  <c r="Q232" i="6"/>
  <c r="N137" i="1" s="1"/>
  <c r="P135" i="1"/>
  <c r="Q135" i="1"/>
  <c r="I233" i="6"/>
  <c r="O232" i="6"/>
  <c r="K137" i="1" s="1"/>
  <c r="J233" i="6"/>
  <c r="P232" i="6"/>
  <c r="L137" i="1" s="1"/>
  <c r="Q136" i="1" l="1"/>
  <c r="M137" i="1"/>
  <c r="O137" i="1" s="1"/>
  <c r="P137" i="1" s="1"/>
  <c r="P136" i="1"/>
  <c r="J234" i="6"/>
  <c r="P233" i="6"/>
  <c r="L138" i="1" s="1"/>
  <c r="I234" i="6"/>
  <c r="O233" i="6"/>
  <c r="K138" i="1" s="1"/>
  <c r="K234" i="6"/>
  <c r="Q233" i="6"/>
  <c r="N138" i="1" s="1"/>
  <c r="M138" i="1" l="1"/>
  <c r="O138" i="1" s="1"/>
  <c r="Q137" i="1"/>
  <c r="K235" i="6"/>
  <c r="Q234" i="6"/>
  <c r="N139" i="1" s="1"/>
  <c r="J235" i="6"/>
  <c r="P234" i="6"/>
  <c r="L139" i="1" s="1"/>
  <c r="I235" i="6"/>
  <c r="O234" i="6"/>
  <c r="K139" i="1" s="1"/>
  <c r="Q138" i="1" l="1"/>
  <c r="M139" i="1"/>
  <c r="O139" i="1" s="1"/>
  <c r="P138" i="1"/>
  <c r="P139" i="1" s="1"/>
  <c r="I236" i="6"/>
  <c r="O235" i="6"/>
  <c r="K140" i="1" s="1"/>
  <c r="J236" i="6"/>
  <c r="P235" i="6"/>
  <c r="L140" i="1" s="1"/>
  <c r="K236" i="6"/>
  <c r="Q235" i="6"/>
  <c r="N140" i="1" s="1"/>
  <c r="Q139" i="1" l="1"/>
  <c r="K237" i="6"/>
  <c r="Q236" i="6"/>
  <c r="N141" i="1" s="1"/>
  <c r="J237" i="6"/>
  <c r="P236" i="6"/>
  <c r="L141" i="1" s="1"/>
  <c r="M140" i="1"/>
  <c r="O140" i="1" s="1"/>
  <c r="I237" i="6"/>
  <c r="O236" i="6"/>
  <c r="K141" i="1" s="1"/>
  <c r="M141" i="1" s="1"/>
  <c r="O141" i="1" s="1"/>
  <c r="J238" i="6" l="1"/>
  <c r="P237" i="6"/>
  <c r="L142" i="1" s="1"/>
  <c r="I238" i="6"/>
  <c r="O237" i="6"/>
  <c r="K142" i="1" s="1"/>
  <c r="P140" i="1"/>
  <c r="P141" i="1" s="1"/>
  <c r="Q140" i="1"/>
  <c r="K238" i="6"/>
  <c r="Q237" i="6"/>
  <c r="N142" i="1" s="1"/>
  <c r="M142" i="1" l="1"/>
  <c r="O142" i="1" s="1"/>
  <c r="J239" i="6"/>
  <c r="P238" i="6"/>
  <c r="L143" i="1" s="1"/>
  <c r="Q141" i="1"/>
  <c r="K239" i="6"/>
  <c r="Q238" i="6"/>
  <c r="N143" i="1" s="1"/>
  <c r="I239" i="6"/>
  <c r="O238" i="6"/>
  <c r="K143" i="1" s="1"/>
  <c r="M143" i="1" l="1"/>
  <c r="O143" i="1" s="1"/>
  <c r="I240" i="6"/>
  <c r="O239" i="6"/>
  <c r="K144" i="1" s="1"/>
  <c r="Q142" i="1"/>
  <c r="P142" i="1"/>
  <c r="P143" i="1" s="1"/>
  <c r="K240" i="6"/>
  <c r="Q239" i="6"/>
  <c r="N144" i="1" s="1"/>
  <c r="J240" i="6"/>
  <c r="P239" i="6"/>
  <c r="L144" i="1" s="1"/>
  <c r="M144" i="1" l="1"/>
  <c r="O144" i="1"/>
  <c r="P144" i="1" s="1"/>
  <c r="K241" i="6"/>
  <c r="Q240" i="6"/>
  <c r="N145" i="1" s="1"/>
  <c r="I241" i="6"/>
  <c r="O240" i="6"/>
  <c r="K145" i="1" s="1"/>
  <c r="Q143" i="1"/>
  <c r="J241" i="6"/>
  <c r="P240" i="6"/>
  <c r="L145" i="1" s="1"/>
  <c r="M145" i="1" l="1"/>
  <c r="O145" i="1" s="1"/>
  <c r="Q144" i="1"/>
  <c r="J242" i="6"/>
  <c r="P241" i="6"/>
  <c r="L146" i="1" s="1"/>
  <c r="K242" i="6"/>
  <c r="Q241" i="6"/>
  <c r="N146" i="1" s="1"/>
  <c r="I242" i="6"/>
  <c r="O241" i="6"/>
  <c r="K146" i="1" s="1"/>
  <c r="P145" i="1" l="1"/>
  <c r="Q145" i="1"/>
  <c r="M146" i="1"/>
  <c r="O146" i="1" s="1"/>
  <c r="Q146" i="1" s="1"/>
  <c r="I243" i="6"/>
  <c r="O242" i="6"/>
  <c r="K147" i="1" s="1"/>
  <c r="K243" i="6"/>
  <c r="Q242" i="6"/>
  <c r="N147" i="1" s="1"/>
  <c r="J243" i="6"/>
  <c r="P242" i="6"/>
  <c r="L147" i="1" s="1"/>
  <c r="P146" i="1" l="1"/>
  <c r="J244" i="6"/>
  <c r="P243" i="6"/>
  <c r="L148" i="1" s="1"/>
  <c r="K244" i="6"/>
  <c r="Q243" i="6"/>
  <c r="N148" i="1" s="1"/>
  <c r="M147" i="1"/>
  <c r="O147" i="1" s="1"/>
  <c r="I244" i="6"/>
  <c r="O243" i="6"/>
  <c r="K148" i="1" s="1"/>
  <c r="M148" i="1" l="1"/>
  <c r="O148" i="1" s="1"/>
  <c r="K245" i="6"/>
  <c r="Q244" i="6"/>
  <c r="N149" i="1" s="1"/>
  <c r="I245" i="6"/>
  <c r="O244" i="6"/>
  <c r="K149" i="1" s="1"/>
  <c r="P147" i="1"/>
  <c r="Q147" i="1"/>
  <c r="J245" i="6"/>
  <c r="P244" i="6"/>
  <c r="L149" i="1" s="1"/>
  <c r="P148" i="1" l="1"/>
  <c r="K246" i="6"/>
  <c r="Q245" i="6"/>
  <c r="N150" i="1" s="1"/>
  <c r="M149" i="1"/>
  <c r="O149" i="1" s="1"/>
  <c r="Q148" i="1"/>
  <c r="J246" i="6"/>
  <c r="P245" i="6"/>
  <c r="L150" i="1" s="1"/>
  <c r="I246" i="6"/>
  <c r="O245" i="6"/>
  <c r="K150" i="1" s="1"/>
  <c r="M150" i="1" l="1"/>
  <c r="O150" i="1" s="1"/>
  <c r="P149" i="1"/>
  <c r="Q149" i="1"/>
  <c r="I247" i="6"/>
  <c r="O246" i="6"/>
  <c r="K151" i="1" s="1"/>
  <c r="J247" i="6"/>
  <c r="P246" i="6"/>
  <c r="L151" i="1" s="1"/>
  <c r="K247" i="6"/>
  <c r="Q246" i="6"/>
  <c r="N151" i="1" s="1"/>
  <c r="K248" i="6" l="1"/>
  <c r="Q247" i="6"/>
  <c r="N152" i="1" s="1"/>
  <c r="I248" i="6"/>
  <c r="O247" i="6"/>
  <c r="K152" i="1" s="1"/>
  <c r="J248" i="6"/>
  <c r="P247" i="6"/>
  <c r="L152" i="1" s="1"/>
  <c r="M151" i="1"/>
  <c r="O151" i="1" s="1"/>
  <c r="Q150" i="1"/>
  <c r="P150" i="1"/>
  <c r="M152" i="1" l="1"/>
  <c r="O152" i="1" s="1"/>
  <c r="P151" i="1"/>
  <c r="Q151" i="1"/>
  <c r="I249" i="6"/>
  <c r="O248" i="6"/>
  <c r="K153" i="1" s="1"/>
  <c r="J249" i="6"/>
  <c r="P248" i="6"/>
  <c r="L153" i="1" s="1"/>
  <c r="K249" i="6"/>
  <c r="Q248" i="6"/>
  <c r="N153" i="1" s="1"/>
  <c r="P152" i="1" l="1"/>
  <c r="J250" i="6"/>
  <c r="P249" i="6"/>
  <c r="L154" i="1" s="1"/>
  <c r="M153" i="1"/>
  <c r="O153" i="1" s="1"/>
  <c r="Q152" i="1"/>
  <c r="K250" i="6"/>
  <c r="Q249" i="6"/>
  <c r="N154" i="1" s="1"/>
  <c r="I250" i="6"/>
  <c r="O249" i="6"/>
  <c r="K154" i="1" s="1"/>
  <c r="M154" i="1" l="1"/>
  <c r="O154" i="1" s="1"/>
  <c r="P153" i="1"/>
  <c r="Q154" i="1" s="1"/>
  <c r="Q153" i="1"/>
  <c r="I251" i="6"/>
  <c r="O250" i="6"/>
  <c r="K155" i="1" s="1"/>
  <c r="K251" i="6"/>
  <c r="Q250" i="6"/>
  <c r="N155" i="1" s="1"/>
  <c r="J251" i="6"/>
  <c r="P250" i="6"/>
  <c r="L155" i="1" s="1"/>
  <c r="K252" i="6" l="1"/>
  <c r="Q251" i="6"/>
  <c r="N156" i="1" s="1"/>
  <c r="M155" i="1"/>
  <c r="O155" i="1" s="1"/>
  <c r="P154" i="1"/>
  <c r="J252" i="6"/>
  <c r="P251" i="6"/>
  <c r="L156" i="1" s="1"/>
  <c r="I252" i="6"/>
  <c r="O251" i="6"/>
  <c r="K156" i="1" s="1"/>
  <c r="M156" i="1" l="1"/>
  <c r="O156" i="1" s="1"/>
  <c r="I253" i="6"/>
  <c r="O252" i="6"/>
  <c r="K157" i="1" s="1"/>
  <c r="P155" i="1"/>
  <c r="Q155" i="1"/>
  <c r="J253" i="6"/>
  <c r="P252" i="6"/>
  <c r="L157" i="1" s="1"/>
  <c r="K253" i="6"/>
  <c r="Q252" i="6"/>
  <c r="N157" i="1" s="1"/>
  <c r="P156" i="1" l="1"/>
  <c r="M157" i="1"/>
  <c r="O157" i="1" s="1"/>
  <c r="P253" i="6"/>
  <c r="L158" i="1" s="1"/>
  <c r="J254" i="6"/>
  <c r="I254" i="6"/>
  <c r="O253" i="6"/>
  <c r="K158" i="1" s="1"/>
  <c r="M158" i="1" s="1"/>
  <c r="Q156" i="1"/>
  <c r="K254" i="6"/>
  <c r="Q253" i="6"/>
  <c r="N158" i="1" s="1"/>
  <c r="I255" i="6" l="1"/>
  <c r="O255" i="6" s="1"/>
  <c r="K160" i="1" s="1"/>
  <c r="O254" i="6"/>
  <c r="K159" i="1" s="1"/>
  <c r="Q254" i="6"/>
  <c r="N159" i="1" s="1"/>
  <c r="K255" i="6"/>
  <c r="Q255" i="6" s="1"/>
  <c r="N160" i="1" s="1"/>
  <c r="J255" i="6"/>
  <c r="P255" i="6" s="1"/>
  <c r="L160" i="1" s="1"/>
  <c r="P254" i="6"/>
  <c r="L159" i="1" s="1"/>
  <c r="O158" i="1"/>
  <c r="P157" i="1"/>
  <c r="Q157" i="1"/>
  <c r="Q158" i="1" l="1"/>
  <c r="P158" i="1"/>
  <c r="M159" i="1"/>
  <c r="O159" i="1" s="1"/>
  <c r="M160" i="1"/>
  <c r="O160" i="1" s="1"/>
  <c r="P159" i="1" l="1"/>
  <c r="Q159" i="1"/>
  <c r="F40" i="1"/>
  <c r="Q160" i="1" l="1"/>
  <c r="F39" i="1" s="1"/>
  <c r="P160" i="1"/>
  <c r="A181" i="1"/>
  <c r="F41" i="1"/>
  <c r="F42" i="1"/>
  <c r="F11" i="11"/>
  <c r="F38" i="1"/>
  <c r="E14" i="11"/>
  <c r="U152" i="1"/>
  <c r="V152" i="1" s="1"/>
  <c r="U112" i="1"/>
  <c r="V112" i="1" s="1"/>
  <c r="U118" i="1"/>
  <c r="V118" i="1" s="1"/>
  <c r="U140" i="1"/>
  <c r="V140" i="1" s="1"/>
  <c r="U146" i="1"/>
  <c r="V146" i="1" s="1"/>
  <c r="U102" i="1"/>
  <c r="V102" i="1" s="1"/>
  <c r="U137" i="1"/>
  <c r="V137" i="1" s="1"/>
  <c r="U121" i="1"/>
  <c r="V121" i="1" s="1"/>
  <c r="U104" i="1"/>
  <c r="V104" i="1" s="1"/>
  <c r="U129" i="1"/>
  <c r="V129" i="1" s="1"/>
  <c r="U108" i="1"/>
  <c r="V108" i="1" s="1"/>
  <c r="U139" i="1"/>
  <c r="V139" i="1" s="1"/>
  <c r="U138" i="1"/>
  <c r="V138" i="1" s="1"/>
  <c r="U124" i="1"/>
  <c r="V124" i="1" s="1"/>
  <c r="U122" i="1"/>
  <c r="V122" i="1" s="1"/>
  <c r="U111" i="1"/>
  <c r="V111" i="1" s="1"/>
  <c r="U128" i="1"/>
  <c r="V128" i="1" s="1"/>
  <c r="U151" i="1"/>
  <c r="V151" i="1" s="1"/>
  <c r="U131" i="1"/>
  <c r="V131" i="1" s="1"/>
  <c r="U117" i="1"/>
  <c r="V117" i="1" s="1"/>
  <c r="U149" i="1"/>
  <c r="V149" i="1" s="1"/>
  <c r="U145" i="1"/>
  <c r="V145" i="1" s="1"/>
  <c r="U119" i="1"/>
  <c r="V119" i="1" s="1"/>
  <c r="U113" i="1"/>
  <c r="V113" i="1" s="1"/>
  <c r="U105" i="1"/>
  <c r="V105" i="1" s="1"/>
  <c r="U147" i="1"/>
  <c r="V147" i="1" s="1"/>
  <c r="U133" i="1"/>
  <c r="V133" i="1" s="1"/>
  <c r="U132" i="1"/>
  <c r="V132" i="1" s="1"/>
  <c r="U141" i="1"/>
  <c r="V141" i="1" s="1"/>
  <c r="U101" i="1"/>
  <c r="V101" i="1" s="1"/>
  <c r="U150" i="1"/>
  <c r="V150" i="1" s="1"/>
  <c r="U127" i="1"/>
  <c r="V127" i="1" s="1"/>
  <c r="U114" i="1"/>
  <c r="V114" i="1" s="1"/>
  <c r="U134" i="1"/>
  <c r="V134" i="1" s="1"/>
  <c r="U106" i="1"/>
  <c r="V106" i="1" s="1"/>
  <c r="U144" i="1"/>
  <c r="V144" i="1" s="1"/>
  <c r="U109" i="1"/>
  <c r="V109" i="1" s="1"/>
  <c r="U135" i="1"/>
  <c r="V135" i="1" s="1"/>
  <c r="U130" i="1"/>
  <c r="V130" i="1" s="1"/>
  <c r="U116" i="1"/>
  <c r="V116" i="1" s="1"/>
  <c r="U142" i="1"/>
  <c r="V142" i="1" s="1"/>
  <c r="U120" i="1"/>
  <c r="V120" i="1" s="1"/>
  <c r="U115" i="1"/>
  <c r="V115" i="1" s="1"/>
  <c r="U143" i="1"/>
  <c r="V143" i="1" s="1"/>
  <c r="U148" i="1"/>
  <c r="V148" i="1" s="1"/>
  <c r="U126" i="1"/>
  <c r="V126" i="1" s="1"/>
  <c r="U110" i="1"/>
  <c r="V110" i="1" s="1"/>
  <c r="U136" i="1"/>
  <c r="V136" i="1" s="1"/>
  <c r="U103" i="1"/>
  <c r="V103" i="1" s="1"/>
  <c r="U153" i="1"/>
  <c r="V153" i="1" s="1"/>
  <c r="U107" i="1"/>
  <c r="V107" i="1" s="1"/>
  <c r="U125" i="1"/>
  <c r="V125" i="1" s="1"/>
  <c r="U123" i="1"/>
  <c r="V123" i="1" s="1"/>
  <c r="U154" i="1"/>
  <c r="V154" i="1" s="1"/>
  <c r="U155" i="1"/>
  <c r="V155" i="1" s="1"/>
  <c r="U156" i="1"/>
  <c r="V156" i="1" s="1"/>
  <c r="U158" i="1"/>
  <c r="V158" i="1" s="1"/>
  <c r="U157" i="1"/>
  <c r="V157" i="1" s="1"/>
  <c r="U159" i="1"/>
  <c r="V159" i="1" s="1"/>
  <c r="U160" i="1"/>
  <c r="V160" i="1" s="1"/>
  <c r="E13" i="11" l="1"/>
  <c r="S146" i="1"/>
  <c r="S122" i="1"/>
  <c r="S131" i="1"/>
  <c r="S142" i="1"/>
  <c r="S128" i="1"/>
  <c r="S137" i="1"/>
  <c r="S105" i="1"/>
  <c r="S151" i="1"/>
  <c r="S126" i="1"/>
  <c r="S135" i="1"/>
  <c r="S103" i="1"/>
  <c r="S141" i="1"/>
  <c r="S149" i="1"/>
  <c r="S114" i="1"/>
  <c r="S123" i="1"/>
  <c r="S145" i="1"/>
  <c r="S120" i="1"/>
  <c r="S129" i="1"/>
  <c r="S140" i="1"/>
  <c r="S118" i="1"/>
  <c r="S127" i="1"/>
  <c r="S144" i="1"/>
  <c r="S108" i="1"/>
  <c r="S117" i="1"/>
  <c r="S110" i="1"/>
  <c r="S109" i="1"/>
  <c r="S138" i="1"/>
  <c r="S106" i="1"/>
  <c r="S115" i="1"/>
  <c r="S152" i="1"/>
  <c r="S112" i="1"/>
  <c r="S121" i="1"/>
  <c r="S148" i="1"/>
  <c r="S119" i="1"/>
  <c r="S132" i="1"/>
  <c r="S143" i="1"/>
  <c r="S130" i="1"/>
  <c r="S139" i="1"/>
  <c r="S107" i="1"/>
  <c r="S136" i="1"/>
  <c r="S104" i="1"/>
  <c r="S113" i="1"/>
  <c r="S134" i="1"/>
  <c r="S102" i="1"/>
  <c r="S111" i="1"/>
  <c r="S150" i="1"/>
  <c r="S124" i="1"/>
  <c r="S133" i="1"/>
  <c r="S116" i="1"/>
  <c r="S125" i="1"/>
  <c r="S147" i="1"/>
  <c r="S101" i="1"/>
  <c r="S153" i="1"/>
  <c r="S154" i="1"/>
  <c r="S155" i="1"/>
  <c r="S156" i="1"/>
  <c r="S157" i="1"/>
  <c r="S158" i="1"/>
  <c r="S159" i="1"/>
  <c r="S160" i="1"/>
  <c r="E12" i="11"/>
  <c r="R152" i="1"/>
  <c r="R132" i="1"/>
  <c r="R102" i="1"/>
  <c r="R107" i="1"/>
  <c r="R120" i="1"/>
  <c r="R133" i="1"/>
  <c r="R146" i="1"/>
  <c r="R153" i="1"/>
  <c r="R142" i="1"/>
  <c r="R147" i="1"/>
  <c r="R140" i="1"/>
  <c r="R103" i="1"/>
  <c r="R116" i="1"/>
  <c r="R105" i="1"/>
  <c r="R118" i="1"/>
  <c r="R136" i="1"/>
  <c r="R130" i="1"/>
  <c r="R125" i="1"/>
  <c r="R111" i="1"/>
  <c r="R145" i="1"/>
  <c r="R131" i="1"/>
  <c r="R144" i="1"/>
  <c r="R138" i="1"/>
  <c r="R149" i="1"/>
  <c r="R113" i="1"/>
  <c r="R121" i="1"/>
  <c r="R115" i="1"/>
  <c r="R109" i="1"/>
  <c r="R122" i="1"/>
  <c r="R137" i="1"/>
  <c r="R124" i="1"/>
  <c r="R151" i="1"/>
  <c r="R134" i="1"/>
  <c r="R139" i="1"/>
  <c r="R114" i="1"/>
  <c r="R108" i="1"/>
  <c r="R110" i="1"/>
  <c r="R128" i="1"/>
  <c r="R127" i="1"/>
  <c r="R129" i="1"/>
  <c r="R135" i="1"/>
  <c r="R148" i="1"/>
  <c r="R150" i="1"/>
  <c r="R104" i="1"/>
  <c r="R119" i="1"/>
  <c r="R141" i="1"/>
  <c r="R123" i="1"/>
  <c r="R117" i="1"/>
  <c r="R143" i="1"/>
  <c r="R126" i="1"/>
  <c r="R112" i="1"/>
  <c r="R101" i="1"/>
  <c r="R106" i="1"/>
  <c r="R154" i="1"/>
  <c r="R155" i="1"/>
  <c r="R156" i="1"/>
  <c r="R157" i="1"/>
  <c r="R158" i="1"/>
  <c r="R159" i="1"/>
  <c r="R160" i="1"/>
  <c r="F10" i="11"/>
  <c r="B8" i="7"/>
  <c r="A180" i="1"/>
  <c r="B181" i="1"/>
  <c r="A274" i="6"/>
  <c r="B274" i="6" s="1"/>
  <c r="A182" i="1"/>
  <c r="C37" i="11"/>
  <c r="C181" i="1"/>
  <c r="B9" i="7" l="1"/>
  <c r="A9" i="6"/>
  <c r="D37" i="11"/>
  <c r="C274" i="6"/>
  <c r="B182" i="1"/>
  <c r="A275" i="6"/>
  <c r="B275" i="6" s="1"/>
  <c r="A183" i="1"/>
  <c r="C38" i="11"/>
  <c r="C182" i="1"/>
  <c r="A179" i="1"/>
  <c r="B180" i="1"/>
  <c r="C36" i="11"/>
  <c r="A273" i="6"/>
  <c r="B273" i="6" s="1"/>
  <c r="C180" i="1"/>
  <c r="D36" i="11" l="1"/>
  <c r="C273" i="6"/>
  <c r="A184" i="1"/>
  <c r="C39" i="11"/>
  <c r="C183" i="1"/>
  <c r="B183" i="1"/>
  <c r="A276" i="6"/>
  <c r="B276" i="6" s="1"/>
  <c r="A178" i="1"/>
  <c r="B179" i="1"/>
  <c r="C35" i="11"/>
  <c r="C179" i="1"/>
  <c r="A272" i="6"/>
  <c r="B272" i="6" s="1"/>
  <c r="D9" i="6"/>
  <c r="BA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D38" i="11"/>
  <c r="C275" i="6"/>
  <c r="B10" i="7"/>
  <c r="A10" i="6"/>
  <c r="AX10" i="6" l="1"/>
  <c r="AX39" i="6"/>
  <c r="AX69" i="6"/>
  <c r="AX162" i="6"/>
  <c r="AX163" i="6"/>
  <c r="AX133" i="6"/>
  <c r="AX132" i="6"/>
  <c r="AX103" i="6"/>
  <c r="AX102" i="6"/>
  <c r="AT10" i="6"/>
  <c r="AT133" i="6" s="1"/>
  <c r="AT39" i="6"/>
  <c r="AT69" i="6"/>
  <c r="AT162" i="6"/>
  <c r="AT163" i="6"/>
  <c r="AT132" i="6"/>
  <c r="AT102" i="6"/>
  <c r="AP10" i="6"/>
  <c r="AP163" i="6" s="1"/>
  <c r="AP69" i="6"/>
  <c r="AP39" i="6"/>
  <c r="AP162" i="6"/>
  <c r="AP133" i="6"/>
  <c r="AP132" i="6"/>
  <c r="AP102" i="6"/>
  <c r="AL10" i="6"/>
  <c r="AL133" i="6" s="1"/>
  <c r="AL69" i="6"/>
  <c r="AL39" i="6"/>
  <c r="AL132" i="6"/>
  <c r="AL162" i="6"/>
  <c r="AL102" i="6"/>
  <c r="AH10" i="6"/>
  <c r="AH39" i="6"/>
  <c r="AH69" i="6"/>
  <c r="AH163" i="6"/>
  <c r="AH133" i="6"/>
  <c r="AH162" i="6"/>
  <c r="AH132" i="6"/>
  <c r="AH103" i="6"/>
  <c r="AH102" i="6"/>
  <c r="AD10" i="6"/>
  <c r="AD163" i="6" s="1"/>
  <c r="AD69" i="6"/>
  <c r="AD39" i="6"/>
  <c r="AD162" i="6"/>
  <c r="AD132" i="6"/>
  <c r="AD102" i="6"/>
  <c r="Z10" i="6"/>
  <c r="Z133" i="6" s="1"/>
  <c r="Z39" i="6"/>
  <c r="Z69" i="6"/>
  <c r="Z162" i="6"/>
  <c r="Z132" i="6"/>
  <c r="Z102" i="6"/>
  <c r="V10" i="6"/>
  <c r="V39" i="6"/>
  <c r="V69" i="6"/>
  <c r="V163" i="6"/>
  <c r="V162" i="6"/>
  <c r="V132" i="6"/>
  <c r="V102" i="6"/>
  <c r="V103" i="6"/>
  <c r="R10" i="6"/>
  <c r="R39" i="6"/>
  <c r="R69" i="6"/>
  <c r="R163" i="6"/>
  <c r="R133" i="6"/>
  <c r="R162" i="6"/>
  <c r="R132" i="6"/>
  <c r="R103" i="6"/>
  <c r="R102" i="6"/>
  <c r="N10" i="6"/>
  <c r="N103" i="6" s="1"/>
  <c r="N69" i="6"/>
  <c r="N39" i="6"/>
  <c r="N162" i="6"/>
  <c r="N133" i="6"/>
  <c r="N132" i="6"/>
  <c r="N102" i="6"/>
  <c r="J10" i="6"/>
  <c r="J163" i="6" s="1"/>
  <c r="J39" i="6"/>
  <c r="J69" i="6"/>
  <c r="J162" i="6"/>
  <c r="J133" i="6"/>
  <c r="J132" i="6"/>
  <c r="J102" i="6"/>
  <c r="F10" i="6"/>
  <c r="F163" i="6" s="1"/>
  <c r="F39" i="6"/>
  <c r="F69" i="6"/>
  <c r="F162" i="6"/>
  <c r="F132" i="6"/>
  <c r="F102" i="6"/>
  <c r="A177" i="1"/>
  <c r="B178" i="1"/>
  <c r="A271" i="6"/>
  <c r="B271" i="6" s="1"/>
  <c r="C34" i="11"/>
  <c r="C178" i="1"/>
  <c r="AW10" i="6"/>
  <c r="AW103" i="6" s="1"/>
  <c r="AW69" i="6"/>
  <c r="AW39" i="6"/>
  <c r="AW162" i="6"/>
  <c r="AW163" i="6"/>
  <c r="AW132" i="6"/>
  <c r="AW102" i="6"/>
  <c r="AS10" i="6"/>
  <c r="AS39" i="6"/>
  <c r="AS69" i="6"/>
  <c r="AS162" i="6"/>
  <c r="AS132" i="6"/>
  <c r="AS102" i="6"/>
  <c r="AO10" i="6"/>
  <c r="AO133" i="6" s="1"/>
  <c r="AO39" i="6"/>
  <c r="AO69" i="6"/>
  <c r="AO132" i="6"/>
  <c r="AO163" i="6"/>
  <c r="AO162" i="6"/>
  <c r="AO102" i="6"/>
  <c r="AO103" i="6"/>
  <c r="AK10" i="6"/>
  <c r="AK133" i="6" s="1"/>
  <c r="AK69" i="6"/>
  <c r="AK39" i="6"/>
  <c r="AK162" i="6"/>
  <c r="AK163" i="6"/>
  <c r="AK132" i="6"/>
  <c r="AK102" i="6"/>
  <c r="AG10" i="6"/>
  <c r="AG69" i="6"/>
  <c r="AG39" i="6"/>
  <c r="AG132" i="6"/>
  <c r="AG133" i="6"/>
  <c r="AG162" i="6"/>
  <c r="AG102" i="6"/>
  <c r="AC10" i="6"/>
  <c r="AC39" i="6"/>
  <c r="AC69" i="6"/>
  <c r="AC132" i="6"/>
  <c r="AC162" i="6"/>
  <c r="AC102" i="6"/>
  <c r="Y10" i="6"/>
  <c r="Y39" i="6"/>
  <c r="Y69" i="6"/>
  <c r="Y163" i="6"/>
  <c r="Y162" i="6"/>
  <c r="Y132" i="6"/>
  <c r="Y103" i="6"/>
  <c r="Y102" i="6"/>
  <c r="U10" i="6"/>
  <c r="U39" i="6"/>
  <c r="U69" i="6"/>
  <c r="U133" i="6"/>
  <c r="U163" i="6"/>
  <c r="U162" i="6"/>
  <c r="U132" i="6"/>
  <c r="U103" i="6"/>
  <c r="U102" i="6"/>
  <c r="Q10" i="6"/>
  <c r="Q133" i="6" s="1"/>
  <c r="Q69" i="6"/>
  <c r="Q39" i="6"/>
  <c r="Q132" i="6"/>
  <c r="Q162" i="6"/>
  <c r="Q102" i="6"/>
  <c r="M10" i="6"/>
  <c r="M133" i="6" s="1"/>
  <c r="M69" i="6"/>
  <c r="M39" i="6"/>
  <c r="M162" i="6"/>
  <c r="M132" i="6"/>
  <c r="M102" i="6"/>
  <c r="I10" i="6"/>
  <c r="I133" i="6" s="1"/>
  <c r="I69" i="6"/>
  <c r="I39" i="6"/>
  <c r="I132" i="6"/>
  <c r="I162" i="6"/>
  <c r="I102" i="6"/>
  <c r="E10" i="6"/>
  <c r="E133" i="6" s="1"/>
  <c r="E69" i="6"/>
  <c r="E39" i="6"/>
  <c r="E162" i="6"/>
  <c r="E163" i="6"/>
  <c r="E132" i="6"/>
  <c r="E102" i="6"/>
  <c r="A185" i="1"/>
  <c r="C40" i="11"/>
  <c r="B184" i="1"/>
  <c r="A277" i="6"/>
  <c r="B277" i="6" s="1"/>
  <c r="C184" i="1"/>
  <c r="AV10" i="6"/>
  <c r="AV103" i="6" s="1"/>
  <c r="AV39" i="6"/>
  <c r="AV69" i="6"/>
  <c r="AV162" i="6"/>
  <c r="AV163" i="6"/>
  <c r="AV102" i="6"/>
  <c r="AV132" i="6"/>
  <c r="AR10" i="6"/>
  <c r="AR163" i="6" s="1"/>
  <c r="AR39" i="6"/>
  <c r="AR69" i="6"/>
  <c r="AR162" i="6"/>
  <c r="AR132" i="6"/>
  <c r="AR102" i="6"/>
  <c r="AN10" i="6"/>
  <c r="AN163" i="6" s="1"/>
  <c r="AN69" i="6"/>
  <c r="AN39" i="6"/>
  <c r="AN162" i="6"/>
  <c r="AN102" i="6"/>
  <c r="AN132" i="6"/>
  <c r="AJ10" i="6"/>
  <c r="AJ103" i="6" s="1"/>
  <c r="AJ39" i="6"/>
  <c r="AJ69" i="6"/>
  <c r="AJ132" i="6"/>
  <c r="AJ163" i="6"/>
  <c r="AJ162" i="6"/>
  <c r="AJ102" i="6"/>
  <c r="AF10" i="6"/>
  <c r="AF133" i="6" s="1"/>
  <c r="AF69" i="6"/>
  <c r="AF39" i="6"/>
  <c r="AF162" i="6"/>
  <c r="AF132" i="6"/>
  <c r="AF102" i="6"/>
  <c r="AB10" i="6"/>
  <c r="AB133" i="6" s="1"/>
  <c r="AB69" i="6"/>
  <c r="AB39" i="6"/>
  <c r="AB162" i="6"/>
  <c r="AB132" i="6"/>
  <c r="AB102" i="6"/>
  <c r="X10" i="6"/>
  <c r="X163" i="6" s="1"/>
  <c r="X39" i="6"/>
  <c r="X69" i="6"/>
  <c r="X162" i="6"/>
  <c r="X132" i="6"/>
  <c r="X102" i="6"/>
  <c r="T10" i="6"/>
  <c r="T163" i="6" s="1"/>
  <c r="T39" i="6"/>
  <c r="T69" i="6"/>
  <c r="T132" i="6"/>
  <c r="T162" i="6"/>
  <c r="T133" i="6"/>
  <c r="T103" i="6"/>
  <c r="T102" i="6"/>
  <c r="P10" i="6"/>
  <c r="P133" i="6" s="1"/>
  <c r="P39" i="6"/>
  <c r="P69" i="6"/>
  <c r="P132" i="6"/>
  <c r="P162" i="6"/>
  <c r="P102" i="6"/>
  <c r="L10" i="6"/>
  <c r="L133" i="6" s="1"/>
  <c r="L69" i="6"/>
  <c r="L39" i="6"/>
  <c r="L132" i="6"/>
  <c r="L162" i="6"/>
  <c r="L102" i="6"/>
  <c r="H10" i="6"/>
  <c r="H133" i="6" s="1"/>
  <c r="H69" i="6"/>
  <c r="H39" i="6"/>
  <c r="H132" i="6"/>
  <c r="H162" i="6"/>
  <c r="H102" i="6"/>
  <c r="BA10" i="6"/>
  <c r="BA163" i="6" s="1"/>
  <c r="BA69" i="6"/>
  <c r="BA39" i="6"/>
  <c r="BA132" i="6"/>
  <c r="BA162" i="6"/>
  <c r="BA103" i="6"/>
  <c r="BA102" i="6"/>
  <c r="C276" i="6"/>
  <c r="D39" i="11"/>
  <c r="AZ10" i="6"/>
  <c r="AZ69" i="6"/>
  <c r="AZ39" i="6"/>
  <c r="AZ162" i="6"/>
  <c r="AZ163" i="6"/>
  <c r="AZ132" i="6"/>
  <c r="AZ102" i="6"/>
  <c r="A11" i="6"/>
  <c r="B11" i="7"/>
  <c r="AY10" i="6"/>
  <c r="AY69" i="6"/>
  <c r="AY39" i="6"/>
  <c r="AY162" i="6"/>
  <c r="AY163" i="6"/>
  <c r="AY132" i="6"/>
  <c r="AY102" i="6"/>
  <c r="AY133" i="6"/>
  <c r="AU10" i="6"/>
  <c r="AU163" i="6" s="1"/>
  <c r="AU69" i="6"/>
  <c r="AU39" i="6"/>
  <c r="AU162" i="6"/>
  <c r="AU132" i="6"/>
  <c r="AU102" i="6"/>
  <c r="AQ10" i="6"/>
  <c r="AQ103" i="6" s="1"/>
  <c r="AQ39" i="6"/>
  <c r="AQ69" i="6"/>
  <c r="AQ162" i="6"/>
  <c r="AQ163" i="6"/>
  <c r="AQ133" i="6"/>
  <c r="AQ132" i="6"/>
  <c r="AQ102" i="6"/>
  <c r="AM10" i="6"/>
  <c r="AM103" i="6" s="1"/>
  <c r="AM69" i="6"/>
  <c r="AM39" i="6"/>
  <c r="AM162" i="6"/>
  <c r="AM133" i="6"/>
  <c r="AM132" i="6"/>
  <c r="AM102" i="6"/>
  <c r="AI10" i="6"/>
  <c r="AI39" i="6"/>
  <c r="AI69" i="6"/>
  <c r="AI132" i="6"/>
  <c r="AI163" i="6"/>
  <c r="AI162" i="6"/>
  <c r="AI102" i="6"/>
  <c r="AE10" i="6"/>
  <c r="AE163" i="6" s="1"/>
  <c r="AE69" i="6"/>
  <c r="AE39" i="6"/>
  <c r="AE162" i="6"/>
  <c r="AE132" i="6"/>
  <c r="AE102" i="6"/>
  <c r="AA10" i="6"/>
  <c r="AA163" i="6" s="1"/>
  <c r="AA39" i="6"/>
  <c r="AA69" i="6"/>
  <c r="AA132" i="6"/>
  <c r="AA162" i="6"/>
  <c r="AA133" i="6"/>
  <c r="AA102" i="6"/>
  <c r="W10" i="6"/>
  <c r="W163" i="6" s="1"/>
  <c r="W69" i="6"/>
  <c r="W39" i="6"/>
  <c r="W162" i="6"/>
  <c r="W132" i="6"/>
  <c r="W102" i="6"/>
  <c r="S10" i="6"/>
  <c r="S39" i="6"/>
  <c r="S69" i="6"/>
  <c r="S132" i="6"/>
  <c r="S162" i="6"/>
  <c r="S102" i="6"/>
  <c r="O10" i="6"/>
  <c r="O103" i="6" s="1"/>
  <c r="O69" i="6"/>
  <c r="O39" i="6"/>
  <c r="O162" i="6"/>
  <c r="O132" i="6"/>
  <c r="O102" i="6"/>
  <c r="K10" i="6"/>
  <c r="K163" i="6" s="1"/>
  <c r="K39" i="6"/>
  <c r="K69" i="6"/>
  <c r="K162" i="6"/>
  <c r="K133" i="6"/>
  <c r="K132" i="6"/>
  <c r="K102" i="6"/>
  <c r="G10" i="6"/>
  <c r="G163" i="6" s="1"/>
  <c r="G39" i="6"/>
  <c r="G69" i="6"/>
  <c r="G162" i="6"/>
  <c r="G132" i="6"/>
  <c r="G102" i="6"/>
  <c r="D10" i="6"/>
  <c r="D103" i="6" s="1"/>
  <c r="D69" i="6"/>
  <c r="D39" i="6"/>
  <c r="D132" i="6"/>
  <c r="D162" i="6"/>
  <c r="D102" i="6"/>
  <c r="C272" i="6"/>
  <c r="D35" i="11"/>
  <c r="D133" i="6" l="1"/>
  <c r="G133" i="6"/>
  <c r="AA103" i="6"/>
  <c r="F103" i="6"/>
  <c r="F133" i="6"/>
  <c r="AD133" i="6"/>
  <c r="G103" i="6"/>
  <c r="AT103" i="6"/>
  <c r="AR133" i="6"/>
  <c r="AL103" i="6"/>
  <c r="K103" i="6"/>
  <c r="BA133" i="6"/>
  <c r="AF163" i="6"/>
  <c r="AN133" i="6"/>
  <c r="AK103" i="6"/>
  <c r="AN103" i="6"/>
  <c r="AV133" i="6"/>
  <c r="AD103" i="6"/>
  <c r="BC69" i="6"/>
  <c r="D8" i="7" s="1"/>
  <c r="AB103" i="6"/>
  <c r="E103" i="6"/>
  <c r="AL163" i="6"/>
  <c r="BC162" i="6"/>
  <c r="H8" i="7" s="1"/>
  <c r="W103" i="6"/>
  <c r="W133" i="6"/>
  <c r="L103" i="6"/>
  <c r="P103" i="6"/>
  <c r="AF103" i="6"/>
  <c r="AP103" i="6"/>
  <c r="I103" i="6"/>
  <c r="AE103" i="6"/>
  <c r="O11" i="6"/>
  <c r="O134" i="6" s="1"/>
  <c r="O70" i="6"/>
  <c r="O40" i="6"/>
  <c r="AZ11" i="6"/>
  <c r="AZ134" i="6" s="1"/>
  <c r="AZ70" i="6"/>
  <c r="AZ40" i="6"/>
  <c r="BC132" i="6"/>
  <c r="E8" i="7" s="1"/>
  <c r="D11" i="6"/>
  <c r="D134" i="6" s="1"/>
  <c r="D70" i="6"/>
  <c r="D40" i="6"/>
  <c r="O163" i="6"/>
  <c r="S11" i="6"/>
  <c r="S134" i="6" s="1"/>
  <c r="S40" i="6"/>
  <c r="S70" i="6"/>
  <c r="AI11" i="6"/>
  <c r="AI104" i="6" s="1"/>
  <c r="AI70" i="6"/>
  <c r="AI40" i="6"/>
  <c r="AU103" i="6"/>
  <c r="AY11" i="6"/>
  <c r="AY104" i="6" s="1"/>
  <c r="AY70" i="6"/>
  <c r="AY40" i="6"/>
  <c r="H103" i="6"/>
  <c r="L11" i="6"/>
  <c r="L104" i="6" s="1"/>
  <c r="L70" i="6"/>
  <c r="L40" i="6"/>
  <c r="AB11" i="6"/>
  <c r="AB164" i="6" s="1"/>
  <c r="AB40" i="6"/>
  <c r="AB70" i="6"/>
  <c r="AR11" i="6"/>
  <c r="AR164" i="6" s="1"/>
  <c r="AR40" i="6"/>
  <c r="AR70" i="6"/>
  <c r="D40" i="11"/>
  <c r="C277" i="6"/>
  <c r="I11" i="6"/>
  <c r="I164" i="6" s="1"/>
  <c r="I40" i="6"/>
  <c r="I70" i="6"/>
  <c r="I134" i="6"/>
  <c r="Y11" i="6"/>
  <c r="Y164" i="6" s="1"/>
  <c r="Y40" i="6"/>
  <c r="Y70" i="6"/>
  <c r="AO11" i="6"/>
  <c r="AO164" i="6" s="1"/>
  <c r="AO40" i="6"/>
  <c r="AO70" i="6"/>
  <c r="F11" i="6"/>
  <c r="F104" i="6" s="1"/>
  <c r="F70" i="6"/>
  <c r="F40" i="6"/>
  <c r="V11" i="6"/>
  <c r="V134" i="6" s="1"/>
  <c r="V70" i="6"/>
  <c r="V40" i="6"/>
  <c r="V104" i="6"/>
  <c r="AL11" i="6"/>
  <c r="AL134" i="6" s="1"/>
  <c r="AL70" i="6"/>
  <c r="AL40" i="6"/>
  <c r="AE11" i="6"/>
  <c r="AE164" i="6" s="1"/>
  <c r="AE40" i="6"/>
  <c r="AE70" i="6"/>
  <c r="H11" i="6"/>
  <c r="H164" i="6" s="1"/>
  <c r="H70" i="6"/>
  <c r="H40" i="6"/>
  <c r="X103" i="6"/>
  <c r="BC102" i="6"/>
  <c r="F8" i="7" s="1"/>
  <c r="D163" i="6"/>
  <c r="G11" i="6"/>
  <c r="G134" i="6" s="1"/>
  <c r="G40" i="6"/>
  <c r="G70" i="6"/>
  <c r="G104" i="6"/>
  <c r="O133" i="6"/>
  <c r="S103" i="6"/>
  <c r="S133" i="6"/>
  <c r="W11" i="6"/>
  <c r="W164" i="6" s="1"/>
  <c r="W40" i="6"/>
  <c r="W70" i="6"/>
  <c r="W134" i="6"/>
  <c r="AE133" i="6"/>
  <c r="AI103" i="6"/>
  <c r="AM11" i="6"/>
  <c r="AM164" i="6" s="1"/>
  <c r="AM40" i="6"/>
  <c r="AM70" i="6"/>
  <c r="AY103" i="6"/>
  <c r="A12" i="6"/>
  <c r="B12" i="7"/>
  <c r="AZ103" i="6"/>
  <c r="H163" i="6"/>
  <c r="L163" i="6"/>
  <c r="P11" i="6"/>
  <c r="P164" i="6" s="1"/>
  <c r="P40" i="6"/>
  <c r="P70" i="6"/>
  <c r="P134" i="6"/>
  <c r="AF11" i="6"/>
  <c r="AF104" i="6" s="1"/>
  <c r="AF40" i="6"/>
  <c r="AF70" i="6"/>
  <c r="AF134" i="6"/>
  <c r="AV11" i="6"/>
  <c r="AV164" i="6" s="1"/>
  <c r="AV70" i="6"/>
  <c r="AV40" i="6"/>
  <c r="AV104" i="6"/>
  <c r="M11" i="6"/>
  <c r="M104" i="6" s="1"/>
  <c r="M70" i="6"/>
  <c r="M40" i="6"/>
  <c r="M134" i="6"/>
  <c r="AC11" i="6"/>
  <c r="AC134" i="6" s="1"/>
  <c r="AC40" i="6"/>
  <c r="AC70" i="6"/>
  <c r="AC164" i="6"/>
  <c r="AS11" i="6"/>
  <c r="AS104" i="6" s="1"/>
  <c r="AS70" i="6"/>
  <c r="AS40" i="6"/>
  <c r="AS134" i="6"/>
  <c r="J11" i="6"/>
  <c r="J164" i="6" s="1"/>
  <c r="J40" i="6"/>
  <c r="J70" i="6"/>
  <c r="J134" i="6"/>
  <c r="Z11" i="6"/>
  <c r="Z104" i="6" s="1"/>
  <c r="Z70" i="6"/>
  <c r="Z40" i="6"/>
  <c r="Z164" i="6"/>
  <c r="AP11" i="6"/>
  <c r="AP164" i="6" s="1"/>
  <c r="AP70" i="6"/>
  <c r="AP40" i="6"/>
  <c r="AP104" i="6"/>
  <c r="AU11" i="6"/>
  <c r="AU134" i="6" s="1"/>
  <c r="AU70" i="6"/>
  <c r="AU40" i="6"/>
  <c r="AU104" i="6"/>
  <c r="X11" i="6"/>
  <c r="X164" i="6" s="1"/>
  <c r="X40" i="6"/>
  <c r="X70" i="6"/>
  <c r="X134" i="6"/>
  <c r="BC39" i="6"/>
  <c r="C8" i="7" s="1"/>
  <c r="K11" i="6"/>
  <c r="K134" i="6" s="1"/>
  <c r="K40" i="6"/>
  <c r="K70" i="6"/>
  <c r="K164" i="6"/>
  <c r="S163" i="6"/>
  <c r="AA11" i="6"/>
  <c r="AA104" i="6" s="1"/>
  <c r="AA40" i="6"/>
  <c r="AA70" i="6"/>
  <c r="AI133" i="6"/>
  <c r="AM163" i="6"/>
  <c r="AQ11" i="6"/>
  <c r="AQ104" i="6" s="1"/>
  <c r="AQ40" i="6"/>
  <c r="AQ70" i="6"/>
  <c r="AU133" i="6"/>
  <c r="AZ133" i="6"/>
  <c r="BA11" i="6"/>
  <c r="BA104" i="6" s="1"/>
  <c r="BA70" i="6"/>
  <c r="BA40" i="6"/>
  <c r="P163" i="6"/>
  <c r="T11" i="6"/>
  <c r="T164" i="6" s="1"/>
  <c r="T70" i="6"/>
  <c r="T40" i="6"/>
  <c r="T134" i="6"/>
  <c r="X133" i="6"/>
  <c r="AB163" i="6"/>
  <c r="AJ11" i="6"/>
  <c r="AJ164" i="6" s="1"/>
  <c r="AJ40" i="6"/>
  <c r="AJ70" i="6"/>
  <c r="B185" i="1"/>
  <c r="A278" i="6"/>
  <c r="B278" i="6" s="1"/>
  <c r="A186" i="1"/>
  <c r="C41" i="11"/>
  <c r="C185" i="1"/>
  <c r="M103" i="6"/>
  <c r="M163" i="6"/>
  <c r="Q11" i="6"/>
  <c r="Q104" i="6" s="1"/>
  <c r="Q40" i="6"/>
  <c r="Q70" i="6"/>
  <c r="Y133" i="6"/>
  <c r="AC103" i="6"/>
  <c r="AC163" i="6"/>
  <c r="AG11" i="6"/>
  <c r="AG134" i="6" s="1"/>
  <c r="AG40" i="6"/>
  <c r="AG70" i="6"/>
  <c r="AS103" i="6"/>
  <c r="AS163" i="6"/>
  <c r="AW11" i="6"/>
  <c r="AW164" i="6" s="1"/>
  <c r="AW40" i="6"/>
  <c r="AW70" i="6"/>
  <c r="AW104" i="6"/>
  <c r="D34" i="11"/>
  <c r="C271" i="6"/>
  <c r="J103" i="6"/>
  <c r="N11" i="6"/>
  <c r="N134" i="6" s="1"/>
  <c r="N70" i="6"/>
  <c r="N40" i="6"/>
  <c r="Z103" i="6"/>
  <c r="Z163" i="6"/>
  <c r="AD11" i="6"/>
  <c r="AD104" i="6" s="1"/>
  <c r="AD70" i="6"/>
  <c r="AD40" i="6"/>
  <c r="AT11" i="6"/>
  <c r="AT134" i="6" s="1"/>
  <c r="AT70" i="6"/>
  <c r="AT40" i="6"/>
  <c r="AJ133" i="6"/>
  <c r="AN11" i="6"/>
  <c r="AN164" i="6" s="1"/>
  <c r="AN70" i="6"/>
  <c r="AN40" i="6"/>
  <c r="AR103" i="6"/>
  <c r="E11" i="6"/>
  <c r="E40" i="6"/>
  <c r="E70" i="6"/>
  <c r="E134" i="6"/>
  <c r="I163" i="6"/>
  <c r="Q103" i="6"/>
  <c r="Q163" i="6"/>
  <c r="U11" i="6"/>
  <c r="U104" i="6" s="1"/>
  <c r="U70" i="6"/>
  <c r="U40" i="6"/>
  <c r="AC133" i="6"/>
  <c r="AG103" i="6"/>
  <c r="AG163" i="6"/>
  <c r="AK11" i="6"/>
  <c r="AK40" i="6"/>
  <c r="AK70" i="6"/>
  <c r="AK164" i="6"/>
  <c r="AS133" i="6"/>
  <c r="AW133" i="6"/>
  <c r="A176" i="1"/>
  <c r="B177" i="1"/>
  <c r="A270" i="6"/>
  <c r="B270" i="6" s="1"/>
  <c r="C33" i="11"/>
  <c r="C177" i="1"/>
  <c r="N163" i="6"/>
  <c r="R11" i="6"/>
  <c r="R40" i="6"/>
  <c r="R70" i="6"/>
  <c r="V133" i="6"/>
  <c r="AH11" i="6"/>
  <c r="AH40" i="6"/>
  <c r="AH70" i="6"/>
  <c r="AH164" i="6"/>
  <c r="AH134" i="6"/>
  <c r="AH104" i="6"/>
  <c r="AX11" i="6"/>
  <c r="AX104" i="6" s="1"/>
  <c r="AX70" i="6"/>
  <c r="AX40" i="6"/>
  <c r="AX134" i="6"/>
  <c r="AG164" i="6" l="1"/>
  <c r="AY134" i="6"/>
  <c r="S164" i="6"/>
  <c r="AJ134" i="6"/>
  <c r="AM134" i="6"/>
  <c r="AR134" i="6"/>
  <c r="D104" i="6"/>
  <c r="AX164" i="6"/>
  <c r="N164" i="6"/>
  <c r="Q164" i="6"/>
  <c r="AQ134" i="6"/>
  <c r="X104" i="6"/>
  <c r="AU164" i="6"/>
  <c r="AP134" i="6"/>
  <c r="Z134" i="6"/>
  <c r="J104" i="6"/>
  <c r="AS164" i="6"/>
  <c r="AC104" i="6"/>
  <c r="M164" i="6"/>
  <c r="AV134" i="6"/>
  <c r="AF164" i="6"/>
  <c r="P104" i="6"/>
  <c r="AM104" i="6"/>
  <c r="W104" i="6"/>
  <c r="AE104" i="6"/>
  <c r="AI134" i="6"/>
  <c r="S104" i="6"/>
  <c r="O164" i="6"/>
  <c r="U164" i="6"/>
  <c r="AT104" i="6"/>
  <c r="AD134" i="6"/>
  <c r="BA164" i="6"/>
  <c r="AA164" i="6"/>
  <c r="G164" i="6"/>
  <c r="AO134" i="6"/>
  <c r="L164" i="6"/>
  <c r="BC133" i="6"/>
  <c r="E9" i="7" s="1"/>
  <c r="U134" i="6"/>
  <c r="AN134" i="6"/>
  <c r="AW134" i="6"/>
  <c r="AG104" i="6"/>
  <c r="AJ104" i="6"/>
  <c r="T104" i="6"/>
  <c r="K104" i="6"/>
  <c r="AE134" i="6"/>
  <c r="V164" i="6"/>
  <c r="AO104" i="6"/>
  <c r="I104" i="6"/>
  <c r="AR104" i="6"/>
  <c r="L134" i="6"/>
  <c r="AZ104" i="6"/>
  <c r="O104" i="6"/>
  <c r="AN104" i="6"/>
  <c r="BC103" i="6"/>
  <c r="F9" i="7" s="1"/>
  <c r="AB134" i="6"/>
  <c r="R12" i="6"/>
  <c r="R105" i="6" s="1"/>
  <c r="R71" i="6"/>
  <c r="R41" i="6"/>
  <c r="E12" i="6"/>
  <c r="E135" i="6" s="1"/>
  <c r="E71" i="6"/>
  <c r="E41" i="6"/>
  <c r="F164" i="6"/>
  <c r="Y12" i="6"/>
  <c r="Y105" i="6" s="1"/>
  <c r="Y41" i="6"/>
  <c r="Y71" i="6"/>
  <c r="Y135" i="6"/>
  <c r="AK12" i="6"/>
  <c r="AK41" i="6"/>
  <c r="AK71" i="6"/>
  <c r="AK165" i="6"/>
  <c r="AX12" i="6"/>
  <c r="AX135" i="6" s="1"/>
  <c r="AX71" i="6"/>
  <c r="AX41" i="6"/>
  <c r="AX105" i="6"/>
  <c r="R104" i="6"/>
  <c r="AK134" i="6"/>
  <c r="U12" i="6"/>
  <c r="U105" i="6" s="1"/>
  <c r="U41" i="6"/>
  <c r="U71" i="6"/>
  <c r="U165" i="6"/>
  <c r="E104" i="6"/>
  <c r="AN12" i="6"/>
  <c r="AN105" i="6" s="1"/>
  <c r="AN71" i="6"/>
  <c r="AN41" i="6"/>
  <c r="AT164" i="6"/>
  <c r="N104" i="6"/>
  <c r="Q134" i="6"/>
  <c r="B186" i="1"/>
  <c r="A279" i="6"/>
  <c r="B279" i="6" s="1"/>
  <c r="A187" i="1"/>
  <c r="C42" i="11"/>
  <c r="C186" i="1"/>
  <c r="AJ12" i="6"/>
  <c r="AJ165" i="6" s="1"/>
  <c r="AJ41" i="6"/>
  <c r="AJ71" i="6"/>
  <c r="T12" i="6"/>
  <c r="T105" i="6" s="1"/>
  <c r="T41" i="6"/>
  <c r="T71" i="6"/>
  <c r="BA134" i="6"/>
  <c r="AQ164" i="6"/>
  <c r="AA134" i="6"/>
  <c r="AU12" i="6"/>
  <c r="AU135" i="6" s="1"/>
  <c r="AU71" i="6"/>
  <c r="AU41" i="6"/>
  <c r="Z12" i="6"/>
  <c r="Z165" i="6" s="1"/>
  <c r="Z71" i="6"/>
  <c r="Z41" i="6"/>
  <c r="AS12" i="6"/>
  <c r="AS135" i="6" s="1"/>
  <c r="AS71" i="6"/>
  <c r="AS41" i="6"/>
  <c r="M12" i="6"/>
  <c r="M71" i="6"/>
  <c r="M41" i="6"/>
  <c r="AF12" i="6"/>
  <c r="AF105" i="6" s="1"/>
  <c r="AF41" i="6"/>
  <c r="AF71" i="6"/>
  <c r="BC163" i="6"/>
  <c r="H9" i="7" s="1"/>
  <c r="H104" i="6"/>
  <c r="Y104" i="6"/>
  <c r="AB104" i="6"/>
  <c r="BC40" i="6"/>
  <c r="C9" i="7" s="1"/>
  <c r="AD12" i="6"/>
  <c r="AD165" i="6" s="1"/>
  <c r="AD71" i="6"/>
  <c r="AD41" i="6"/>
  <c r="AD135" i="6"/>
  <c r="H134" i="6"/>
  <c r="AL12" i="6"/>
  <c r="AL135" i="6" s="1"/>
  <c r="AL41" i="6"/>
  <c r="AL71" i="6"/>
  <c r="F12" i="6"/>
  <c r="F105" i="6" s="1"/>
  <c r="F71" i="6"/>
  <c r="F41" i="6"/>
  <c r="AI12" i="6"/>
  <c r="AI135" i="6" s="1"/>
  <c r="AI71" i="6"/>
  <c r="AI41" i="6"/>
  <c r="BC70" i="6"/>
  <c r="D9" i="7" s="1"/>
  <c r="AZ12" i="6"/>
  <c r="AZ165" i="6" s="1"/>
  <c r="AZ41" i="6"/>
  <c r="AZ71" i="6"/>
  <c r="AH12" i="6"/>
  <c r="AH105" i="6" s="1"/>
  <c r="AH71" i="6"/>
  <c r="AH41" i="6"/>
  <c r="R164" i="6"/>
  <c r="D33" i="11"/>
  <c r="C270" i="6"/>
  <c r="AK104" i="6"/>
  <c r="E164" i="6"/>
  <c r="AD164" i="6"/>
  <c r="AW12" i="6"/>
  <c r="AW105" i="6" s="1"/>
  <c r="AW71" i="6"/>
  <c r="AW41" i="6"/>
  <c r="AG12" i="6"/>
  <c r="AG165" i="6" s="1"/>
  <c r="AG41" i="6"/>
  <c r="AG71" i="6"/>
  <c r="D41" i="11"/>
  <c r="C278" i="6"/>
  <c r="K12" i="6"/>
  <c r="K71" i="6"/>
  <c r="K41" i="6"/>
  <c r="X12" i="6"/>
  <c r="X105" i="6" s="1"/>
  <c r="X41" i="6"/>
  <c r="X71" i="6"/>
  <c r="AP12" i="6"/>
  <c r="AP165" i="6" s="1"/>
  <c r="AP41" i="6"/>
  <c r="AP71" i="6"/>
  <c r="J12" i="6"/>
  <c r="J105" i="6" s="1"/>
  <c r="J71" i="6"/>
  <c r="J41" i="6"/>
  <c r="AC12" i="6"/>
  <c r="AC165" i="6" s="1"/>
  <c r="AC41" i="6"/>
  <c r="AC71" i="6"/>
  <c r="AV12" i="6"/>
  <c r="AV135" i="6" s="1"/>
  <c r="AV41" i="6"/>
  <c r="AV71" i="6"/>
  <c r="AV105" i="6"/>
  <c r="P12" i="6"/>
  <c r="P165" i="6" s="1"/>
  <c r="P41" i="6"/>
  <c r="P71" i="6"/>
  <c r="B13" i="7"/>
  <c r="A13" i="6"/>
  <c r="AM12" i="6"/>
  <c r="AM165" i="6" s="1"/>
  <c r="AM41" i="6"/>
  <c r="AM71" i="6"/>
  <c r="W12" i="6"/>
  <c r="W105" i="6" s="1"/>
  <c r="W41" i="6"/>
  <c r="W71" i="6"/>
  <c r="AL164" i="6"/>
  <c r="F134" i="6"/>
  <c r="Y134" i="6"/>
  <c r="AY12" i="6"/>
  <c r="AY71" i="6"/>
  <c r="AY41" i="6"/>
  <c r="AY165" i="6"/>
  <c r="AY105" i="6"/>
  <c r="AY135" i="6"/>
  <c r="AI164" i="6"/>
  <c r="D12" i="6"/>
  <c r="D135" i="6" s="1"/>
  <c r="D71" i="6"/>
  <c r="D41" i="6"/>
  <c r="AZ164" i="6"/>
  <c r="R134" i="6"/>
  <c r="N12" i="6"/>
  <c r="N165" i="6" s="1"/>
  <c r="N41" i="6"/>
  <c r="N71" i="6"/>
  <c r="H12" i="6"/>
  <c r="H105" i="6" s="1"/>
  <c r="H41" i="6"/>
  <c r="H71" i="6"/>
  <c r="AL104" i="6"/>
  <c r="AB12" i="6"/>
  <c r="AB165" i="6" s="1"/>
  <c r="AB41" i="6"/>
  <c r="AB71" i="6"/>
  <c r="A175" i="1"/>
  <c r="B176" i="1"/>
  <c r="C32" i="11"/>
  <c r="A269" i="6"/>
  <c r="B269" i="6" s="1"/>
  <c r="C176" i="1"/>
  <c r="AT12" i="6"/>
  <c r="AT105" i="6" s="1"/>
  <c r="AT41" i="6"/>
  <c r="AT71" i="6"/>
  <c r="Q12" i="6"/>
  <c r="Q165" i="6" s="1"/>
  <c r="Q41" i="6"/>
  <c r="Q71" i="6"/>
  <c r="BA12" i="6"/>
  <c r="BA105" i="6" s="1"/>
  <c r="BA71" i="6"/>
  <c r="BA41" i="6"/>
  <c r="AQ12" i="6"/>
  <c r="AQ165" i="6" s="1"/>
  <c r="AQ71" i="6"/>
  <c r="AQ41" i="6"/>
  <c r="AA12" i="6"/>
  <c r="AA105" i="6" s="1"/>
  <c r="AA71" i="6"/>
  <c r="AA41" i="6"/>
  <c r="G8" i="7"/>
  <c r="I8" i="7" s="1"/>
  <c r="G12" i="6"/>
  <c r="G105" i="6" s="1"/>
  <c r="G41" i="6"/>
  <c r="G71" i="6"/>
  <c r="G135" i="6"/>
  <c r="AE12" i="6"/>
  <c r="AE165" i="6" s="1"/>
  <c r="AE71" i="6"/>
  <c r="AE41" i="6"/>
  <c r="AE135" i="6"/>
  <c r="V12" i="6"/>
  <c r="V105" i="6" s="1"/>
  <c r="V71" i="6"/>
  <c r="V41" i="6"/>
  <c r="V165" i="6"/>
  <c r="AO12" i="6"/>
  <c r="AO71" i="6"/>
  <c r="AO41" i="6"/>
  <c r="I12" i="6"/>
  <c r="I105" i="6" s="1"/>
  <c r="I41" i="6"/>
  <c r="I71" i="6"/>
  <c r="AR12" i="6"/>
  <c r="AR41" i="6"/>
  <c r="AR71" i="6"/>
  <c r="L12" i="6"/>
  <c r="L105" i="6" s="1"/>
  <c r="L71" i="6"/>
  <c r="L41" i="6"/>
  <c r="AY164" i="6"/>
  <c r="S12" i="6"/>
  <c r="S135" i="6" s="1"/>
  <c r="S41" i="6"/>
  <c r="S71" i="6"/>
  <c r="D164" i="6"/>
  <c r="O12" i="6"/>
  <c r="O165" i="6" s="1"/>
  <c r="O71" i="6"/>
  <c r="O41" i="6"/>
  <c r="AB135" i="6" l="1"/>
  <c r="S165" i="6"/>
  <c r="AS105" i="6"/>
  <c r="Z135" i="6"/>
  <c r="AU105" i="6"/>
  <c r="O135" i="6"/>
  <c r="AA135" i="6"/>
  <c r="AQ105" i="6"/>
  <c r="BA165" i="6"/>
  <c r="Q135" i="6"/>
  <c r="AT135" i="6"/>
  <c r="D165" i="6"/>
  <c r="AH165" i="6"/>
  <c r="AZ135" i="6"/>
  <c r="F165" i="6"/>
  <c r="AD105" i="6"/>
  <c r="T135" i="6"/>
  <c r="AJ135" i="6"/>
  <c r="AN135" i="6"/>
  <c r="E165" i="6"/>
  <c r="R165" i="6"/>
  <c r="L135" i="6"/>
  <c r="H135" i="6"/>
  <c r="N135" i="6"/>
  <c r="X135" i="6"/>
  <c r="AW135" i="6"/>
  <c r="G9" i="7"/>
  <c r="I9" i="7" s="1"/>
  <c r="S105" i="6"/>
  <c r="AA165" i="6"/>
  <c r="AQ135" i="6"/>
  <c r="BA135" i="6"/>
  <c r="Q105" i="6"/>
  <c r="AT165" i="6"/>
  <c r="H165" i="6"/>
  <c r="N105" i="6"/>
  <c r="D105" i="6"/>
  <c r="W135" i="6"/>
  <c r="AM135" i="6"/>
  <c r="J135" i="6"/>
  <c r="AF135" i="6"/>
  <c r="T165" i="6"/>
  <c r="AJ105" i="6"/>
  <c r="AN165" i="6"/>
  <c r="BC104" i="6"/>
  <c r="F10" i="7" s="1"/>
  <c r="E105" i="6"/>
  <c r="R135" i="6"/>
  <c r="I135" i="6"/>
  <c r="BC134" i="6"/>
  <c r="E10" i="7" s="1"/>
  <c r="AR13" i="6"/>
  <c r="AR166" i="6" s="1"/>
  <c r="AR72" i="6"/>
  <c r="AR42" i="6"/>
  <c r="AR136" i="6"/>
  <c r="AO13" i="6"/>
  <c r="AO42" i="6"/>
  <c r="AO72" i="6"/>
  <c r="AO166" i="6"/>
  <c r="AO136" i="6"/>
  <c r="AO106" i="6"/>
  <c r="AC135" i="6"/>
  <c r="AP135" i="6"/>
  <c r="K13" i="6"/>
  <c r="K72" i="6"/>
  <c r="K42" i="6"/>
  <c r="K136" i="6"/>
  <c r="K166" i="6"/>
  <c r="K106" i="6"/>
  <c r="M13" i="6"/>
  <c r="M166" i="6" s="1"/>
  <c r="M72" i="6"/>
  <c r="M42" i="6"/>
  <c r="M136" i="6"/>
  <c r="M106" i="6"/>
  <c r="A188" i="1"/>
  <c r="C43" i="11"/>
  <c r="C187" i="1"/>
  <c r="B187" i="1"/>
  <c r="A280" i="6"/>
  <c r="B280" i="6" s="1"/>
  <c r="AK13" i="6"/>
  <c r="AK166" i="6" s="1"/>
  <c r="AK42" i="6"/>
  <c r="AK72" i="6"/>
  <c r="BC164" i="6"/>
  <c r="H10" i="7" s="1"/>
  <c r="AR165" i="6"/>
  <c r="AO165" i="6"/>
  <c r="AA13" i="6"/>
  <c r="AA72" i="6"/>
  <c r="AA42" i="6"/>
  <c r="AA166" i="6"/>
  <c r="AA136" i="6"/>
  <c r="AA106" i="6"/>
  <c r="BA13" i="6"/>
  <c r="BA166" i="6" s="1"/>
  <c r="BA72" i="6"/>
  <c r="BA42" i="6"/>
  <c r="BA136" i="6"/>
  <c r="BA106" i="6"/>
  <c r="AT13" i="6"/>
  <c r="AT166" i="6" s="1"/>
  <c r="AT72" i="6"/>
  <c r="AT42" i="6"/>
  <c r="D32" i="11"/>
  <c r="C269" i="6"/>
  <c r="N13" i="6"/>
  <c r="N166" i="6" s="1"/>
  <c r="N72" i="6"/>
  <c r="N42" i="6"/>
  <c r="D13" i="6"/>
  <c r="D166" i="6" s="1"/>
  <c r="D72" i="6"/>
  <c r="D42" i="6"/>
  <c r="AY13" i="6"/>
  <c r="AY136" i="6" s="1"/>
  <c r="AY42" i="6"/>
  <c r="AY72" i="6"/>
  <c r="K165" i="6"/>
  <c r="M165" i="6"/>
  <c r="AJ13" i="6"/>
  <c r="AJ106" i="6" s="1"/>
  <c r="AJ72" i="6"/>
  <c r="AJ42" i="6"/>
  <c r="AK135" i="6"/>
  <c r="E13" i="6"/>
  <c r="E106" i="6" s="1"/>
  <c r="E72" i="6"/>
  <c r="E42" i="6"/>
  <c r="E166" i="6"/>
  <c r="AO105" i="6"/>
  <c r="BC71" i="6"/>
  <c r="D10" i="7" s="1"/>
  <c r="P13" i="6"/>
  <c r="P106" i="6" s="1"/>
  <c r="P42" i="6"/>
  <c r="P72" i="6"/>
  <c r="P136" i="6"/>
  <c r="AG13" i="6"/>
  <c r="AG106" i="6" s="1"/>
  <c r="AG72" i="6"/>
  <c r="AG42" i="6"/>
  <c r="AI13" i="6"/>
  <c r="AI136" i="6" s="1"/>
  <c r="AI42" i="6"/>
  <c r="AI72" i="6"/>
  <c r="AI166" i="6"/>
  <c r="AL13" i="6"/>
  <c r="AL106" i="6" s="1"/>
  <c r="AL72" i="6"/>
  <c r="AL42" i="6"/>
  <c r="M135" i="6"/>
  <c r="I13" i="6"/>
  <c r="I106" i="6" s="1"/>
  <c r="I72" i="6"/>
  <c r="I42" i="6"/>
  <c r="V13" i="6"/>
  <c r="V136" i="6" s="1"/>
  <c r="V72" i="6"/>
  <c r="V42" i="6"/>
  <c r="W13" i="6"/>
  <c r="W106" i="6" s="1"/>
  <c r="W72" i="6"/>
  <c r="W42" i="6"/>
  <c r="B14" i="7"/>
  <c r="A14" i="6"/>
  <c r="AV13" i="6"/>
  <c r="AV136" i="6" s="1"/>
  <c r="AV72" i="6"/>
  <c r="AV42" i="6"/>
  <c r="J13" i="6"/>
  <c r="J166" i="6" s="1"/>
  <c r="J72" i="6"/>
  <c r="J42" i="6"/>
  <c r="X13" i="6"/>
  <c r="X106" i="6" s="1"/>
  <c r="X72" i="6"/>
  <c r="X42" i="6"/>
  <c r="AW13" i="6"/>
  <c r="AW42" i="6"/>
  <c r="AW72" i="6"/>
  <c r="AH13" i="6"/>
  <c r="AH106" i="6" s="1"/>
  <c r="AH72" i="6"/>
  <c r="AH42" i="6"/>
  <c r="F13" i="6"/>
  <c r="F136" i="6" s="1"/>
  <c r="F72" i="6"/>
  <c r="F42" i="6"/>
  <c r="AF13" i="6"/>
  <c r="AF106" i="6" s="1"/>
  <c r="AF72" i="6"/>
  <c r="AF42" i="6"/>
  <c r="AS13" i="6"/>
  <c r="AS166" i="6" s="1"/>
  <c r="AS42" i="6"/>
  <c r="AS72" i="6"/>
  <c r="AU13" i="6"/>
  <c r="AU106" i="6" s="1"/>
  <c r="AU72" i="6"/>
  <c r="AU42" i="6"/>
  <c r="D42" i="11"/>
  <c r="C279" i="6"/>
  <c r="U13" i="6"/>
  <c r="U106" i="6" s="1"/>
  <c r="U42" i="6"/>
  <c r="U72" i="6"/>
  <c r="AX13" i="6"/>
  <c r="AX72" i="6"/>
  <c r="AX42" i="6"/>
  <c r="Y13" i="6"/>
  <c r="Y106" i="6" s="1"/>
  <c r="Y42" i="6"/>
  <c r="Y72" i="6"/>
  <c r="O13" i="6"/>
  <c r="O72" i="6"/>
  <c r="O42" i="6"/>
  <c r="AR105" i="6"/>
  <c r="AE13" i="6"/>
  <c r="AE106" i="6" s="1"/>
  <c r="AE72" i="6"/>
  <c r="AE42" i="6"/>
  <c r="AE136" i="6"/>
  <c r="AB13" i="6"/>
  <c r="AB166" i="6" s="1"/>
  <c r="AB72" i="6"/>
  <c r="AB42" i="6"/>
  <c r="AB106" i="6"/>
  <c r="AM13" i="6"/>
  <c r="AM136" i="6" s="1"/>
  <c r="AM72" i="6"/>
  <c r="AM42" i="6"/>
  <c r="P135" i="6"/>
  <c r="AC13" i="6"/>
  <c r="AC42" i="6"/>
  <c r="AC72" i="6"/>
  <c r="AC136" i="6"/>
  <c r="AC166" i="6"/>
  <c r="AC106" i="6"/>
  <c r="AP13" i="6"/>
  <c r="AP106" i="6" s="1"/>
  <c r="AP72" i="6"/>
  <c r="AP42" i="6"/>
  <c r="AP136" i="6"/>
  <c r="K135" i="6"/>
  <c r="AG135" i="6"/>
  <c r="AZ13" i="6"/>
  <c r="AZ136" i="6" s="1"/>
  <c r="AZ72" i="6"/>
  <c r="AZ42" i="6"/>
  <c r="AZ106" i="6"/>
  <c r="AI165" i="6"/>
  <c r="AL165" i="6"/>
  <c r="Z13" i="6"/>
  <c r="Z106" i="6" s="1"/>
  <c r="Z72" i="6"/>
  <c r="Z42" i="6"/>
  <c r="Z166" i="6"/>
  <c r="L13" i="6"/>
  <c r="L72" i="6"/>
  <c r="L42" i="6"/>
  <c r="L166" i="6"/>
  <c r="L136" i="6"/>
  <c r="L106" i="6"/>
  <c r="G13" i="6"/>
  <c r="G106" i="6" s="1"/>
  <c r="G72" i="6"/>
  <c r="G42" i="6"/>
  <c r="G136" i="6"/>
  <c r="A174" i="1"/>
  <c r="B175" i="1"/>
  <c r="C31" i="11"/>
  <c r="C175" i="1"/>
  <c r="A268" i="6"/>
  <c r="B268" i="6" s="1"/>
  <c r="O105" i="6"/>
  <c r="S13" i="6"/>
  <c r="S106" i="6" s="1"/>
  <c r="S72" i="6"/>
  <c r="S42" i="6"/>
  <c r="L165" i="6"/>
  <c r="AR135" i="6"/>
  <c r="I165" i="6"/>
  <c r="AO135" i="6"/>
  <c r="V135" i="6"/>
  <c r="AE105" i="6"/>
  <c r="G165" i="6"/>
  <c r="AQ13" i="6"/>
  <c r="AQ166" i="6" s="1"/>
  <c r="AQ42" i="6"/>
  <c r="AQ72" i="6"/>
  <c r="AQ136" i="6"/>
  <c r="AQ106" i="6"/>
  <c r="Q13" i="6"/>
  <c r="Q106" i="6" s="1"/>
  <c r="Q42" i="6"/>
  <c r="Q72" i="6"/>
  <c r="AB105" i="6"/>
  <c r="H13" i="6"/>
  <c r="H136" i="6" s="1"/>
  <c r="H72" i="6"/>
  <c r="H42" i="6"/>
  <c r="BC41" i="6"/>
  <c r="C10" i="7" s="1"/>
  <c r="W165" i="6"/>
  <c r="AM105" i="6"/>
  <c r="P105" i="6"/>
  <c r="AV165" i="6"/>
  <c r="AC105" i="6"/>
  <c r="J165" i="6"/>
  <c r="AP105" i="6"/>
  <c r="X165" i="6"/>
  <c r="K105" i="6"/>
  <c r="AG105" i="6"/>
  <c r="AW165" i="6"/>
  <c r="AH135" i="6"/>
  <c r="AZ105" i="6"/>
  <c r="AI105" i="6"/>
  <c r="F135" i="6"/>
  <c r="AL105" i="6"/>
  <c r="AD13" i="6"/>
  <c r="AD106" i="6" s="1"/>
  <c r="AD42" i="6"/>
  <c r="AD72" i="6"/>
  <c r="AF165" i="6"/>
  <c r="M105" i="6"/>
  <c r="AS165" i="6"/>
  <c r="Z105" i="6"/>
  <c r="AU165" i="6"/>
  <c r="T13" i="6"/>
  <c r="T106" i="6" s="1"/>
  <c r="T72" i="6"/>
  <c r="T42" i="6"/>
  <c r="AN13" i="6"/>
  <c r="AN166" i="6" s="1"/>
  <c r="AN42" i="6"/>
  <c r="AN72" i="6"/>
  <c r="U135" i="6"/>
  <c r="AX165" i="6"/>
  <c r="AK105" i="6"/>
  <c r="Y165" i="6"/>
  <c r="R13" i="6"/>
  <c r="R106" i="6" s="1"/>
  <c r="R72" i="6"/>
  <c r="R42" i="6"/>
  <c r="R136" i="6"/>
  <c r="Q136" i="6" l="1"/>
  <c r="AE166" i="6"/>
  <c r="Y166" i="6"/>
  <c r="AL136" i="6"/>
  <c r="AI106" i="6"/>
  <c r="P166" i="6"/>
  <c r="E136" i="6"/>
  <c r="N136" i="6"/>
  <c r="AB136" i="6"/>
  <c r="AF136" i="6"/>
  <c r="AG136" i="6"/>
  <c r="AT106" i="6"/>
  <c r="AD166" i="6"/>
  <c r="AM166" i="6"/>
  <c r="AJ166" i="6"/>
  <c r="N106" i="6"/>
  <c r="AT136" i="6"/>
  <c r="AR106" i="6"/>
  <c r="BC135" i="6"/>
  <c r="E11" i="7" s="1"/>
  <c r="Q166" i="6"/>
  <c r="BC105" i="6"/>
  <c r="F11" i="7" s="1"/>
  <c r="G166" i="6"/>
  <c r="Z136" i="6"/>
  <c r="AP166" i="6"/>
  <c r="AU136" i="6"/>
  <c r="AL166" i="6"/>
  <c r="AG166" i="6"/>
  <c r="T166" i="6"/>
  <c r="BC165" i="6"/>
  <c r="H11" i="7" s="1"/>
  <c r="X166" i="6"/>
  <c r="I136" i="6"/>
  <c r="AY106" i="6"/>
  <c r="D136" i="6"/>
  <c r="AD136" i="6"/>
  <c r="S136" i="6"/>
  <c r="AZ166" i="6"/>
  <c r="AV106" i="6"/>
  <c r="U136" i="6"/>
  <c r="AH136" i="6"/>
  <c r="W136" i="6"/>
  <c r="H166" i="6"/>
  <c r="C268" i="6"/>
  <c r="D31" i="11"/>
  <c r="O14" i="6"/>
  <c r="O107" i="6" s="1"/>
  <c r="O73" i="6"/>
  <c r="O43" i="6"/>
  <c r="AX14" i="6"/>
  <c r="AX167" i="6" s="1"/>
  <c r="AX73" i="6"/>
  <c r="AX43" i="6"/>
  <c r="AW14" i="6"/>
  <c r="AW167" i="6" s="1"/>
  <c r="AW43" i="6"/>
  <c r="AW73" i="6"/>
  <c r="AW137" i="6"/>
  <c r="J136" i="6"/>
  <c r="AK14" i="6"/>
  <c r="AK167" i="6" s="1"/>
  <c r="AK43" i="6"/>
  <c r="AK73" i="6"/>
  <c r="AN136" i="6"/>
  <c r="AD14" i="6"/>
  <c r="AD43" i="6"/>
  <c r="AD73" i="6"/>
  <c r="AQ14" i="6"/>
  <c r="AQ167" i="6" s="1"/>
  <c r="AQ73" i="6"/>
  <c r="AQ43" i="6"/>
  <c r="A173" i="1"/>
  <c r="A267" i="6"/>
  <c r="B267" i="6" s="1"/>
  <c r="B174" i="1"/>
  <c r="C30" i="11"/>
  <c r="C174" i="1"/>
  <c r="L14" i="6"/>
  <c r="L137" i="6" s="1"/>
  <c r="L73" i="6"/>
  <c r="L43" i="6"/>
  <c r="AC14" i="6"/>
  <c r="AC137" i="6" s="1"/>
  <c r="AC43" i="6"/>
  <c r="AC73" i="6"/>
  <c r="AE14" i="6"/>
  <c r="AE137" i="6" s="1"/>
  <c r="AE73" i="6"/>
  <c r="AE43" i="6"/>
  <c r="AE167" i="6"/>
  <c r="O136" i="6"/>
  <c r="AX166" i="6"/>
  <c r="F166" i="6"/>
  <c r="AW166" i="6"/>
  <c r="V166" i="6"/>
  <c r="AL14" i="6"/>
  <c r="AL73" i="6"/>
  <c r="AL43" i="6"/>
  <c r="AG14" i="6"/>
  <c r="AG107" i="6" s="1"/>
  <c r="AG73" i="6"/>
  <c r="AG43" i="6"/>
  <c r="BA14" i="6"/>
  <c r="BA73" i="6"/>
  <c r="BA43" i="6"/>
  <c r="AK136" i="6"/>
  <c r="A189" i="1"/>
  <c r="C44" i="11"/>
  <c r="B188" i="1"/>
  <c r="A281" i="6"/>
  <c r="B281" i="6" s="1"/>
  <c r="C188" i="1"/>
  <c r="K14" i="6"/>
  <c r="K167" i="6" s="1"/>
  <c r="K73" i="6"/>
  <c r="K43" i="6"/>
  <c r="AO14" i="6"/>
  <c r="AO167" i="6" s="1"/>
  <c r="AO73" i="6"/>
  <c r="AO43" i="6"/>
  <c r="H14" i="6"/>
  <c r="H73" i="6"/>
  <c r="H43" i="6"/>
  <c r="AX136" i="6"/>
  <c r="AS14" i="6"/>
  <c r="AS137" i="6" s="1"/>
  <c r="AS43" i="6"/>
  <c r="AS73" i="6"/>
  <c r="AW106" i="6"/>
  <c r="R14" i="6"/>
  <c r="R167" i="6" s="1"/>
  <c r="R73" i="6"/>
  <c r="R43" i="6"/>
  <c r="T14" i="6"/>
  <c r="T167" i="6" s="1"/>
  <c r="T73" i="6"/>
  <c r="T43" i="6"/>
  <c r="T137" i="6"/>
  <c r="G10" i="7"/>
  <c r="I10" i="7" s="1"/>
  <c r="Y14" i="6"/>
  <c r="Y107" i="6" s="1"/>
  <c r="Y73" i="6"/>
  <c r="Y43" i="6"/>
  <c r="U14" i="6"/>
  <c r="U107" i="6" s="1"/>
  <c r="U43" i="6"/>
  <c r="U73" i="6"/>
  <c r="AU14" i="6"/>
  <c r="AU107" i="6" s="1"/>
  <c r="AU73" i="6"/>
  <c r="AU43" i="6"/>
  <c r="AF14" i="6"/>
  <c r="AF167" i="6" s="1"/>
  <c r="AF73" i="6"/>
  <c r="AF43" i="6"/>
  <c r="AF137" i="6"/>
  <c r="AH14" i="6"/>
  <c r="AH107" i="6" s="1"/>
  <c r="AH73" i="6"/>
  <c r="AH43" i="6"/>
  <c r="X14" i="6"/>
  <c r="X107" i="6" s="1"/>
  <c r="X73" i="6"/>
  <c r="X43" i="6"/>
  <c r="AV14" i="6"/>
  <c r="AV137" i="6" s="1"/>
  <c r="AV43" i="6"/>
  <c r="AV73" i="6"/>
  <c r="W14" i="6"/>
  <c r="W137" i="6" s="1"/>
  <c r="W73" i="6"/>
  <c r="W43" i="6"/>
  <c r="I14" i="6"/>
  <c r="I107" i="6" s="1"/>
  <c r="I73" i="6"/>
  <c r="I43" i="6"/>
  <c r="AJ14" i="6"/>
  <c r="AJ167" i="6" s="1"/>
  <c r="AJ73" i="6"/>
  <c r="AJ43" i="6"/>
  <c r="AY14" i="6"/>
  <c r="AY107" i="6" s="1"/>
  <c r="AY73" i="6"/>
  <c r="AY43" i="6"/>
  <c r="BC42" i="6"/>
  <c r="C11" i="7" s="1"/>
  <c r="C280" i="6"/>
  <c r="D43" i="11"/>
  <c r="AN14" i="6"/>
  <c r="AN167" i="6" s="1"/>
  <c r="AN73" i="6"/>
  <c r="AN43" i="6"/>
  <c r="AM14" i="6"/>
  <c r="AM137" i="6" s="1"/>
  <c r="AM73" i="6"/>
  <c r="AM43" i="6"/>
  <c r="AM107" i="6"/>
  <c r="O166" i="6"/>
  <c r="AS136" i="6"/>
  <c r="F14" i="6"/>
  <c r="F137" i="6" s="1"/>
  <c r="F43" i="6"/>
  <c r="F73" i="6"/>
  <c r="J14" i="6"/>
  <c r="J137" i="6" s="1"/>
  <c r="J73" i="6"/>
  <c r="J43" i="6"/>
  <c r="A15" i="6"/>
  <c r="B15" i="7"/>
  <c r="V14" i="6"/>
  <c r="V167" i="6" s="1"/>
  <c r="V43" i="6"/>
  <c r="V73" i="6"/>
  <c r="D14" i="6"/>
  <c r="D167" i="6" s="1"/>
  <c r="D73" i="6"/>
  <c r="D43" i="6"/>
  <c r="D107" i="6"/>
  <c r="S14" i="6"/>
  <c r="S137" i="6" s="1"/>
  <c r="S73" i="6"/>
  <c r="S43" i="6"/>
  <c r="R166" i="6"/>
  <c r="AN106" i="6"/>
  <c r="T136" i="6"/>
  <c r="H106" i="6"/>
  <c r="Q14" i="6"/>
  <c r="Q137" i="6" s="1"/>
  <c r="Q43" i="6"/>
  <c r="Q73" i="6"/>
  <c r="S166" i="6"/>
  <c r="G14" i="6"/>
  <c r="G107" i="6" s="1"/>
  <c r="G73" i="6"/>
  <c r="G43" i="6"/>
  <c r="G137" i="6"/>
  <c r="Z14" i="6"/>
  <c r="Z107" i="6" s="1"/>
  <c r="Z43" i="6"/>
  <c r="Z73" i="6"/>
  <c r="AZ14" i="6"/>
  <c r="AZ167" i="6" s="1"/>
  <c r="AZ73" i="6"/>
  <c r="AZ43" i="6"/>
  <c r="AP14" i="6"/>
  <c r="AP137" i="6" s="1"/>
  <c r="AP43" i="6"/>
  <c r="AP73" i="6"/>
  <c r="AM106" i="6"/>
  <c r="AB14" i="6"/>
  <c r="AB167" i="6" s="1"/>
  <c r="AB73" i="6"/>
  <c r="AB43" i="6"/>
  <c r="O106" i="6"/>
  <c r="Y136" i="6"/>
  <c r="AX106" i="6"/>
  <c r="U166" i="6"/>
  <c r="AU166" i="6"/>
  <c r="AS106" i="6"/>
  <c r="AF166" i="6"/>
  <c r="F106" i="6"/>
  <c r="AH166" i="6"/>
  <c r="AW136" i="6"/>
  <c r="X136" i="6"/>
  <c r="J106" i="6"/>
  <c r="AV166" i="6"/>
  <c r="W166" i="6"/>
  <c r="V106" i="6"/>
  <c r="I166" i="6"/>
  <c r="AI14" i="6"/>
  <c r="AI167" i="6" s="1"/>
  <c r="AI73" i="6"/>
  <c r="AI43" i="6"/>
  <c r="AI137" i="6"/>
  <c r="P14" i="6"/>
  <c r="P167" i="6" s="1"/>
  <c r="P73" i="6"/>
  <c r="P43" i="6"/>
  <c r="E14" i="6"/>
  <c r="E167" i="6" s="1"/>
  <c r="E73" i="6"/>
  <c r="E43" i="6"/>
  <c r="AJ136" i="6"/>
  <c r="AY166" i="6"/>
  <c r="D106" i="6"/>
  <c r="BC72" i="6"/>
  <c r="D11" i="7" s="1"/>
  <c r="N14" i="6"/>
  <c r="N167" i="6" s="1"/>
  <c r="N43" i="6"/>
  <c r="N73" i="6"/>
  <c r="AT14" i="6"/>
  <c r="AT167" i="6" s="1"/>
  <c r="AT73" i="6"/>
  <c r="AT43" i="6"/>
  <c r="AT137" i="6"/>
  <c r="AA14" i="6"/>
  <c r="AA167" i="6" s="1"/>
  <c r="AA73" i="6"/>
  <c r="AA43" i="6"/>
  <c r="AK106" i="6"/>
  <c r="M14" i="6"/>
  <c r="M137" i="6" s="1"/>
  <c r="M73" i="6"/>
  <c r="M43" i="6"/>
  <c r="AR14" i="6"/>
  <c r="AR167" i="6" s="1"/>
  <c r="AR43" i="6"/>
  <c r="AR73" i="6"/>
  <c r="AB107" i="6" l="1"/>
  <c r="AZ107" i="6"/>
  <c r="Q107" i="6"/>
  <c r="AN137" i="6"/>
  <c r="L167" i="6"/>
  <c r="W167" i="6"/>
  <c r="R107" i="6"/>
  <c r="AQ137" i="6"/>
  <c r="AK137" i="6"/>
  <c r="N107" i="6"/>
  <c r="E137" i="6"/>
  <c r="V137" i="6"/>
  <c r="AC107" i="6"/>
  <c r="J167" i="6"/>
  <c r="AJ137" i="6"/>
  <c r="AA107" i="6"/>
  <c r="AP107" i="6"/>
  <c r="AZ137" i="6"/>
  <c r="G167" i="6"/>
  <c r="AY137" i="6"/>
  <c r="AJ107" i="6"/>
  <c r="X137" i="6"/>
  <c r="AS107" i="6"/>
  <c r="AO137" i="6"/>
  <c r="AG167" i="6"/>
  <c r="O137" i="6"/>
  <c r="P107" i="6"/>
  <c r="Z137" i="6"/>
  <c r="S167" i="6"/>
  <c r="F107" i="6"/>
  <c r="U167" i="6"/>
  <c r="M167" i="6"/>
  <c r="BC136" i="6"/>
  <c r="E12" i="7" s="1"/>
  <c r="M107" i="6"/>
  <c r="W107" i="6"/>
  <c r="X167" i="6"/>
  <c r="AH137" i="6"/>
  <c r="AF107" i="6"/>
  <c r="U137" i="6"/>
  <c r="AO107" i="6"/>
  <c r="AG137" i="6"/>
  <c r="AQ107" i="6"/>
  <c r="AW107" i="6"/>
  <c r="O167" i="6"/>
  <c r="BC166" i="6"/>
  <c r="H12" i="7" s="1"/>
  <c r="AV107" i="6"/>
  <c r="AU137" i="6"/>
  <c r="AX107" i="6"/>
  <c r="AR107" i="6"/>
  <c r="H15" i="6"/>
  <c r="H168" i="6" s="1"/>
  <c r="H44" i="6"/>
  <c r="H74" i="6"/>
  <c r="H108" i="6"/>
  <c r="K137" i="6"/>
  <c r="BA15" i="6"/>
  <c r="BA138" i="6" s="1"/>
  <c r="BA74" i="6"/>
  <c r="BA44" i="6"/>
  <c r="AL15" i="6"/>
  <c r="AL168" i="6" s="1"/>
  <c r="AL44" i="6"/>
  <c r="AL74" i="6"/>
  <c r="AD15" i="6"/>
  <c r="AD168" i="6" s="1"/>
  <c r="AD74" i="6"/>
  <c r="AD44" i="6"/>
  <c r="AR137" i="6"/>
  <c r="AT15" i="6"/>
  <c r="AT168" i="6" s="1"/>
  <c r="AT44" i="6"/>
  <c r="AT74" i="6"/>
  <c r="BC106" i="6"/>
  <c r="F12" i="7" s="1"/>
  <c r="E15" i="6"/>
  <c r="E138" i="6" s="1"/>
  <c r="E44" i="6"/>
  <c r="E74" i="6"/>
  <c r="AI15" i="6"/>
  <c r="AI138" i="6" s="1"/>
  <c r="AI74" i="6"/>
  <c r="AI44" i="6"/>
  <c r="S15" i="6"/>
  <c r="S138" i="6" s="1"/>
  <c r="S74" i="6"/>
  <c r="S44" i="6"/>
  <c r="BC43" i="6"/>
  <c r="C12" i="7" s="1"/>
  <c r="V15" i="6"/>
  <c r="V168" i="6" s="1"/>
  <c r="V74" i="6"/>
  <c r="V44" i="6"/>
  <c r="J15" i="6"/>
  <c r="J108" i="6" s="1"/>
  <c r="J74" i="6"/>
  <c r="J44" i="6"/>
  <c r="AN15" i="6"/>
  <c r="AN138" i="6" s="1"/>
  <c r="AN44" i="6"/>
  <c r="AN74" i="6"/>
  <c r="T15" i="6"/>
  <c r="T168" i="6" s="1"/>
  <c r="T74" i="6"/>
  <c r="T44" i="6"/>
  <c r="T138" i="6"/>
  <c r="H107" i="6"/>
  <c r="K107" i="6"/>
  <c r="D44" i="11"/>
  <c r="C281" i="6"/>
  <c r="BA107" i="6"/>
  <c r="AL137" i="6"/>
  <c r="AE15" i="6"/>
  <c r="AE168" i="6" s="1"/>
  <c r="AE74" i="6"/>
  <c r="AE44" i="6"/>
  <c r="AE138" i="6"/>
  <c r="L15" i="6"/>
  <c r="L168" i="6" s="1"/>
  <c r="L44" i="6"/>
  <c r="L74" i="6"/>
  <c r="AD107" i="6"/>
  <c r="AK15" i="6"/>
  <c r="AK74" i="6"/>
  <c r="AK44" i="6"/>
  <c r="AK168" i="6"/>
  <c r="AK108" i="6"/>
  <c r="AX137" i="6"/>
  <c r="AP15" i="6"/>
  <c r="AP138" i="6" s="1"/>
  <c r="AP44" i="6"/>
  <c r="AP74" i="6"/>
  <c r="AP168" i="6"/>
  <c r="AP108" i="6"/>
  <c r="Z15" i="6"/>
  <c r="Z168" i="6" s="1"/>
  <c r="Z44" i="6"/>
  <c r="Z74" i="6"/>
  <c r="Z108" i="6"/>
  <c r="A16" i="6"/>
  <c r="B16" i="7"/>
  <c r="AY15" i="6"/>
  <c r="AY138" i="6" s="1"/>
  <c r="AY74" i="6"/>
  <c r="AY44" i="6"/>
  <c r="I15" i="6"/>
  <c r="I108" i="6" s="1"/>
  <c r="I44" i="6"/>
  <c r="I74" i="6"/>
  <c r="AV15" i="6"/>
  <c r="AV138" i="6" s="1"/>
  <c r="AV44" i="6"/>
  <c r="AV74" i="6"/>
  <c r="AH15" i="6"/>
  <c r="AH138" i="6" s="1"/>
  <c r="AH74" i="6"/>
  <c r="AH44" i="6"/>
  <c r="AU15" i="6"/>
  <c r="AU138" i="6" s="1"/>
  <c r="AU44" i="6"/>
  <c r="AU74" i="6"/>
  <c r="Y15" i="6"/>
  <c r="Y168" i="6" s="1"/>
  <c r="Y74" i="6"/>
  <c r="Y44" i="6"/>
  <c r="Y108" i="6"/>
  <c r="H137" i="6"/>
  <c r="BA137" i="6"/>
  <c r="AL107" i="6"/>
  <c r="N15" i="6"/>
  <c r="N138" i="6" s="1"/>
  <c r="N44" i="6"/>
  <c r="N74" i="6"/>
  <c r="P15" i="6"/>
  <c r="P138" i="6" s="1"/>
  <c r="P74" i="6"/>
  <c r="P44" i="6"/>
  <c r="AB15" i="6"/>
  <c r="AB138" i="6" s="1"/>
  <c r="AB44" i="6"/>
  <c r="AB74" i="6"/>
  <c r="AB108" i="6"/>
  <c r="AP167" i="6"/>
  <c r="Z167" i="6"/>
  <c r="Q15" i="6"/>
  <c r="Q168" i="6" s="1"/>
  <c r="Q74" i="6"/>
  <c r="Q44" i="6"/>
  <c r="Q138" i="6"/>
  <c r="Q108" i="6"/>
  <c r="D74" i="6"/>
  <c r="D15" i="6"/>
  <c r="D138" i="6" s="1"/>
  <c r="D44" i="6"/>
  <c r="D168" i="6"/>
  <c r="F15" i="6"/>
  <c r="F168" i="6" s="1"/>
  <c r="F74" i="6"/>
  <c r="F44" i="6"/>
  <c r="AM15" i="6"/>
  <c r="AM138" i="6" s="1"/>
  <c r="AM74" i="6"/>
  <c r="AM44" i="6"/>
  <c r="AY167" i="6"/>
  <c r="I167" i="6"/>
  <c r="AV167" i="6"/>
  <c r="AH167" i="6"/>
  <c r="AU167" i="6"/>
  <c r="Y167" i="6"/>
  <c r="R15" i="6"/>
  <c r="R108" i="6" s="1"/>
  <c r="R74" i="6"/>
  <c r="R44" i="6"/>
  <c r="R168" i="6"/>
  <c r="R138" i="6"/>
  <c r="AS15" i="6"/>
  <c r="AS138" i="6" s="1"/>
  <c r="AS44" i="6"/>
  <c r="AS74" i="6"/>
  <c r="H167" i="6"/>
  <c r="B189" i="1"/>
  <c r="A282" i="6"/>
  <c r="B282" i="6" s="1"/>
  <c r="A190" i="1"/>
  <c r="C45" i="11"/>
  <c r="C189" i="1"/>
  <c r="BA167" i="6"/>
  <c r="AL167" i="6"/>
  <c r="AC15" i="6"/>
  <c r="AC108" i="6" s="1"/>
  <c r="AC74" i="6"/>
  <c r="AC44" i="6"/>
  <c r="AC138" i="6"/>
  <c r="AD137" i="6"/>
  <c r="AR15" i="6"/>
  <c r="AR168" i="6" s="1"/>
  <c r="AR74" i="6"/>
  <c r="AR44" i="6"/>
  <c r="BC73" i="6"/>
  <c r="D12" i="7" s="1"/>
  <c r="I137" i="6"/>
  <c r="Y137" i="6"/>
  <c r="K15" i="6"/>
  <c r="K108" i="6" s="1"/>
  <c r="K74" i="6"/>
  <c r="K44" i="6"/>
  <c r="A172" i="1"/>
  <c r="A266" i="6"/>
  <c r="B266" i="6" s="1"/>
  <c r="B173" i="1"/>
  <c r="C29" i="11"/>
  <c r="C173" i="1"/>
  <c r="AD167" i="6"/>
  <c r="AX15" i="6"/>
  <c r="AX138" i="6" s="1"/>
  <c r="AX74" i="6"/>
  <c r="AX44" i="6"/>
  <c r="AX168" i="6"/>
  <c r="AX108" i="6"/>
  <c r="AA15" i="6"/>
  <c r="AA138" i="6" s="1"/>
  <c r="AA74" i="6"/>
  <c r="AA44" i="6"/>
  <c r="M15" i="6"/>
  <c r="M108" i="6" s="1"/>
  <c r="M44" i="6"/>
  <c r="M74" i="6"/>
  <c r="M168" i="6"/>
  <c r="AA137" i="6"/>
  <c r="AT107" i="6"/>
  <c r="N137" i="6"/>
  <c r="E107" i="6"/>
  <c r="P137" i="6"/>
  <c r="AI107" i="6"/>
  <c r="AB137" i="6"/>
  <c r="AZ15" i="6"/>
  <c r="AZ168" i="6" s="1"/>
  <c r="AZ74" i="6"/>
  <c r="AZ44" i="6"/>
  <c r="AZ138" i="6"/>
  <c r="G15" i="6"/>
  <c r="G138" i="6" s="1"/>
  <c r="G74" i="6"/>
  <c r="G44" i="6"/>
  <c r="Q167" i="6"/>
  <c r="S107" i="6"/>
  <c r="D137" i="6"/>
  <c r="V107" i="6"/>
  <c r="J107" i="6"/>
  <c r="F167" i="6"/>
  <c r="AM167" i="6"/>
  <c r="AN107" i="6"/>
  <c r="G11" i="7"/>
  <c r="I11" i="7" s="1"/>
  <c r="AJ15" i="6"/>
  <c r="AJ108" i="6" s="1"/>
  <c r="AJ74" i="6"/>
  <c r="AJ44" i="6"/>
  <c r="W15" i="6"/>
  <c r="W108" i="6" s="1"/>
  <c r="W74" i="6"/>
  <c r="W44" i="6"/>
  <c r="X15" i="6"/>
  <c r="X108" i="6" s="1"/>
  <c r="X44" i="6"/>
  <c r="X74" i="6"/>
  <c r="AF15" i="6"/>
  <c r="AF108" i="6" s="1"/>
  <c r="AF74" i="6"/>
  <c r="AF44" i="6"/>
  <c r="U15" i="6"/>
  <c r="U108" i="6" s="1"/>
  <c r="U44" i="6"/>
  <c r="U74" i="6"/>
  <c r="T107" i="6"/>
  <c r="R137" i="6"/>
  <c r="AS167" i="6"/>
  <c r="AO15" i="6"/>
  <c r="AO168" i="6" s="1"/>
  <c r="AO74" i="6"/>
  <c r="AO44" i="6"/>
  <c r="AG15" i="6"/>
  <c r="AG168" i="6" s="1"/>
  <c r="AG44" i="6"/>
  <c r="AG74" i="6"/>
  <c r="AG138" i="6"/>
  <c r="AG108" i="6"/>
  <c r="AE107" i="6"/>
  <c r="AC167" i="6"/>
  <c r="L107" i="6"/>
  <c r="D30" i="11"/>
  <c r="C267" i="6"/>
  <c r="AQ15" i="6"/>
  <c r="AQ108" i="6" s="1"/>
  <c r="AQ74" i="6"/>
  <c r="AQ44" i="6"/>
  <c r="AK107" i="6"/>
  <c r="AW15" i="6"/>
  <c r="AW168" i="6" s="1"/>
  <c r="AW74" i="6"/>
  <c r="AW44" i="6"/>
  <c r="O15" i="6"/>
  <c r="O108" i="6" s="1"/>
  <c r="O44" i="6"/>
  <c r="O74" i="6"/>
  <c r="AF138" i="6" l="1"/>
  <c r="Y138" i="6"/>
  <c r="L108" i="6"/>
  <c r="AE108" i="6"/>
  <c r="T108" i="6"/>
  <c r="AZ108" i="6"/>
  <c r="F108" i="6"/>
  <c r="AB168" i="6"/>
  <c r="AV108" i="6"/>
  <c r="I138" i="6"/>
  <c r="AN108" i="6"/>
  <c r="J168" i="6"/>
  <c r="V108" i="6"/>
  <c r="AI108" i="6"/>
  <c r="AD108" i="6"/>
  <c r="H138" i="6"/>
  <c r="AR138" i="6"/>
  <c r="N168" i="6"/>
  <c r="AY108" i="6"/>
  <c r="K168" i="6"/>
  <c r="AM108" i="6"/>
  <c r="AU108" i="6"/>
  <c r="AH168" i="6"/>
  <c r="AF168" i="6"/>
  <c r="W138" i="6"/>
  <c r="I168" i="6"/>
  <c r="AO108" i="6"/>
  <c r="O138" i="6"/>
  <c r="AQ138" i="6"/>
  <c r="M138" i="6"/>
  <c r="AA108" i="6"/>
  <c r="AC168" i="6"/>
  <c r="AS108" i="6"/>
  <c r="D108" i="6"/>
  <c r="AT108" i="6"/>
  <c r="BA168" i="6"/>
  <c r="O168" i="6"/>
  <c r="AW108" i="6"/>
  <c r="BC137" i="6"/>
  <c r="E13" i="7" s="1"/>
  <c r="BC107" i="6"/>
  <c r="F13" i="7" s="1"/>
  <c r="AM168" i="6"/>
  <c r="N108" i="6"/>
  <c r="AH108" i="6"/>
  <c r="J138" i="6"/>
  <c r="AT138" i="6"/>
  <c r="BA108" i="6"/>
  <c r="BC167" i="6"/>
  <c r="H13" i="7" s="1"/>
  <c r="AQ168" i="6"/>
  <c r="W168" i="6"/>
  <c r="K138" i="6"/>
  <c r="G16" i="6"/>
  <c r="G139" i="6" s="1"/>
  <c r="G75" i="6"/>
  <c r="G45" i="6"/>
  <c r="G169" i="6"/>
  <c r="G109" i="6"/>
  <c r="S16" i="6"/>
  <c r="S109" i="6" s="1"/>
  <c r="S75" i="6"/>
  <c r="S45" i="6"/>
  <c r="S139" i="6"/>
  <c r="E16" i="6"/>
  <c r="E169" i="6" s="1"/>
  <c r="E45" i="6"/>
  <c r="E75" i="6"/>
  <c r="E109" i="6"/>
  <c r="AL16" i="6"/>
  <c r="AL45" i="6"/>
  <c r="AL75" i="6"/>
  <c r="AL169" i="6"/>
  <c r="AL139" i="6"/>
  <c r="AL109" i="6"/>
  <c r="U16" i="6"/>
  <c r="U169" i="6" s="1"/>
  <c r="U75" i="6"/>
  <c r="U45" i="6"/>
  <c r="U139" i="6"/>
  <c r="U109" i="6"/>
  <c r="X16" i="6"/>
  <c r="X139" i="6" s="1"/>
  <c r="X75" i="6"/>
  <c r="X45" i="6"/>
  <c r="X169" i="6"/>
  <c r="AJ16" i="6"/>
  <c r="AJ169" i="6" s="1"/>
  <c r="AJ45" i="6"/>
  <c r="AJ75" i="6"/>
  <c r="AJ109" i="6"/>
  <c r="G168" i="6"/>
  <c r="AA16" i="6"/>
  <c r="AA169" i="6" s="1"/>
  <c r="AA75" i="6"/>
  <c r="AA45" i="6"/>
  <c r="B172" i="1"/>
  <c r="A171" i="1"/>
  <c r="C28" i="11"/>
  <c r="A265" i="6"/>
  <c r="B265" i="6" s="1"/>
  <c r="C172" i="1"/>
  <c r="AS16" i="6"/>
  <c r="AS169" i="6" s="1"/>
  <c r="AS75" i="6"/>
  <c r="AS45" i="6"/>
  <c r="AS139" i="6"/>
  <c r="F16" i="6"/>
  <c r="F109" i="6" s="1"/>
  <c r="F75" i="6"/>
  <c r="F45" i="6"/>
  <c r="F169" i="6"/>
  <c r="BC44" i="6"/>
  <c r="C13" i="7" s="1"/>
  <c r="AU16" i="6"/>
  <c r="AU139" i="6" s="1"/>
  <c r="AU75" i="6"/>
  <c r="AU45" i="6"/>
  <c r="AV16" i="6"/>
  <c r="AV109" i="6" s="1"/>
  <c r="AV75" i="6"/>
  <c r="AV45" i="6"/>
  <c r="AY16" i="6"/>
  <c r="AY139" i="6" s="1"/>
  <c r="AY45" i="6"/>
  <c r="AY75" i="6"/>
  <c r="Z16" i="6"/>
  <c r="Z109" i="6" s="1"/>
  <c r="Z75" i="6"/>
  <c r="Z45" i="6"/>
  <c r="L16" i="6"/>
  <c r="L139" i="6" s="1"/>
  <c r="L75" i="6"/>
  <c r="L45" i="6"/>
  <c r="AN16" i="6"/>
  <c r="AN109" i="6" s="1"/>
  <c r="AN75" i="6"/>
  <c r="AN45" i="6"/>
  <c r="V16" i="6"/>
  <c r="V139" i="6" s="1"/>
  <c r="V75" i="6"/>
  <c r="V45" i="6"/>
  <c r="S168" i="6"/>
  <c r="E168" i="6"/>
  <c r="AL138" i="6"/>
  <c r="H16" i="6"/>
  <c r="H169" i="6" s="1"/>
  <c r="H45" i="6"/>
  <c r="H75" i="6"/>
  <c r="H109" i="6"/>
  <c r="AO16" i="6"/>
  <c r="AO75" i="6"/>
  <c r="AO45" i="6"/>
  <c r="AO169" i="6"/>
  <c r="AO139" i="6"/>
  <c r="AO109" i="6"/>
  <c r="AR16" i="6"/>
  <c r="AR169" i="6" s="1"/>
  <c r="AR45" i="6"/>
  <c r="AR75" i="6"/>
  <c r="AR139" i="6"/>
  <c r="AR109" i="6"/>
  <c r="P16" i="6"/>
  <c r="P139" i="6" s="1"/>
  <c r="P75" i="6"/>
  <c r="P45" i="6"/>
  <c r="U138" i="6"/>
  <c r="X138" i="6"/>
  <c r="AJ138" i="6"/>
  <c r="O16" i="6"/>
  <c r="O109" i="6" s="1"/>
  <c r="O75" i="6"/>
  <c r="O45" i="6"/>
  <c r="AG16" i="6"/>
  <c r="AG169" i="6" s="1"/>
  <c r="AG45" i="6"/>
  <c r="AG75" i="6"/>
  <c r="U168" i="6"/>
  <c r="X168" i="6"/>
  <c r="AJ168" i="6"/>
  <c r="AZ16" i="6"/>
  <c r="AZ139" i="6" s="1"/>
  <c r="AZ45" i="6"/>
  <c r="AZ75" i="6"/>
  <c r="AA168" i="6"/>
  <c r="D45" i="11"/>
  <c r="C282" i="6"/>
  <c r="AS168" i="6"/>
  <c r="F138" i="6"/>
  <c r="D16" i="6"/>
  <c r="D139" i="6" s="1"/>
  <c r="D75" i="6"/>
  <c r="D45" i="6"/>
  <c r="Q16" i="6"/>
  <c r="Q109" i="6" s="1"/>
  <c r="Q45" i="6"/>
  <c r="Q75" i="6"/>
  <c r="AB16" i="6"/>
  <c r="AB139" i="6" s="1"/>
  <c r="AB75" i="6"/>
  <c r="AB45" i="6"/>
  <c r="N16" i="6"/>
  <c r="N109" i="6" s="1"/>
  <c r="N75" i="6"/>
  <c r="N45" i="6"/>
  <c r="AU168" i="6"/>
  <c r="AV168" i="6"/>
  <c r="AY168" i="6"/>
  <c r="B17" i="7"/>
  <c r="A17" i="6"/>
  <c r="Z138" i="6"/>
  <c r="AK16" i="6"/>
  <c r="AK109" i="6" s="1"/>
  <c r="AK45" i="6"/>
  <c r="AK75" i="6"/>
  <c r="L138" i="6"/>
  <c r="AN168" i="6"/>
  <c r="V138" i="6"/>
  <c r="G12" i="7"/>
  <c r="I12" i="7" s="1"/>
  <c r="AI16" i="6"/>
  <c r="AI169" i="6" s="1"/>
  <c r="AI45" i="6"/>
  <c r="AI75" i="6"/>
  <c r="AD16" i="6"/>
  <c r="AD109" i="6" s="1"/>
  <c r="AD45" i="6"/>
  <c r="AD75" i="6"/>
  <c r="BA75" i="6"/>
  <c r="BA16" i="6"/>
  <c r="BA169" i="6" s="1"/>
  <c r="BA45" i="6"/>
  <c r="AW16" i="6"/>
  <c r="AW109" i="6" s="1"/>
  <c r="AW75" i="6"/>
  <c r="AW45" i="6"/>
  <c r="B190" i="1"/>
  <c r="A283" i="6"/>
  <c r="B283" i="6" s="1"/>
  <c r="A191" i="1"/>
  <c r="C46" i="11"/>
  <c r="C190" i="1"/>
  <c r="P168" i="6"/>
  <c r="AW138" i="6"/>
  <c r="AQ16" i="6"/>
  <c r="AQ169" i="6" s="1"/>
  <c r="AQ45" i="6"/>
  <c r="AQ75" i="6"/>
  <c r="AO138" i="6"/>
  <c r="AF16" i="6"/>
  <c r="AF109" i="6" s="1"/>
  <c r="AF45" i="6"/>
  <c r="AF75" i="6"/>
  <c r="W16" i="6"/>
  <c r="W139" i="6" s="1"/>
  <c r="W75" i="6"/>
  <c r="W45" i="6"/>
  <c r="G108" i="6"/>
  <c r="M16" i="6"/>
  <c r="M169" i="6" s="1"/>
  <c r="M75" i="6"/>
  <c r="M45" i="6"/>
  <c r="M139" i="6"/>
  <c r="AX16" i="6"/>
  <c r="AX109" i="6" s="1"/>
  <c r="AX45" i="6"/>
  <c r="AX75" i="6"/>
  <c r="AX139" i="6"/>
  <c r="C266" i="6"/>
  <c r="D29" i="11"/>
  <c r="K16" i="6"/>
  <c r="K109" i="6" s="1"/>
  <c r="K75" i="6"/>
  <c r="K45" i="6"/>
  <c r="AR108" i="6"/>
  <c r="AC16" i="6"/>
  <c r="AC139" i="6" s="1"/>
  <c r="AC75" i="6"/>
  <c r="AC45" i="6"/>
  <c r="R16" i="6"/>
  <c r="R109" i="6" s="1"/>
  <c r="R75" i="6"/>
  <c r="R45" i="6"/>
  <c r="AM16" i="6"/>
  <c r="AM139" i="6" s="1"/>
  <c r="AM75" i="6"/>
  <c r="AM45" i="6"/>
  <c r="BC74" i="6"/>
  <c r="D13" i="7" s="1"/>
  <c r="P108" i="6"/>
  <c r="Y16" i="6"/>
  <c r="Y169" i="6" s="1"/>
  <c r="Y45" i="6"/>
  <c r="Y75" i="6"/>
  <c r="AH16" i="6"/>
  <c r="AH109" i="6" s="1"/>
  <c r="AH75" i="6"/>
  <c r="AH45" i="6"/>
  <c r="I16" i="6"/>
  <c r="I169" i="6" s="1"/>
  <c r="I45" i="6"/>
  <c r="I75" i="6"/>
  <c r="AP16" i="6"/>
  <c r="AP109" i="6" s="1"/>
  <c r="AP75" i="6"/>
  <c r="AP45" i="6"/>
  <c r="AK138" i="6"/>
  <c r="AE16" i="6"/>
  <c r="AE109" i="6" s="1"/>
  <c r="AE45" i="6"/>
  <c r="AE75" i="6"/>
  <c r="T16" i="6"/>
  <c r="T139" i="6" s="1"/>
  <c r="T75" i="6"/>
  <c r="T45" i="6"/>
  <c r="J16" i="6"/>
  <c r="J139" i="6" s="1"/>
  <c r="J75" i="6"/>
  <c r="J45" i="6"/>
  <c r="S108" i="6"/>
  <c r="AI168" i="6"/>
  <c r="E108" i="6"/>
  <c r="AT16" i="6"/>
  <c r="AT169" i="6" s="1"/>
  <c r="AT75" i="6"/>
  <c r="AT45" i="6"/>
  <c r="AD138" i="6"/>
  <c r="AL108" i="6"/>
  <c r="BC138" i="6" l="1"/>
  <c r="E14" i="7" s="1"/>
  <c r="H139" i="6"/>
  <c r="AJ139" i="6"/>
  <c r="X109" i="6"/>
  <c r="S169" i="6"/>
  <c r="AS109" i="6"/>
  <c r="E139" i="6"/>
  <c r="R139" i="6"/>
  <c r="AF169" i="6"/>
  <c r="AW139" i="6"/>
  <c r="O139" i="6"/>
  <c r="K139" i="6"/>
  <c r="AQ109" i="6"/>
  <c r="BA139" i="6"/>
  <c r="BA109" i="6"/>
  <c r="AG139" i="6"/>
  <c r="F139" i="6"/>
  <c r="AE139" i="6"/>
  <c r="AP139" i="6"/>
  <c r="I139" i="6"/>
  <c r="AH139" i="6"/>
  <c r="Y139" i="6"/>
  <c r="AT109" i="6"/>
  <c r="BC168" i="6"/>
  <c r="H14" i="7" s="1"/>
  <c r="AT139" i="6"/>
  <c r="AP169" i="6"/>
  <c r="I109" i="6"/>
  <c r="AH169" i="6"/>
  <c r="Y109" i="6"/>
  <c r="K169" i="6"/>
  <c r="AX169" i="6"/>
  <c r="M109" i="6"/>
  <c r="AQ139" i="6"/>
  <c r="N169" i="6"/>
  <c r="Q169" i="6"/>
  <c r="AG109" i="6"/>
  <c r="O169" i="6"/>
  <c r="AN139" i="6"/>
  <c r="Z169" i="6"/>
  <c r="AV139" i="6"/>
  <c r="BC108" i="6"/>
  <c r="F14" i="7" s="1"/>
  <c r="AD139" i="6"/>
  <c r="AK139" i="6"/>
  <c r="AC17" i="6"/>
  <c r="AC110" i="6" s="1"/>
  <c r="AC46" i="6"/>
  <c r="AC76" i="6"/>
  <c r="W17" i="6"/>
  <c r="W110" i="6" s="1"/>
  <c r="W76" i="6"/>
  <c r="W46" i="6"/>
  <c r="AI17" i="6"/>
  <c r="AI110" i="6" s="1"/>
  <c r="AI76" i="6"/>
  <c r="AI46" i="6"/>
  <c r="AB17" i="6"/>
  <c r="AB110" i="6" s="1"/>
  <c r="AB76" i="6"/>
  <c r="AB46" i="6"/>
  <c r="D76" i="6"/>
  <c r="D17" i="6"/>
  <c r="D110" i="6" s="1"/>
  <c r="D46" i="6"/>
  <c r="AZ17" i="6"/>
  <c r="AZ170" i="6" s="1"/>
  <c r="AZ46" i="6"/>
  <c r="AZ76" i="6"/>
  <c r="P17" i="6"/>
  <c r="P110" i="6" s="1"/>
  <c r="P76" i="6"/>
  <c r="P46" i="6"/>
  <c r="V17" i="6"/>
  <c r="V170" i="6" s="1"/>
  <c r="V76" i="6"/>
  <c r="V46" i="6"/>
  <c r="L17" i="6"/>
  <c r="L110" i="6" s="1"/>
  <c r="L76" i="6"/>
  <c r="L46" i="6"/>
  <c r="AY17" i="6"/>
  <c r="AY170" i="6" s="1"/>
  <c r="AY76" i="6"/>
  <c r="AY46" i="6"/>
  <c r="AU17" i="6"/>
  <c r="AU110" i="6" s="1"/>
  <c r="AU76" i="6"/>
  <c r="AU46" i="6"/>
  <c r="AA17" i="6"/>
  <c r="AA170" i="6" s="1"/>
  <c r="AA76" i="6"/>
  <c r="AA46" i="6"/>
  <c r="J17" i="6"/>
  <c r="J110" i="6" s="1"/>
  <c r="J46" i="6"/>
  <c r="J76" i="6"/>
  <c r="T17" i="6"/>
  <c r="T140" i="6" s="1"/>
  <c r="T76" i="6"/>
  <c r="T46" i="6"/>
  <c r="AM17" i="6"/>
  <c r="AM110" i="6" s="1"/>
  <c r="AM76" i="6"/>
  <c r="AM46" i="6"/>
  <c r="D46" i="11"/>
  <c r="C283" i="6"/>
  <c r="AT17" i="6"/>
  <c r="AT110" i="6" s="1"/>
  <c r="AT46" i="6"/>
  <c r="AT76" i="6"/>
  <c r="AT140" i="6"/>
  <c r="J109" i="6"/>
  <c r="T169" i="6"/>
  <c r="AP17" i="6"/>
  <c r="AP110" i="6" s="1"/>
  <c r="AP76" i="6"/>
  <c r="AP46" i="6"/>
  <c r="AH17" i="6"/>
  <c r="AH140" i="6" s="1"/>
  <c r="AH76" i="6"/>
  <c r="AH46" i="6"/>
  <c r="AM169" i="6"/>
  <c r="AC169" i="6"/>
  <c r="M17" i="6"/>
  <c r="M140" i="6" s="1"/>
  <c r="M76" i="6"/>
  <c r="M46" i="6"/>
  <c r="M170" i="6"/>
  <c r="W169" i="6"/>
  <c r="AQ17" i="6"/>
  <c r="AQ110" i="6" s="1"/>
  <c r="AQ76" i="6"/>
  <c r="AQ46" i="6"/>
  <c r="AI139" i="6"/>
  <c r="A18" i="6"/>
  <c r="B18" i="7"/>
  <c r="AB169" i="6"/>
  <c r="D169" i="6"/>
  <c r="AZ169" i="6"/>
  <c r="AG17" i="6"/>
  <c r="AG110" i="6" s="1"/>
  <c r="AG46" i="6"/>
  <c r="AG76" i="6"/>
  <c r="P169" i="6"/>
  <c r="AO17" i="6"/>
  <c r="AO170" i="6" s="1"/>
  <c r="AO46" i="6"/>
  <c r="AO76" i="6"/>
  <c r="V169" i="6"/>
  <c r="L169" i="6"/>
  <c r="AY169" i="6"/>
  <c r="AU169" i="6"/>
  <c r="G13" i="7"/>
  <c r="I13" i="7" s="1"/>
  <c r="AS17" i="6"/>
  <c r="AS110" i="6" s="1"/>
  <c r="AS76" i="6"/>
  <c r="AS46" i="6"/>
  <c r="C27" i="11"/>
  <c r="A264" i="6"/>
  <c r="B171" i="1"/>
  <c r="C171" i="1"/>
  <c r="AA139" i="6"/>
  <c r="X17" i="6"/>
  <c r="X110" i="6" s="1"/>
  <c r="X46" i="6"/>
  <c r="X76" i="6"/>
  <c r="X140" i="6"/>
  <c r="AL17" i="6"/>
  <c r="AL170" i="6" s="1"/>
  <c r="AL76" i="6"/>
  <c r="AL46" i="6"/>
  <c r="AL140" i="6"/>
  <c r="AL110" i="6"/>
  <c r="S17" i="6"/>
  <c r="S110" i="6" s="1"/>
  <c r="S76" i="6"/>
  <c r="S46" i="6"/>
  <c r="S170" i="6"/>
  <c r="AE17" i="6"/>
  <c r="AE170" i="6" s="1"/>
  <c r="AE76" i="6"/>
  <c r="AE46" i="6"/>
  <c r="AE140" i="6"/>
  <c r="AE110" i="6"/>
  <c r="R17" i="6"/>
  <c r="R110" i="6" s="1"/>
  <c r="R76" i="6"/>
  <c r="R46" i="6"/>
  <c r="R170" i="6"/>
  <c r="AF17" i="6"/>
  <c r="AF170" i="6" s="1"/>
  <c r="AF76" i="6"/>
  <c r="AF46" i="6"/>
  <c r="AF140" i="6"/>
  <c r="AF110" i="6"/>
  <c r="C47" i="11"/>
  <c r="C191" i="1"/>
  <c r="B191" i="1"/>
  <c r="A284" i="6"/>
  <c r="B284" i="6" s="1"/>
  <c r="AW17" i="6"/>
  <c r="AW110" i="6" s="1"/>
  <c r="AW76" i="6"/>
  <c r="AW46" i="6"/>
  <c r="AW140" i="6"/>
  <c r="AD17" i="6"/>
  <c r="AD170" i="6" s="1"/>
  <c r="AD76" i="6"/>
  <c r="AD46" i="6"/>
  <c r="AD140" i="6"/>
  <c r="AD110" i="6"/>
  <c r="AK17" i="6"/>
  <c r="AK110" i="6" s="1"/>
  <c r="AK46" i="6"/>
  <c r="AK76" i="6"/>
  <c r="AK170" i="6"/>
  <c r="N17" i="6"/>
  <c r="N170" i="6" s="1"/>
  <c r="N76" i="6"/>
  <c r="N46" i="6"/>
  <c r="N140" i="6"/>
  <c r="N110" i="6"/>
  <c r="Q17" i="6"/>
  <c r="Q110" i="6" s="1"/>
  <c r="Q46" i="6"/>
  <c r="Q76" i="6"/>
  <c r="Q170" i="6"/>
  <c r="BC45" i="6"/>
  <c r="C14" i="7" s="1"/>
  <c r="AN17" i="6"/>
  <c r="AN110" i="6" s="1"/>
  <c r="AN76" i="6"/>
  <c r="AN46" i="6"/>
  <c r="Z17" i="6"/>
  <c r="Z140" i="6" s="1"/>
  <c r="Z76" i="6"/>
  <c r="Z46" i="6"/>
  <c r="AV17" i="6"/>
  <c r="AV110" i="6" s="1"/>
  <c r="AV46" i="6"/>
  <c r="AV76" i="6"/>
  <c r="D28" i="11"/>
  <c r="C265" i="6"/>
  <c r="J169" i="6"/>
  <c r="T109" i="6"/>
  <c r="AE169" i="6"/>
  <c r="I17" i="6"/>
  <c r="I170" i="6" s="1"/>
  <c r="I46" i="6"/>
  <c r="I76" i="6"/>
  <c r="I140" i="6"/>
  <c r="Y17" i="6"/>
  <c r="Y110" i="6" s="1"/>
  <c r="Y46" i="6"/>
  <c r="Y76" i="6"/>
  <c r="Y170" i="6"/>
  <c r="AM109" i="6"/>
  <c r="R169" i="6"/>
  <c r="AC109" i="6"/>
  <c r="K17" i="6"/>
  <c r="K110" i="6" s="1"/>
  <c r="K46" i="6"/>
  <c r="K76" i="6"/>
  <c r="AX17" i="6"/>
  <c r="AX110" i="6" s="1"/>
  <c r="AX76" i="6"/>
  <c r="AX46" i="6"/>
  <c r="W109" i="6"/>
  <c r="AF139" i="6"/>
  <c r="AW169" i="6"/>
  <c r="BA17" i="6"/>
  <c r="BA140" i="6" s="1"/>
  <c r="BA76" i="6"/>
  <c r="BA46" i="6"/>
  <c r="BA170" i="6"/>
  <c r="AD169" i="6"/>
  <c r="AI109" i="6"/>
  <c r="AK169" i="6"/>
  <c r="N139" i="6"/>
  <c r="AB109" i="6"/>
  <c r="Q139" i="6"/>
  <c r="D109" i="6"/>
  <c r="BC75" i="6"/>
  <c r="D14" i="7" s="1"/>
  <c r="AZ109" i="6"/>
  <c r="O17" i="6"/>
  <c r="O110" i="6" s="1"/>
  <c r="O46" i="6"/>
  <c r="O76" i="6"/>
  <c r="P109" i="6"/>
  <c r="AR17" i="6"/>
  <c r="AR170" i="6" s="1"/>
  <c r="AR76" i="6"/>
  <c r="AR46" i="6"/>
  <c r="AR140" i="6"/>
  <c r="AR110" i="6"/>
  <c r="H17" i="6"/>
  <c r="H110" i="6" s="1"/>
  <c r="H46" i="6"/>
  <c r="H76" i="6"/>
  <c r="H170" i="6"/>
  <c r="V109" i="6"/>
  <c r="AN169" i="6"/>
  <c r="L109" i="6"/>
  <c r="Z139" i="6"/>
  <c r="AY109" i="6"/>
  <c r="AV169" i="6"/>
  <c r="AU109" i="6"/>
  <c r="F17" i="6"/>
  <c r="F140" i="6" s="1"/>
  <c r="F46" i="6"/>
  <c r="F76" i="6"/>
  <c r="AA109" i="6"/>
  <c r="AJ17" i="6"/>
  <c r="AJ170" i="6" s="1"/>
  <c r="AJ76" i="6"/>
  <c r="AJ46" i="6"/>
  <c r="U17" i="6"/>
  <c r="U110" i="6" s="1"/>
  <c r="U76" i="6"/>
  <c r="U46" i="6"/>
  <c r="E17" i="6"/>
  <c r="E140" i="6" s="1"/>
  <c r="E46" i="6"/>
  <c r="E76" i="6"/>
  <c r="G17" i="6"/>
  <c r="G110" i="6" s="1"/>
  <c r="G76" i="6"/>
  <c r="G46" i="6"/>
  <c r="H140" i="6" l="1"/>
  <c r="Q140" i="6"/>
  <c r="AK140" i="6"/>
  <c r="R140" i="6"/>
  <c r="X170" i="6"/>
  <c r="AO140" i="6"/>
  <c r="AH170" i="6"/>
  <c r="AP140" i="6"/>
  <c r="AM140" i="6"/>
  <c r="T170" i="6"/>
  <c r="J140" i="6"/>
  <c r="AA140" i="6"/>
  <c r="AU140" i="6"/>
  <c r="AY110" i="6"/>
  <c r="L140" i="6"/>
  <c r="V140" i="6"/>
  <c r="P140" i="6"/>
  <c r="AZ110" i="6"/>
  <c r="AW170" i="6"/>
  <c r="S140" i="6"/>
  <c r="D140" i="6"/>
  <c r="G140" i="6"/>
  <c r="E170" i="6"/>
  <c r="U140" i="6"/>
  <c r="AJ140" i="6"/>
  <c r="BA110" i="6"/>
  <c r="Y140" i="6"/>
  <c r="I110" i="6"/>
  <c r="AO110" i="6"/>
  <c r="M110" i="6"/>
  <c r="AH110" i="6"/>
  <c r="AP170" i="6"/>
  <c r="AT170" i="6"/>
  <c r="AM170" i="6"/>
  <c r="T110" i="6"/>
  <c r="J170" i="6"/>
  <c r="AA110" i="6"/>
  <c r="AU170" i="6"/>
  <c r="AY140" i="6"/>
  <c r="L170" i="6"/>
  <c r="V110" i="6"/>
  <c r="P170" i="6"/>
  <c r="AZ140" i="6"/>
  <c r="BC139" i="6"/>
  <c r="E15" i="7" s="1"/>
  <c r="G170" i="6"/>
  <c r="E110" i="6"/>
  <c r="U170" i="6"/>
  <c r="AJ110" i="6"/>
  <c r="AX140" i="6"/>
  <c r="K140" i="6"/>
  <c r="AV140" i="6"/>
  <c r="AN140" i="6"/>
  <c r="AS140" i="6"/>
  <c r="AG140" i="6"/>
  <c r="O140" i="6"/>
  <c r="AQ140" i="6"/>
  <c r="AB140" i="6"/>
  <c r="AI170" i="6"/>
  <c r="W170" i="6"/>
  <c r="AC170" i="6"/>
  <c r="Z18" i="6"/>
  <c r="Z77" i="6"/>
  <c r="Z47" i="6"/>
  <c r="Z141" i="6"/>
  <c r="Z171" i="6"/>
  <c r="Z111" i="6"/>
  <c r="D27" i="11"/>
  <c r="C264" i="6"/>
  <c r="E18" i="6"/>
  <c r="E77" i="6"/>
  <c r="E47" i="6"/>
  <c r="E171" i="6"/>
  <c r="E141" i="6"/>
  <c r="E111" i="6"/>
  <c r="AJ18" i="6"/>
  <c r="AJ111" i="6" s="1"/>
  <c r="AJ47" i="6"/>
  <c r="AJ77" i="6"/>
  <c r="F170" i="6"/>
  <c r="H18" i="6"/>
  <c r="H111" i="6" s="1"/>
  <c r="H47" i="6"/>
  <c r="H77" i="6"/>
  <c r="BC109" i="6"/>
  <c r="F15" i="7" s="1"/>
  <c r="BA18" i="6"/>
  <c r="BA111" i="6" s="1"/>
  <c r="BA77" i="6"/>
  <c r="BA47" i="6"/>
  <c r="BA171" i="6"/>
  <c r="K170" i="6"/>
  <c r="Y18" i="6"/>
  <c r="Y47" i="6"/>
  <c r="Y77" i="6"/>
  <c r="Z170" i="6"/>
  <c r="Q18" i="6"/>
  <c r="Q111" i="6" s="1"/>
  <c r="Q77" i="6"/>
  <c r="Q47" i="6"/>
  <c r="AK18" i="6"/>
  <c r="AK141" i="6" s="1"/>
  <c r="AK47" i="6"/>
  <c r="AK77" i="6"/>
  <c r="AK111" i="6"/>
  <c r="AW18" i="6"/>
  <c r="AW111" i="6" s="1"/>
  <c r="AW47" i="6"/>
  <c r="AW77" i="6"/>
  <c r="R18" i="6"/>
  <c r="R171" i="6" s="1"/>
  <c r="R77" i="6"/>
  <c r="R47" i="6"/>
  <c r="S18" i="6"/>
  <c r="S111" i="6" s="1"/>
  <c r="S77" i="6"/>
  <c r="S47" i="6"/>
  <c r="X18" i="6"/>
  <c r="X141" i="6" s="1"/>
  <c r="X47" i="6"/>
  <c r="X77" i="6"/>
  <c r="X111" i="6"/>
  <c r="B264" i="6"/>
  <c r="AS170" i="6"/>
  <c r="M18" i="6"/>
  <c r="M141" i="6" s="1"/>
  <c r="M77" i="6"/>
  <c r="M47" i="6"/>
  <c r="AH18" i="6"/>
  <c r="AH171" i="6" s="1"/>
  <c r="AH77" i="6"/>
  <c r="AH47" i="6"/>
  <c r="T18" i="6"/>
  <c r="T171" i="6" s="1"/>
  <c r="T77" i="6"/>
  <c r="T47" i="6"/>
  <c r="AA18" i="6"/>
  <c r="AA77" i="6"/>
  <c r="AA47" i="6"/>
  <c r="AY18" i="6"/>
  <c r="AY111" i="6" s="1"/>
  <c r="AY77" i="6"/>
  <c r="AY47" i="6"/>
  <c r="AY141" i="6"/>
  <c r="V18" i="6"/>
  <c r="V141" i="6" s="1"/>
  <c r="V77" i="6"/>
  <c r="V47" i="6"/>
  <c r="AZ18" i="6"/>
  <c r="AZ141" i="6" s="1"/>
  <c r="AZ77" i="6"/>
  <c r="AZ47" i="6"/>
  <c r="BC46" i="6"/>
  <c r="C15" i="7" s="1"/>
  <c r="AI140" i="6"/>
  <c r="AC140" i="6"/>
  <c r="O18" i="6"/>
  <c r="O111" i="6" s="1"/>
  <c r="O77" i="6"/>
  <c r="O47" i="6"/>
  <c r="AX18" i="6"/>
  <c r="AX141" i="6" s="1"/>
  <c r="AX77" i="6"/>
  <c r="AX47" i="6"/>
  <c r="AV18" i="6"/>
  <c r="AV111" i="6" s="1"/>
  <c r="AV47" i="6"/>
  <c r="AV77" i="6"/>
  <c r="AN18" i="6"/>
  <c r="AN171" i="6" s="1"/>
  <c r="AN47" i="6"/>
  <c r="AN77" i="6"/>
  <c r="AG18" i="6"/>
  <c r="AG171" i="6" s="1"/>
  <c r="AG77" i="6"/>
  <c r="AG47" i="6"/>
  <c r="AG111" i="6"/>
  <c r="A19" i="6"/>
  <c r="B19" i="7"/>
  <c r="AQ18" i="6"/>
  <c r="AQ141" i="6" s="1"/>
  <c r="AQ77" i="6"/>
  <c r="AQ47" i="6"/>
  <c r="D77" i="6"/>
  <c r="D18" i="6"/>
  <c r="D111" i="6" s="1"/>
  <c r="D47" i="6"/>
  <c r="AB18" i="6"/>
  <c r="AB47" i="6"/>
  <c r="AB77" i="6"/>
  <c r="W18" i="6"/>
  <c r="W111" i="6" s="1"/>
  <c r="W77" i="6"/>
  <c r="W47" i="6"/>
  <c r="F18" i="6"/>
  <c r="F171" i="6" s="1"/>
  <c r="F77" i="6"/>
  <c r="F47" i="6"/>
  <c r="G18" i="6"/>
  <c r="G171" i="6" s="1"/>
  <c r="G77" i="6"/>
  <c r="G47" i="6"/>
  <c r="U18" i="6"/>
  <c r="U141" i="6" s="1"/>
  <c r="U47" i="6"/>
  <c r="U77" i="6"/>
  <c r="F110" i="6"/>
  <c r="AR18" i="6"/>
  <c r="AR141" i="6" s="1"/>
  <c r="AR47" i="6"/>
  <c r="AR77" i="6"/>
  <c r="O170" i="6"/>
  <c r="AX170" i="6"/>
  <c r="I18" i="6"/>
  <c r="I171" i="6" s="1"/>
  <c r="I77" i="6"/>
  <c r="I47" i="6"/>
  <c r="AV170" i="6"/>
  <c r="Z110" i="6"/>
  <c r="AN170" i="6"/>
  <c r="G14" i="7"/>
  <c r="I14" i="7" s="1"/>
  <c r="N18" i="6"/>
  <c r="N171" i="6" s="1"/>
  <c r="N47" i="6"/>
  <c r="N77" i="6"/>
  <c r="N141" i="6"/>
  <c r="N111" i="6"/>
  <c r="AD18" i="6"/>
  <c r="AD111" i="6" s="1"/>
  <c r="AD47" i="6"/>
  <c r="AD77" i="6"/>
  <c r="C284" i="6"/>
  <c r="D47" i="11"/>
  <c r="AF18" i="6"/>
  <c r="AF141" i="6" s="1"/>
  <c r="AF47" i="6"/>
  <c r="AF77" i="6"/>
  <c r="AE18" i="6"/>
  <c r="AE141" i="6" s="1"/>
  <c r="AE77" i="6"/>
  <c r="AE47" i="6"/>
  <c r="AL18" i="6"/>
  <c r="AL111" i="6" s="1"/>
  <c r="AL47" i="6"/>
  <c r="AL77" i="6"/>
  <c r="AO18" i="6"/>
  <c r="AO171" i="6" s="1"/>
  <c r="AO47" i="6"/>
  <c r="AO77" i="6"/>
  <c r="AO111" i="6"/>
  <c r="AG170" i="6"/>
  <c r="AQ170" i="6"/>
  <c r="AP18" i="6"/>
  <c r="AP171" i="6" s="1"/>
  <c r="AP47" i="6"/>
  <c r="AP77" i="6"/>
  <c r="AP141" i="6"/>
  <c r="AP111" i="6"/>
  <c r="AT18" i="6"/>
  <c r="AT141" i="6" s="1"/>
  <c r="AT47" i="6"/>
  <c r="AT77" i="6"/>
  <c r="AM18" i="6"/>
  <c r="AM111" i="6" s="1"/>
  <c r="AM77" i="6"/>
  <c r="AM47" i="6"/>
  <c r="J18" i="6"/>
  <c r="J141" i="6" s="1"/>
  <c r="J77" i="6"/>
  <c r="J47" i="6"/>
  <c r="AU18" i="6"/>
  <c r="AU171" i="6" s="1"/>
  <c r="AU77" i="6"/>
  <c r="AU47" i="6"/>
  <c r="AU111" i="6"/>
  <c r="L18" i="6"/>
  <c r="L171" i="6" s="1"/>
  <c r="L47" i="6"/>
  <c r="L77" i="6"/>
  <c r="P18" i="6"/>
  <c r="P111" i="6" s="1"/>
  <c r="P47" i="6"/>
  <c r="P77" i="6"/>
  <c r="D170" i="6"/>
  <c r="BC76" i="6"/>
  <c r="D15" i="7" s="1"/>
  <c r="AB170" i="6"/>
  <c r="W140" i="6"/>
  <c r="K18" i="6"/>
  <c r="K171" i="6" s="1"/>
  <c r="K77" i="6"/>
  <c r="K47" i="6"/>
  <c r="AS18" i="6"/>
  <c r="AS171" i="6" s="1"/>
  <c r="AS47" i="6"/>
  <c r="AS77" i="6"/>
  <c r="BC169" i="6"/>
  <c r="H15" i="7" s="1"/>
  <c r="AI18" i="6"/>
  <c r="AI171" i="6" s="1"/>
  <c r="AI77" i="6"/>
  <c r="AI47" i="6"/>
  <c r="AI141" i="6"/>
  <c r="AI111" i="6"/>
  <c r="AC18" i="6"/>
  <c r="AC111" i="6" s="1"/>
  <c r="AC47" i="6"/>
  <c r="AC77" i="6"/>
  <c r="AO141" i="6" l="1"/>
  <c r="AR111" i="6"/>
  <c r="AS141" i="6"/>
  <c r="AN111" i="6"/>
  <c r="AV141" i="6"/>
  <c r="R111" i="6"/>
  <c r="AT111" i="6"/>
  <c r="S141" i="6"/>
  <c r="BA141" i="6"/>
  <c r="AU141" i="6"/>
  <c r="I111" i="6"/>
  <c r="M111" i="6"/>
  <c r="R141" i="6"/>
  <c r="AW141" i="6"/>
  <c r="H141" i="6"/>
  <c r="BC140" i="6"/>
  <c r="E16" i="7" s="1"/>
  <c r="AM141" i="6"/>
  <c r="BC110" i="6"/>
  <c r="F16" i="7" s="1"/>
  <c r="AQ111" i="6"/>
  <c r="AZ111" i="6"/>
  <c r="X171" i="6"/>
  <c r="AS111" i="6"/>
  <c r="K111" i="6"/>
  <c r="P141" i="6"/>
  <c r="AE111" i="6"/>
  <c r="AF111" i="6"/>
  <c r="T111" i="6"/>
  <c r="AK171" i="6"/>
  <c r="G111" i="6"/>
  <c r="Q141" i="6"/>
  <c r="W141" i="6"/>
  <c r="AW171" i="6"/>
  <c r="AE171" i="6"/>
  <c r="AD171" i="6"/>
  <c r="AN141" i="6"/>
  <c r="O171" i="6"/>
  <c r="V171" i="6"/>
  <c r="H171" i="6"/>
  <c r="AX111" i="6"/>
  <c r="B260" i="6" a="1"/>
  <c r="C260" i="6" s="1"/>
  <c r="C164" i="1" s="1"/>
  <c r="D23" i="11" s="1"/>
  <c r="AJ141" i="6"/>
  <c r="P171" i="6"/>
  <c r="L111" i="6"/>
  <c r="AM171" i="6"/>
  <c r="AX171" i="6"/>
  <c r="S171" i="6"/>
  <c r="Q171" i="6"/>
  <c r="AJ171" i="6"/>
  <c r="J111" i="6"/>
  <c r="AF171" i="6"/>
  <c r="AB19" i="6"/>
  <c r="AB142" i="6" s="1"/>
  <c r="AB48" i="6"/>
  <c r="AB78" i="6"/>
  <c r="G15" i="7"/>
  <c r="I15" i="7" s="1"/>
  <c r="AA19" i="6"/>
  <c r="AA142" i="6" s="1"/>
  <c r="AA78" i="6"/>
  <c r="AA48" i="6"/>
  <c r="AH141" i="6"/>
  <c r="Y19" i="6"/>
  <c r="Y142" i="6" s="1"/>
  <c r="Y78" i="6"/>
  <c r="Y48" i="6"/>
  <c r="AC19" i="6"/>
  <c r="AC142" i="6" s="1"/>
  <c r="AC78" i="6"/>
  <c r="AC48" i="6"/>
  <c r="K19" i="6"/>
  <c r="K142" i="6" s="1"/>
  <c r="K48" i="6"/>
  <c r="K78" i="6"/>
  <c r="L141" i="6"/>
  <c r="J171" i="6"/>
  <c r="AL19" i="6"/>
  <c r="AL48" i="6"/>
  <c r="AL78" i="6"/>
  <c r="AL142" i="6"/>
  <c r="AL112" i="6"/>
  <c r="AD19" i="6"/>
  <c r="AD172" i="6" s="1"/>
  <c r="AD78" i="6"/>
  <c r="AD48" i="6"/>
  <c r="I19" i="6"/>
  <c r="I142" i="6" s="1"/>
  <c r="I48" i="6"/>
  <c r="I78" i="6"/>
  <c r="I112" i="6"/>
  <c r="AR19" i="6"/>
  <c r="AR172" i="6" s="1"/>
  <c r="AR78" i="6"/>
  <c r="AR48" i="6"/>
  <c r="AR142" i="6"/>
  <c r="U171" i="6"/>
  <c r="AB171" i="6"/>
  <c r="D19" i="6"/>
  <c r="D142" i="6" s="1"/>
  <c r="D78" i="6"/>
  <c r="D48" i="6"/>
  <c r="D172" i="6"/>
  <c r="D112" i="6"/>
  <c r="AQ19" i="6"/>
  <c r="AQ112" i="6" s="1"/>
  <c r="AQ48" i="6"/>
  <c r="AQ78" i="6"/>
  <c r="AQ142" i="6"/>
  <c r="AG19" i="6"/>
  <c r="AG112" i="6" s="1"/>
  <c r="AG78" i="6"/>
  <c r="AG48" i="6"/>
  <c r="AG142" i="6"/>
  <c r="AG172" i="6"/>
  <c r="AV19" i="6"/>
  <c r="AV112" i="6" s="1"/>
  <c r="AV48" i="6"/>
  <c r="AV78" i="6"/>
  <c r="O19" i="6"/>
  <c r="O172" i="6" s="1"/>
  <c r="O48" i="6"/>
  <c r="O78" i="6"/>
  <c r="O142" i="6"/>
  <c r="O112" i="6"/>
  <c r="AA171" i="6"/>
  <c r="S19" i="6"/>
  <c r="S172" i="6" s="1"/>
  <c r="S78" i="6"/>
  <c r="S48" i="6"/>
  <c r="AW19" i="6"/>
  <c r="AW142" i="6" s="1"/>
  <c r="AW78" i="6"/>
  <c r="AW48" i="6"/>
  <c r="AW112" i="6"/>
  <c r="Q19" i="6"/>
  <c r="Q172" i="6" s="1"/>
  <c r="Q78" i="6"/>
  <c r="Q48" i="6"/>
  <c r="Q142" i="6"/>
  <c r="Y141" i="6"/>
  <c r="AJ19" i="6"/>
  <c r="AJ112" i="6" s="1"/>
  <c r="AJ78" i="6"/>
  <c r="AJ48" i="6"/>
  <c r="F19" i="6"/>
  <c r="F112" i="6" s="1"/>
  <c r="F48" i="6"/>
  <c r="F78" i="6"/>
  <c r="F142" i="6"/>
  <c r="AB141" i="6"/>
  <c r="BC47" i="6"/>
  <c r="C16" i="7" s="1"/>
  <c r="V19" i="6"/>
  <c r="V112" i="6" s="1"/>
  <c r="V48" i="6"/>
  <c r="V78" i="6"/>
  <c r="AA141" i="6"/>
  <c r="AT19" i="6"/>
  <c r="AT172" i="6" s="1"/>
  <c r="AT48" i="6"/>
  <c r="AT78" i="6"/>
  <c r="K141" i="6"/>
  <c r="AT171" i="6"/>
  <c r="AL171" i="6"/>
  <c r="AD141" i="6"/>
  <c r="I141" i="6"/>
  <c r="AR171" i="6"/>
  <c r="G19" i="6"/>
  <c r="G172" i="6" s="1"/>
  <c r="G78" i="6"/>
  <c r="G48" i="6"/>
  <c r="G142" i="6"/>
  <c r="W19" i="6"/>
  <c r="W48" i="6"/>
  <c r="W78" i="6"/>
  <c r="W172" i="6"/>
  <c r="W112" i="6"/>
  <c r="D171" i="6"/>
  <c r="BC77" i="6"/>
  <c r="D16" i="7" s="1"/>
  <c r="AQ171" i="6"/>
  <c r="B20" i="7"/>
  <c r="A20" i="6"/>
  <c r="AG141" i="6"/>
  <c r="AV171" i="6"/>
  <c r="O141" i="6"/>
  <c r="AZ19" i="6"/>
  <c r="AZ172" i="6" s="1"/>
  <c r="AZ78" i="6"/>
  <c r="AZ48" i="6"/>
  <c r="AY19" i="6"/>
  <c r="AY112" i="6" s="1"/>
  <c r="AY48" i="6"/>
  <c r="AY78" i="6"/>
  <c r="AY142" i="6"/>
  <c r="T19" i="6"/>
  <c r="T172" i="6" s="1"/>
  <c r="T78" i="6"/>
  <c r="T48" i="6"/>
  <c r="T142" i="6"/>
  <c r="M19" i="6"/>
  <c r="M48" i="6"/>
  <c r="M78" i="6"/>
  <c r="M142" i="6"/>
  <c r="M112" i="6"/>
  <c r="H19" i="6"/>
  <c r="H142" i="6" s="1"/>
  <c r="H78" i="6"/>
  <c r="H48" i="6"/>
  <c r="U19" i="6"/>
  <c r="U78" i="6"/>
  <c r="U48" i="6"/>
  <c r="U142" i="6"/>
  <c r="U112" i="6"/>
  <c r="F141" i="6"/>
  <c r="AH19" i="6"/>
  <c r="AH112" i="6" s="1"/>
  <c r="AH48" i="6"/>
  <c r="AH78" i="6"/>
  <c r="AH142" i="6"/>
  <c r="Y171" i="6"/>
  <c r="AC141" i="6"/>
  <c r="BC170" i="6"/>
  <c r="H16" i="7" s="1"/>
  <c r="L19" i="6"/>
  <c r="L172" i="6" s="1"/>
  <c r="L48" i="6"/>
  <c r="L78" i="6"/>
  <c r="J19" i="6"/>
  <c r="J142" i="6" s="1"/>
  <c r="J48" i="6"/>
  <c r="J78" i="6"/>
  <c r="AL141" i="6"/>
  <c r="AF19" i="6"/>
  <c r="AF142" i="6" s="1"/>
  <c r="AF78" i="6"/>
  <c r="AF48" i="6"/>
  <c r="AC171" i="6"/>
  <c r="AI19" i="6"/>
  <c r="AI142" i="6" s="1"/>
  <c r="AI48" i="6"/>
  <c r="AI78" i="6"/>
  <c r="AI112" i="6"/>
  <c r="AS19" i="6"/>
  <c r="AS172" i="6" s="1"/>
  <c r="AS78" i="6"/>
  <c r="AS48" i="6"/>
  <c r="AS142" i="6"/>
  <c r="P19" i="6"/>
  <c r="P78" i="6"/>
  <c r="P48" i="6"/>
  <c r="P172" i="6"/>
  <c r="P112" i="6"/>
  <c r="AU19" i="6"/>
  <c r="AU172" i="6" s="1"/>
  <c r="AU48" i="6"/>
  <c r="AU78" i="6"/>
  <c r="AM19" i="6"/>
  <c r="AM142" i="6" s="1"/>
  <c r="AM48" i="6"/>
  <c r="AM78" i="6"/>
  <c r="AM112" i="6"/>
  <c r="AP19" i="6"/>
  <c r="AP172" i="6" s="1"/>
  <c r="AP48" i="6"/>
  <c r="AP78" i="6"/>
  <c r="AP112" i="6"/>
  <c r="AO19" i="6"/>
  <c r="AO78" i="6"/>
  <c r="AO48" i="6"/>
  <c r="AO142" i="6"/>
  <c r="AO112" i="6"/>
  <c r="AE19" i="6"/>
  <c r="AE142" i="6" s="1"/>
  <c r="AE78" i="6"/>
  <c r="AE48" i="6"/>
  <c r="N19" i="6"/>
  <c r="N142" i="6" s="1"/>
  <c r="N48" i="6"/>
  <c r="N78" i="6"/>
  <c r="N112" i="6"/>
  <c r="U111" i="6"/>
  <c r="G141" i="6"/>
  <c r="F111" i="6"/>
  <c r="W171" i="6"/>
  <c r="AB111" i="6"/>
  <c r="D141" i="6"/>
  <c r="AN19" i="6"/>
  <c r="AN142" i="6" s="1"/>
  <c r="AN78" i="6"/>
  <c r="AN48" i="6"/>
  <c r="AX19" i="6"/>
  <c r="AX172" i="6" s="1"/>
  <c r="AX78" i="6"/>
  <c r="AX48" i="6"/>
  <c r="AX112" i="6"/>
  <c r="AZ171" i="6"/>
  <c r="V111" i="6"/>
  <c r="AY171" i="6"/>
  <c r="AA111" i="6"/>
  <c r="T141" i="6"/>
  <c r="AH111" i="6"/>
  <c r="M171" i="6"/>
  <c r="X19" i="6"/>
  <c r="X142" i="6" s="1"/>
  <c r="X48" i="6"/>
  <c r="X78" i="6"/>
  <c r="X172" i="6"/>
  <c r="X112" i="6"/>
  <c r="R19" i="6"/>
  <c r="R112" i="6" s="1"/>
  <c r="R48" i="6"/>
  <c r="R78" i="6"/>
  <c r="AK19" i="6"/>
  <c r="AK112" i="6" s="1"/>
  <c r="AK78" i="6"/>
  <c r="AK48" i="6"/>
  <c r="Y111" i="6"/>
  <c r="BA78" i="6"/>
  <c r="BA19" i="6"/>
  <c r="BA172" i="6" s="1"/>
  <c r="BA48" i="6"/>
  <c r="E19" i="6"/>
  <c r="E172" i="6" s="1"/>
  <c r="E78" i="6"/>
  <c r="E48" i="6"/>
  <c r="E112" i="6"/>
  <c r="Z19" i="6"/>
  <c r="Z48" i="6"/>
  <c r="Z78" i="6"/>
  <c r="J172" i="6" l="1"/>
  <c r="AN112" i="6"/>
  <c r="V142" i="6"/>
  <c r="AV142" i="6"/>
  <c r="K112" i="6"/>
  <c r="AC172" i="6"/>
  <c r="AA112" i="6"/>
  <c r="AH172" i="6"/>
  <c r="AT142" i="6"/>
  <c r="BA112" i="6"/>
  <c r="AK142" i="6"/>
  <c r="AE172" i="6"/>
  <c r="AD142" i="6"/>
  <c r="Y112" i="6"/>
  <c r="AU142" i="6"/>
  <c r="L112" i="6"/>
  <c r="AZ142" i="6"/>
  <c r="S142" i="6"/>
  <c r="AB172" i="6"/>
  <c r="B260" i="6"/>
  <c r="B164" i="1" s="1"/>
  <c r="E23" i="11" s="1"/>
  <c r="BA142" i="6"/>
  <c r="AK172" i="6"/>
  <c r="H172" i="6"/>
  <c r="V172" i="6"/>
  <c r="G16" i="7"/>
  <c r="F172" i="6"/>
  <c r="AJ142" i="6"/>
  <c r="D260" i="6"/>
  <c r="D269" i="6" s="1"/>
  <c r="BC111" i="6"/>
  <c r="F17" i="7" s="1"/>
  <c r="AX20" i="6"/>
  <c r="AX173" i="6" s="1"/>
  <c r="AX49" i="6"/>
  <c r="AX79" i="6"/>
  <c r="AX113" i="6"/>
  <c r="AE20" i="6"/>
  <c r="AE113" i="6" s="1"/>
  <c r="AE79" i="6"/>
  <c r="AE49" i="6"/>
  <c r="AP20" i="6"/>
  <c r="AP113" i="6" s="1"/>
  <c r="AP79" i="6"/>
  <c r="AP49" i="6"/>
  <c r="AU20" i="6"/>
  <c r="AU143" i="6" s="1"/>
  <c r="AU79" i="6"/>
  <c r="AU49" i="6"/>
  <c r="AS20" i="6"/>
  <c r="AS143" i="6" s="1"/>
  <c r="AS79" i="6"/>
  <c r="AS49" i="6"/>
  <c r="AF112" i="6"/>
  <c r="J20" i="6"/>
  <c r="J143" i="6" s="1"/>
  <c r="J79" i="6"/>
  <c r="J49" i="6"/>
  <c r="J173" i="6"/>
  <c r="J113" i="6"/>
  <c r="H20" i="6"/>
  <c r="H79" i="6"/>
  <c r="H49" i="6"/>
  <c r="H173" i="6"/>
  <c r="H143" i="6"/>
  <c r="H113" i="6"/>
  <c r="T20" i="6"/>
  <c r="T143" i="6" s="1"/>
  <c r="T49" i="6"/>
  <c r="T79" i="6"/>
  <c r="T173" i="6"/>
  <c r="T113" i="6"/>
  <c r="AZ20" i="6"/>
  <c r="AZ49" i="6"/>
  <c r="AZ79" i="6"/>
  <c r="AZ173" i="6"/>
  <c r="AZ113" i="6"/>
  <c r="AZ143" i="6"/>
  <c r="BC171" i="6"/>
  <c r="H17" i="7" s="1"/>
  <c r="G20" i="6"/>
  <c r="G113" i="6" s="1"/>
  <c r="G79" i="6"/>
  <c r="G49" i="6"/>
  <c r="AT20" i="6"/>
  <c r="AT143" i="6" s="1"/>
  <c r="AT49" i="6"/>
  <c r="AT79" i="6"/>
  <c r="I16" i="7"/>
  <c r="Q20" i="6"/>
  <c r="Q143" i="6" s="1"/>
  <c r="Q79" i="6"/>
  <c r="Q49" i="6"/>
  <c r="Q173" i="6"/>
  <c r="Q113" i="6"/>
  <c r="S20" i="6"/>
  <c r="S79" i="6"/>
  <c r="S49" i="6"/>
  <c r="S173" i="6"/>
  <c r="S143" i="6"/>
  <c r="S113" i="6"/>
  <c r="AR20" i="6"/>
  <c r="AR113" i="6" s="1"/>
  <c r="AR49" i="6"/>
  <c r="AR79" i="6"/>
  <c r="AD20" i="6"/>
  <c r="AD113" i="6" s="1"/>
  <c r="AD49" i="6"/>
  <c r="AD79" i="6"/>
  <c r="AC20" i="6"/>
  <c r="AC113" i="6" s="1"/>
  <c r="AC79" i="6"/>
  <c r="AC49" i="6"/>
  <c r="AB20" i="6"/>
  <c r="AB113" i="6" s="1"/>
  <c r="AB79" i="6"/>
  <c r="AB49" i="6"/>
  <c r="R20" i="6"/>
  <c r="R113" i="6" s="1"/>
  <c r="R79" i="6"/>
  <c r="R49" i="6"/>
  <c r="B21" i="7"/>
  <c r="A21" i="6"/>
  <c r="AJ20" i="6"/>
  <c r="AJ113" i="6" s="1"/>
  <c r="AJ79" i="6"/>
  <c r="AJ49" i="6"/>
  <c r="AJ143" i="6"/>
  <c r="AV20" i="6"/>
  <c r="AV143" i="6" s="1"/>
  <c r="AV79" i="6"/>
  <c r="AV49" i="6"/>
  <c r="AV113" i="6"/>
  <c r="AQ20" i="6"/>
  <c r="AQ113" i="6" s="1"/>
  <c r="AQ49" i="6"/>
  <c r="AQ79" i="6"/>
  <c r="AQ143" i="6"/>
  <c r="BC48" i="6"/>
  <c r="C17" i="7" s="1"/>
  <c r="AA20" i="6"/>
  <c r="AA113" i="6" s="1"/>
  <c r="AA79" i="6"/>
  <c r="AA49" i="6"/>
  <c r="Z20" i="6"/>
  <c r="Z173" i="6" s="1"/>
  <c r="Z49" i="6"/>
  <c r="Z79" i="6"/>
  <c r="Z172" i="6"/>
  <c r="R142" i="6"/>
  <c r="AF172" i="6"/>
  <c r="P20" i="6"/>
  <c r="P113" i="6" s="1"/>
  <c r="P49" i="6"/>
  <c r="P79" i="6"/>
  <c r="AI20" i="6"/>
  <c r="AI113" i="6" s="1"/>
  <c r="AI79" i="6"/>
  <c r="AI49" i="6"/>
  <c r="L20" i="6"/>
  <c r="L113" i="6" s="1"/>
  <c r="L49" i="6"/>
  <c r="L79" i="6"/>
  <c r="U20" i="6"/>
  <c r="U113" i="6" s="1"/>
  <c r="U79" i="6"/>
  <c r="U49" i="6"/>
  <c r="M20" i="6"/>
  <c r="M113" i="6" s="1"/>
  <c r="M49" i="6"/>
  <c r="M79" i="6"/>
  <c r="AY20" i="6"/>
  <c r="AY113" i="6" s="1"/>
  <c r="AY49" i="6"/>
  <c r="AY79" i="6"/>
  <c r="W20" i="6"/>
  <c r="W113" i="6" s="1"/>
  <c r="W79" i="6"/>
  <c r="W49" i="6"/>
  <c r="AJ172" i="6"/>
  <c r="AW20" i="6"/>
  <c r="AW143" i="6" s="1"/>
  <c r="AW49" i="6"/>
  <c r="AW79" i="6"/>
  <c r="AV172" i="6"/>
  <c r="AQ172" i="6"/>
  <c r="BC78" i="6"/>
  <c r="D17" i="7" s="1"/>
  <c r="I20" i="6"/>
  <c r="I173" i="6" s="1"/>
  <c r="I79" i="6"/>
  <c r="I49" i="6"/>
  <c r="I143" i="6"/>
  <c r="I113" i="6"/>
  <c r="AL20" i="6"/>
  <c r="AL113" i="6" s="1"/>
  <c r="AL49" i="6"/>
  <c r="AL79" i="6"/>
  <c r="AL143" i="6"/>
  <c r="K20" i="6"/>
  <c r="K173" i="6" s="1"/>
  <c r="K79" i="6"/>
  <c r="K49" i="6"/>
  <c r="K143" i="6"/>
  <c r="K113" i="6"/>
  <c r="Y20" i="6"/>
  <c r="Y113" i="6" s="1"/>
  <c r="Y79" i="6"/>
  <c r="Y49" i="6"/>
  <c r="Y143" i="6"/>
  <c r="AA172" i="6"/>
  <c r="Z142" i="6"/>
  <c r="AF20" i="6"/>
  <c r="AF113" i="6" s="1"/>
  <c r="AF79" i="6"/>
  <c r="AF49" i="6"/>
  <c r="AF173" i="6"/>
  <c r="E20" i="6"/>
  <c r="E173" i="6" s="1"/>
  <c r="E49" i="6"/>
  <c r="E79" i="6"/>
  <c r="E143" i="6"/>
  <c r="E113" i="6"/>
  <c r="R172" i="6"/>
  <c r="AN20" i="6"/>
  <c r="AN113" i="6" s="1"/>
  <c r="AN79" i="6"/>
  <c r="AN49" i="6"/>
  <c r="N20" i="6"/>
  <c r="N113" i="6" s="1"/>
  <c r="N49" i="6"/>
  <c r="N79" i="6"/>
  <c r="AO20" i="6"/>
  <c r="AO173" i="6" s="1"/>
  <c r="AO79" i="6"/>
  <c r="AO49" i="6"/>
  <c r="AM20" i="6"/>
  <c r="AM113" i="6" s="1"/>
  <c r="AM79" i="6"/>
  <c r="AM49" i="6"/>
  <c r="Z112" i="6"/>
  <c r="E142" i="6"/>
  <c r="BA79" i="6"/>
  <c r="BA20" i="6"/>
  <c r="BA173" i="6" s="1"/>
  <c r="BA49" i="6"/>
  <c r="AK20" i="6"/>
  <c r="AK113" i="6" s="1"/>
  <c r="AK79" i="6"/>
  <c r="AK49" i="6"/>
  <c r="X20" i="6"/>
  <c r="X113" i="6" s="1"/>
  <c r="X79" i="6"/>
  <c r="X49" i="6"/>
  <c r="AX142" i="6"/>
  <c r="AN172" i="6"/>
  <c r="BC141" i="6"/>
  <c r="E17" i="7" s="1"/>
  <c r="N172" i="6"/>
  <c r="AE112" i="6"/>
  <c r="AO172" i="6"/>
  <c r="AP142" i="6"/>
  <c r="AM172" i="6"/>
  <c r="AU112" i="6"/>
  <c r="P142" i="6"/>
  <c r="AS112" i="6"/>
  <c r="AI172" i="6"/>
  <c r="J112" i="6"/>
  <c r="L142" i="6"/>
  <c r="AH20" i="6"/>
  <c r="AH113" i="6" s="1"/>
  <c r="AH79" i="6"/>
  <c r="AH49" i="6"/>
  <c r="U172" i="6"/>
  <c r="H112" i="6"/>
  <c r="M172" i="6"/>
  <c r="T112" i="6"/>
  <c r="AY172" i="6"/>
  <c r="AZ112" i="6"/>
  <c r="W142" i="6"/>
  <c r="G112" i="6"/>
  <c r="AT112" i="6"/>
  <c r="V20" i="6"/>
  <c r="V173" i="6" s="1"/>
  <c r="V49" i="6"/>
  <c r="V79" i="6"/>
  <c r="F20" i="6"/>
  <c r="F113" i="6" s="1"/>
  <c r="F79" i="6"/>
  <c r="F49" i="6"/>
  <c r="Q112" i="6"/>
  <c r="AW172" i="6"/>
  <c r="S112" i="6"/>
  <c r="O20" i="6"/>
  <c r="O113" i="6" s="1"/>
  <c r="O79" i="6"/>
  <c r="O49" i="6"/>
  <c r="AG20" i="6"/>
  <c r="AG113" i="6" s="1"/>
  <c r="AG49" i="6"/>
  <c r="AG79" i="6"/>
  <c r="D20" i="6"/>
  <c r="D173" i="6" s="1"/>
  <c r="D79" i="6"/>
  <c r="D49" i="6"/>
  <c r="D143" i="6"/>
  <c r="AR112" i="6"/>
  <c r="I172" i="6"/>
  <c r="AD112" i="6"/>
  <c r="AL172" i="6"/>
  <c r="K172" i="6"/>
  <c r="AC112" i="6"/>
  <c r="Y172" i="6"/>
  <c r="AB112" i="6"/>
  <c r="D266" i="6"/>
  <c r="D279" i="6"/>
  <c r="D271" i="6" l="1"/>
  <c r="D281" i="6"/>
  <c r="F173" i="6"/>
  <c r="BA113" i="6"/>
  <c r="BA143" i="6"/>
  <c r="W173" i="6"/>
  <c r="AY143" i="6"/>
  <c r="M143" i="6"/>
  <c r="U143" i="6"/>
  <c r="L143" i="6"/>
  <c r="AI143" i="6"/>
  <c r="P143" i="6"/>
  <c r="R173" i="6"/>
  <c r="AB143" i="6"/>
  <c r="AC143" i="6"/>
  <c r="AD143" i="6"/>
  <c r="AR143" i="6"/>
  <c r="D284" i="6"/>
  <c r="V143" i="6"/>
  <c r="AF143" i="6"/>
  <c r="Y173" i="6"/>
  <c r="AL173" i="6"/>
  <c r="D276" i="6"/>
  <c r="D282" i="6"/>
  <c r="D273" i="6"/>
  <c r="D268" i="6"/>
  <c r="D274" i="6"/>
  <c r="D265" i="6"/>
  <c r="D113" i="6"/>
  <c r="BC79" i="6"/>
  <c r="D18" i="7" s="1"/>
  <c r="AP143" i="6"/>
  <c r="BC172" i="6"/>
  <c r="H18" i="7" s="1"/>
  <c r="AG143" i="6"/>
  <c r="O173" i="6"/>
  <c r="AW113" i="6"/>
  <c r="Z143" i="6"/>
  <c r="AA173" i="6"/>
  <c r="BC112" i="6"/>
  <c r="F18" i="7" s="1"/>
  <c r="D280" i="6"/>
  <c r="D283" i="6"/>
  <c r="D267" i="6"/>
  <c r="D270" i="6"/>
  <c r="D277" i="6"/>
  <c r="D164" i="1"/>
  <c r="C23" i="11" s="1"/>
  <c r="F143" i="6"/>
  <c r="V113" i="6"/>
  <c r="X143" i="6"/>
  <c r="AM143" i="6"/>
  <c r="N143" i="6"/>
  <c r="AN143" i="6"/>
  <c r="AW173" i="6"/>
  <c r="Z113" i="6"/>
  <c r="AA143" i="6"/>
  <c r="AT113" i="6"/>
  <c r="G173" i="6"/>
  <c r="AP173" i="6"/>
  <c r="AE143" i="6"/>
  <c r="AX143" i="6"/>
  <c r="D272" i="6"/>
  <c r="D275" i="6"/>
  <c r="D278" i="6"/>
  <c r="D264" i="6"/>
  <c r="BC142" i="6"/>
  <c r="E18" i="7" s="1"/>
  <c r="AS113" i="6"/>
  <c r="AU113" i="6"/>
  <c r="AK21" i="6"/>
  <c r="AK114" i="6" s="1"/>
  <c r="AK50" i="6"/>
  <c r="AK80" i="6"/>
  <c r="AO21" i="6"/>
  <c r="AO144" i="6" s="1"/>
  <c r="AO50" i="6"/>
  <c r="AO80" i="6"/>
  <c r="BC49" i="6"/>
  <c r="C18" i="7" s="1"/>
  <c r="O143" i="6"/>
  <c r="F21" i="6"/>
  <c r="F174" i="6" s="1"/>
  <c r="F50" i="6"/>
  <c r="F80" i="6"/>
  <c r="AK173" i="6"/>
  <c r="BA21" i="6"/>
  <c r="BA114" i="6" s="1"/>
  <c r="BA80" i="6"/>
  <c r="BA50" i="6"/>
  <c r="AO143" i="6"/>
  <c r="AN173" i="6"/>
  <c r="AF21" i="6"/>
  <c r="AF114" i="6" s="1"/>
  <c r="AF50" i="6"/>
  <c r="AF80" i="6"/>
  <c r="Y21" i="6"/>
  <c r="Y174" i="6" s="1"/>
  <c r="Y50" i="6"/>
  <c r="Y80" i="6"/>
  <c r="AL21" i="6"/>
  <c r="AL114" i="6" s="1"/>
  <c r="AL80" i="6"/>
  <c r="AL50" i="6"/>
  <c r="AW21" i="6"/>
  <c r="AW174" i="6" s="1"/>
  <c r="AW50" i="6"/>
  <c r="AW80" i="6"/>
  <c r="W143" i="6"/>
  <c r="M173" i="6"/>
  <c r="L173" i="6"/>
  <c r="P173" i="6"/>
  <c r="Z21" i="6"/>
  <c r="Z114" i="6" s="1"/>
  <c r="Z80" i="6"/>
  <c r="Z50" i="6"/>
  <c r="AV173" i="6"/>
  <c r="AB173" i="6"/>
  <c r="AD173" i="6"/>
  <c r="S21" i="6"/>
  <c r="S144" i="6" s="1"/>
  <c r="S50" i="6"/>
  <c r="S80" i="6"/>
  <c r="G143" i="6"/>
  <c r="T21" i="6"/>
  <c r="T174" i="6" s="1"/>
  <c r="T50" i="6"/>
  <c r="T80" i="6"/>
  <c r="J21" i="6"/>
  <c r="J114" i="6" s="1"/>
  <c r="J50" i="6"/>
  <c r="J80" i="6"/>
  <c r="AS173" i="6"/>
  <c r="AG21" i="6"/>
  <c r="AG144" i="6" s="1"/>
  <c r="AG50" i="6"/>
  <c r="AG80" i="6"/>
  <c r="AH21" i="6"/>
  <c r="AH114" i="6" s="1"/>
  <c r="AH50" i="6"/>
  <c r="AH80" i="6"/>
  <c r="X21" i="6"/>
  <c r="X144" i="6" s="1"/>
  <c r="X80" i="6"/>
  <c r="X50" i="6"/>
  <c r="AM21" i="6"/>
  <c r="AM144" i="6" s="1"/>
  <c r="AM80" i="6"/>
  <c r="AM50" i="6"/>
  <c r="N21" i="6"/>
  <c r="N174" i="6" s="1"/>
  <c r="N80" i="6"/>
  <c r="N50" i="6"/>
  <c r="AY21" i="6"/>
  <c r="AY114" i="6" s="1"/>
  <c r="AY80" i="6"/>
  <c r="AY50" i="6"/>
  <c r="U21" i="6"/>
  <c r="U144" i="6" s="1"/>
  <c r="U50" i="6"/>
  <c r="U80" i="6"/>
  <c r="AI21" i="6"/>
  <c r="AI114" i="6" s="1"/>
  <c r="AI80" i="6"/>
  <c r="AI50" i="6"/>
  <c r="AQ21" i="6"/>
  <c r="AQ114" i="6" s="1"/>
  <c r="AQ80" i="6"/>
  <c r="AQ50" i="6"/>
  <c r="AJ21" i="6"/>
  <c r="AJ144" i="6" s="1"/>
  <c r="AJ50" i="6"/>
  <c r="AJ80" i="6"/>
  <c r="R21" i="6"/>
  <c r="R174" i="6" s="1"/>
  <c r="R50" i="6"/>
  <c r="R80" i="6"/>
  <c r="AC21" i="6"/>
  <c r="AC114" i="6" s="1"/>
  <c r="AC50" i="6"/>
  <c r="AC80" i="6"/>
  <c r="AR21" i="6"/>
  <c r="AR114" i="6" s="1"/>
  <c r="AR50" i="6"/>
  <c r="AR80" i="6"/>
  <c r="AT21" i="6"/>
  <c r="AT114" i="6" s="1"/>
  <c r="AT80" i="6"/>
  <c r="AT50" i="6"/>
  <c r="AU21" i="6"/>
  <c r="AU144" i="6" s="1"/>
  <c r="AU50" i="6"/>
  <c r="AU80" i="6"/>
  <c r="AE21" i="6"/>
  <c r="AE114" i="6" s="1"/>
  <c r="AE80" i="6"/>
  <c r="AE50" i="6"/>
  <c r="AH173" i="6"/>
  <c r="D80" i="6"/>
  <c r="D21" i="6"/>
  <c r="D114" i="6" s="1"/>
  <c r="D50" i="6"/>
  <c r="D174" i="6"/>
  <c r="AG173" i="6"/>
  <c r="V21" i="6"/>
  <c r="V114" i="6" s="1"/>
  <c r="V50" i="6"/>
  <c r="V80" i="6"/>
  <c r="AH143" i="6"/>
  <c r="X173" i="6"/>
  <c r="AK143" i="6"/>
  <c r="AM173" i="6"/>
  <c r="AO113" i="6"/>
  <c r="N173" i="6"/>
  <c r="E21" i="6"/>
  <c r="E114" i="6" s="1"/>
  <c r="E50" i="6"/>
  <c r="E80" i="6"/>
  <c r="K21" i="6"/>
  <c r="K144" i="6" s="1"/>
  <c r="K50" i="6"/>
  <c r="K80" i="6"/>
  <c r="I21" i="6"/>
  <c r="I114" i="6" s="1"/>
  <c r="I50" i="6"/>
  <c r="I80" i="6"/>
  <c r="AY173" i="6"/>
  <c r="U173" i="6"/>
  <c r="AI173" i="6"/>
  <c r="AA21" i="6"/>
  <c r="AA114" i="6" s="1"/>
  <c r="AA50" i="6"/>
  <c r="AA80" i="6"/>
  <c r="AQ173" i="6"/>
  <c r="AJ173" i="6"/>
  <c r="R143" i="6"/>
  <c r="AC173" i="6"/>
  <c r="AR173" i="6"/>
  <c r="Q21" i="6"/>
  <c r="Q144" i="6" s="1"/>
  <c r="Q50" i="6"/>
  <c r="Q80" i="6"/>
  <c r="AT173" i="6"/>
  <c r="AZ21" i="6"/>
  <c r="AZ174" i="6" s="1"/>
  <c r="AZ80" i="6"/>
  <c r="AZ50" i="6"/>
  <c r="H21" i="6"/>
  <c r="H114" i="6" s="1"/>
  <c r="H50" i="6"/>
  <c r="H80" i="6"/>
  <c r="AU173" i="6"/>
  <c r="AE173" i="6"/>
  <c r="O21" i="6"/>
  <c r="O114" i="6" s="1"/>
  <c r="O50" i="6"/>
  <c r="O80" i="6"/>
  <c r="O174" i="6"/>
  <c r="AN21" i="6"/>
  <c r="AN144" i="6" s="1"/>
  <c r="AN80" i="6"/>
  <c r="AN50" i="6"/>
  <c r="AN174" i="6"/>
  <c r="W21" i="6"/>
  <c r="W114" i="6" s="1"/>
  <c r="W80" i="6"/>
  <c r="W50" i="6"/>
  <c r="W144" i="6"/>
  <c r="M21" i="6"/>
  <c r="M174" i="6" s="1"/>
  <c r="M80" i="6"/>
  <c r="M50" i="6"/>
  <c r="M144" i="6"/>
  <c r="L21" i="6"/>
  <c r="L114" i="6" s="1"/>
  <c r="L50" i="6"/>
  <c r="L80" i="6"/>
  <c r="L174" i="6"/>
  <c r="P21" i="6"/>
  <c r="P144" i="6" s="1"/>
  <c r="P50" i="6"/>
  <c r="P80" i="6"/>
  <c r="P174" i="6"/>
  <c r="G17" i="7"/>
  <c r="I17" i="7" s="1"/>
  <c r="AV21" i="6"/>
  <c r="AV50" i="6"/>
  <c r="AV80" i="6"/>
  <c r="A22" i="6"/>
  <c r="B22" i="7"/>
  <c r="AB21" i="6"/>
  <c r="AB144" i="6" s="1"/>
  <c r="AB80" i="6"/>
  <c r="AB50" i="6"/>
  <c r="AD21" i="6"/>
  <c r="AD114" i="6" s="1"/>
  <c r="AD80" i="6"/>
  <c r="AD50" i="6"/>
  <c r="G21" i="6"/>
  <c r="G50" i="6"/>
  <c r="G80" i="6"/>
  <c r="G174" i="6"/>
  <c r="AS21" i="6"/>
  <c r="AS144" i="6" s="1"/>
  <c r="AS50" i="6"/>
  <c r="AS80" i="6"/>
  <c r="AS114" i="6"/>
  <c r="AP21" i="6"/>
  <c r="AP50" i="6"/>
  <c r="AP80" i="6"/>
  <c r="AX21" i="6"/>
  <c r="AX80" i="6"/>
  <c r="AX50" i="6"/>
  <c r="AA144" i="6" l="1"/>
  <c r="BA144" i="6"/>
  <c r="AI174" i="6"/>
  <c r="AY144" i="6"/>
  <c r="AM114" i="6"/>
  <c r="AH174" i="6"/>
  <c r="H144" i="6"/>
  <c r="AZ144" i="6"/>
  <c r="BC113" i="6"/>
  <c r="F19" i="7" s="1"/>
  <c r="J144" i="6"/>
  <c r="T144" i="6"/>
  <c r="Z174" i="6"/>
  <c r="AW114" i="6"/>
  <c r="AL144" i="6"/>
  <c r="Y144" i="6"/>
  <c r="AF144" i="6"/>
  <c r="BC143" i="6"/>
  <c r="E19" i="7" s="1"/>
  <c r="AA174" i="6"/>
  <c r="AE174" i="6"/>
  <c r="AT144" i="6"/>
  <c r="AC174" i="6"/>
  <c r="AJ114" i="6"/>
  <c r="AK144" i="6"/>
  <c r="P114" i="6"/>
  <c r="L144" i="6"/>
  <c r="M114" i="6"/>
  <c r="W174" i="6"/>
  <c r="AN114" i="6"/>
  <c r="O144" i="6"/>
  <c r="H174" i="6"/>
  <c r="AZ114" i="6"/>
  <c r="I174" i="6"/>
  <c r="E174" i="6"/>
  <c r="J174" i="6"/>
  <c r="T114" i="6"/>
  <c r="Z144" i="6"/>
  <c r="AW144" i="6"/>
  <c r="AL174" i="6"/>
  <c r="Y114" i="6"/>
  <c r="AF174" i="6"/>
  <c r="BA174" i="6"/>
  <c r="BC173" i="6"/>
  <c r="H19" i="7" s="1"/>
  <c r="V144" i="6"/>
  <c r="G18" i="7"/>
  <c r="I18" i="7" s="1"/>
  <c r="AX22" i="6"/>
  <c r="AX175" i="6" s="1"/>
  <c r="AX81" i="6"/>
  <c r="AX51" i="6"/>
  <c r="AX145" i="6"/>
  <c r="AP22" i="6"/>
  <c r="AP115" i="6" s="1"/>
  <c r="AP51" i="6"/>
  <c r="AP81" i="6"/>
  <c r="AP175" i="6"/>
  <c r="AV22" i="6"/>
  <c r="AV175" i="6" s="1"/>
  <c r="AV51" i="6"/>
  <c r="AV81" i="6"/>
  <c r="AV145" i="6"/>
  <c r="K22" i="6"/>
  <c r="K115" i="6" s="1"/>
  <c r="K81" i="6"/>
  <c r="K51" i="6"/>
  <c r="K145" i="6"/>
  <c r="D81" i="6"/>
  <c r="D22" i="6"/>
  <c r="D115" i="6" s="1"/>
  <c r="D51" i="6"/>
  <c r="AU22" i="6"/>
  <c r="AU175" i="6" s="1"/>
  <c r="AU81" i="6"/>
  <c r="AU51" i="6"/>
  <c r="AU145" i="6"/>
  <c r="AR22" i="6"/>
  <c r="AR115" i="6" s="1"/>
  <c r="AR51" i="6"/>
  <c r="AR81" i="6"/>
  <c r="AR145" i="6"/>
  <c r="R22" i="6"/>
  <c r="R81" i="6"/>
  <c r="R51" i="6"/>
  <c r="R175" i="6"/>
  <c r="R145" i="6"/>
  <c r="AQ22" i="6"/>
  <c r="AQ145" i="6" s="1"/>
  <c r="AQ81" i="6"/>
  <c r="AQ51" i="6"/>
  <c r="U22" i="6"/>
  <c r="U175" i="6" s="1"/>
  <c r="U81" i="6"/>
  <c r="U51" i="6"/>
  <c r="U145" i="6"/>
  <c r="N22" i="6"/>
  <c r="N145" i="6" s="1"/>
  <c r="N81" i="6"/>
  <c r="N51" i="6"/>
  <c r="N115" i="6"/>
  <c r="X22" i="6"/>
  <c r="X51" i="6"/>
  <c r="X81" i="6"/>
  <c r="X175" i="6"/>
  <c r="X145" i="6"/>
  <c r="AG22" i="6"/>
  <c r="AG145" i="6" s="1"/>
  <c r="AG81" i="6"/>
  <c r="AG51" i="6"/>
  <c r="S22" i="6"/>
  <c r="S175" i="6" s="1"/>
  <c r="S51" i="6"/>
  <c r="S81" i="6"/>
  <c r="S145" i="6"/>
  <c r="F22" i="6"/>
  <c r="F145" i="6" s="1"/>
  <c r="F81" i="6"/>
  <c r="F51" i="6"/>
  <c r="F115" i="6"/>
  <c r="AO22" i="6"/>
  <c r="AO81" i="6"/>
  <c r="AO51" i="6"/>
  <c r="AO175" i="6"/>
  <c r="AO145" i="6"/>
  <c r="AX114" i="6"/>
  <c r="AP174" i="6"/>
  <c r="G22" i="6"/>
  <c r="G145" i="6" s="1"/>
  <c r="G51" i="6"/>
  <c r="G81" i="6"/>
  <c r="AB22" i="6"/>
  <c r="AB145" i="6" s="1"/>
  <c r="AB51" i="6"/>
  <c r="AB81" i="6"/>
  <c r="AB115" i="6"/>
  <c r="AV144" i="6"/>
  <c r="AX144" i="6"/>
  <c r="AP144" i="6"/>
  <c r="G144" i="6"/>
  <c r="AB174" i="6"/>
  <c r="A23" i="6"/>
  <c r="B23" i="7"/>
  <c r="AV174" i="6"/>
  <c r="L22" i="6"/>
  <c r="L175" i="6" s="1"/>
  <c r="L51" i="6"/>
  <c r="L81" i="6"/>
  <c r="L145" i="6"/>
  <c r="W22" i="6"/>
  <c r="W51" i="6"/>
  <c r="W81" i="6"/>
  <c r="W175" i="6"/>
  <c r="W115" i="6"/>
  <c r="O22" i="6"/>
  <c r="O175" i="6" s="1"/>
  <c r="O81" i="6"/>
  <c r="O51" i="6"/>
  <c r="H22" i="6"/>
  <c r="H175" i="6" s="1"/>
  <c r="H81" i="6"/>
  <c r="H51" i="6"/>
  <c r="H115" i="6"/>
  <c r="Q114" i="6"/>
  <c r="AA22" i="6"/>
  <c r="AA115" i="6" s="1"/>
  <c r="AA51" i="6"/>
  <c r="AA81" i="6"/>
  <c r="K174" i="6"/>
  <c r="D144" i="6"/>
  <c r="BC80" i="6"/>
  <c r="D19" i="7" s="1"/>
  <c r="AU174" i="6"/>
  <c r="AR174" i="6"/>
  <c r="R144" i="6"/>
  <c r="AQ174" i="6"/>
  <c r="U174" i="6"/>
  <c r="N144" i="6"/>
  <c r="X174" i="6"/>
  <c r="AG174" i="6"/>
  <c r="T22" i="6"/>
  <c r="T145" i="6" s="1"/>
  <c r="T81" i="6"/>
  <c r="T51" i="6"/>
  <c r="T115" i="6"/>
  <c r="S174" i="6"/>
  <c r="Z22" i="6"/>
  <c r="Z145" i="6" s="1"/>
  <c r="Z81" i="6"/>
  <c r="Z51" i="6"/>
  <c r="AL22" i="6"/>
  <c r="AL115" i="6" s="1"/>
  <c r="AL81" i="6"/>
  <c r="AL51" i="6"/>
  <c r="AF22" i="6"/>
  <c r="AF115" i="6" s="1"/>
  <c r="AF81" i="6"/>
  <c r="AF51" i="6"/>
  <c r="BA22" i="6"/>
  <c r="BA115" i="6" s="1"/>
  <c r="BA81" i="6"/>
  <c r="BA51" i="6"/>
  <c r="F144" i="6"/>
  <c r="AO174" i="6"/>
  <c r="AS22" i="6"/>
  <c r="AS115" i="6" s="1"/>
  <c r="AS81" i="6"/>
  <c r="AS51" i="6"/>
  <c r="AD22" i="6"/>
  <c r="AD115" i="6" s="1"/>
  <c r="AD51" i="6"/>
  <c r="AD81" i="6"/>
  <c r="V22" i="6"/>
  <c r="V115" i="6" s="1"/>
  <c r="V81" i="6"/>
  <c r="V51" i="6"/>
  <c r="AE22" i="6"/>
  <c r="AE175" i="6" s="1"/>
  <c r="AE81" i="6"/>
  <c r="AE51" i="6"/>
  <c r="AT22" i="6"/>
  <c r="AT115" i="6" s="1"/>
  <c r="AT81" i="6"/>
  <c r="AT51" i="6"/>
  <c r="AC22" i="6"/>
  <c r="AC115" i="6" s="1"/>
  <c r="AC81" i="6"/>
  <c r="AC51" i="6"/>
  <c r="AC175" i="6"/>
  <c r="AJ22" i="6"/>
  <c r="AJ115" i="6" s="1"/>
  <c r="AJ81" i="6"/>
  <c r="AJ51" i="6"/>
  <c r="AI22" i="6"/>
  <c r="AI145" i="6" s="1"/>
  <c r="AI51" i="6"/>
  <c r="AI81" i="6"/>
  <c r="AY22" i="6"/>
  <c r="AY175" i="6" s="1"/>
  <c r="AY81" i="6"/>
  <c r="AY51" i="6"/>
  <c r="AM22" i="6"/>
  <c r="AM115" i="6" s="1"/>
  <c r="AM51" i="6"/>
  <c r="AM81" i="6"/>
  <c r="AM145" i="6"/>
  <c r="AH22" i="6"/>
  <c r="AH175" i="6" s="1"/>
  <c r="AH81" i="6"/>
  <c r="AH51" i="6"/>
  <c r="AK22" i="6"/>
  <c r="AK175" i="6" s="1"/>
  <c r="AK51" i="6"/>
  <c r="AK81" i="6"/>
  <c r="AK145" i="6"/>
  <c r="AD174" i="6"/>
  <c r="Q22" i="6"/>
  <c r="Q175" i="6" s="1"/>
  <c r="Q81" i="6"/>
  <c r="Q51" i="6"/>
  <c r="I22" i="6"/>
  <c r="I175" i="6" s="1"/>
  <c r="I81" i="6"/>
  <c r="I51" i="6"/>
  <c r="E22" i="6"/>
  <c r="E145" i="6" s="1"/>
  <c r="E81" i="6"/>
  <c r="E51" i="6"/>
  <c r="AX174" i="6"/>
  <c r="AP114" i="6"/>
  <c r="AS174" i="6"/>
  <c r="G114" i="6"/>
  <c r="AD144" i="6"/>
  <c r="AB114" i="6"/>
  <c r="AV114" i="6"/>
  <c r="P22" i="6"/>
  <c r="P145" i="6" s="1"/>
  <c r="P81" i="6"/>
  <c r="P51" i="6"/>
  <c r="M22" i="6"/>
  <c r="M145" i="6" s="1"/>
  <c r="M81" i="6"/>
  <c r="M51" i="6"/>
  <c r="AN22" i="6"/>
  <c r="AN115" i="6" s="1"/>
  <c r="AN81" i="6"/>
  <c r="AN51" i="6"/>
  <c r="AZ22" i="6"/>
  <c r="AZ175" i="6" s="1"/>
  <c r="AZ81" i="6"/>
  <c r="AZ51" i="6"/>
  <c r="AZ115" i="6"/>
  <c r="Q174" i="6"/>
  <c r="I144" i="6"/>
  <c r="K114" i="6"/>
  <c r="E144" i="6"/>
  <c r="V174" i="6"/>
  <c r="BC50" i="6"/>
  <c r="C19" i="7" s="1"/>
  <c r="AE144" i="6"/>
  <c r="AU114" i="6"/>
  <c r="AT174" i="6"/>
  <c r="AR144" i="6"/>
  <c r="AC144" i="6"/>
  <c r="R114" i="6"/>
  <c r="AJ174" i="6"/>
  <c r="AQ144" i="6"/>
  <c r="AI144" i="6"/>
  <c r="U114" i="6"/>
  <c r="AY174" i="6"/>
  <c r="N114" i="6"/>
  <c r="AM174" i="6"/>
  <c r="X114" i="6"/>
  <c r="AH144" i="6"/>
  <c r="AG114" i="6"/>
  <c r="J22" i="6"/>
  <c r="J175" i="6" s="1"/>
  <c r="J81" i="6"/>
  <c r="J51" i="6"/>
  <c r="S114" i="6"/>
  <c r="AW22" i="6"/>
  <c r="AW145" i="6" s="1"/>
  <c r="AW51" i="6"/>
  <c r="AW81" i="6"/>
  <c r="Y22" i="6"/>
  <c r="Y175" i="6" s="1"/>
  <c r="Y81" i="6"/>
  <c r="Y51" i="6"/>
  <c r="F114" i="6"/>
  <c r="AO114" i="6"/>
  <c r="AK174" i="6"/>
  <c r="D175" i="6" l="1"/>
  <c r="Y145" i="6"/>
  <c r="E175" i="6"/>
  <c r="I115" i="6"/>
  <c r="AK115" i="6"/>
  <c r="AM175" i="6"/>
  <c r="AA145" i="6"/>
  <c r="AN145" i="6"/>
  <c r="M175" i="6"/>
  <c r="AH145" i="6"/>
  <c r="AD175" i="6"/>
  <c r="AF145" i="6"/>
  <c r="Y115" i="6"/>
  <c r="AE145" i="6"/>
  <c r="AA175" i="6"/>
  <c r="G175" i="6"/>
  <c r="AG115" i="6"/>
  <c r="AW115" i="6"/>
  <c r="G19" i="7"/>
  <c r="I19" i="7" s="1"/>
  <c r="P115" i="6"/>
  <c r="Q145" i="6"/>
  <c r="AI175" i="6"/>
  <c r="Z175" i="6"/>
  <c r="O145" i="6"/>
  <c r="AQ115" i="6"/>
  <c r="BC114" i="6"/>
  <c r="F20" i="7" s="1"/>
  <c r="AI115" i="6"/>
  <c r="AC145" i="6"/>
  <c r="AT145" i="6"/>
  <c r="AE115" i="6"/>
  <c r="AD145" i="6"/>
  <c r="AS145" i="6"/>
  <c r="AF175" i="6"/>
  <c r="AL145" i="6"/>
  <c r="Z115" i="6"/>
  <c r="K175" i="6"/>
  <c r="AV115" i="6"/>
  <c r="AP145" i="6"/>
  <c r="AX115" i="6"/>
  <c r="BC174" i="6"/>
  <c r="H20" i="7" s="1"/>
  <c r="AJ145" i="6"/>
  <c r="V175" i="6"/>
  <c r="BA175" i="6"/>
  <c r="J23" i="6"/>
  <c r="J176" i="6" s="1"/>
  <c r="J82" i="6"/>
  <c r="J52" i="6"/>
  <c r="AZ23" i="6"/>
  <c r="AZ146" i="6" s="1"/>
  <c r="AZ52" i="6"/>
  <c r="AZ82" i="6"/>
  <c r="M23" i="6"/>
  <c r="M146" i="6" s="1"/>
  <c r="M52" i="6"/>
  <c r="M82" i="6"/>
  <c r="E23" i="6"/>
  <c r="E116" i="6" s="1"/>
  <c r="E52" i="6"/>
  <c r="E82" i="6"/>
  <c r="E176" i="6"/>
  <c r="Q23" i="6"/>
  <c r="Q176" i="6" s="1"/>
  <c r="Q82" i="6"/>
  <c r="Q52" i="6"/>
  <c r="AH115" i="6"/>
  <c r="AY115" i="6"/>
  <c r="BC144" i="6"/>
  <c r="E20" i="7" s="1"/>
  <c r="O23" i="6"/>
  <c r="O116" i="6" s="1"/>
  <c r="O52" i="6"/>
  <c r="O82" i="6"/>
  <c r="L23" i="6"/>
  <c r="L116" i="6" s="1"/>
  <c r="L82" i="6"/>
  <c r="L52" i="6"/>
  <c r="G23" i="6"/>
  <c r="G116" i="6" s="1"/>
  <c r="G82" i="6"/>
  <c r="G52" i="6"/>
  <c r="AO23" i="6"/>
  <c r="AO176" i="6" s="1"/>
  <c r="AO82" i="6"/>
  <c r="AO52" i="6"/>
  <c r="S23" i="6"/>
  <c r="S116" i="6" s="1"/>
  <c r="S82" i="6"/>
  <c r="S52" i="6"/>
  <c r="X23" i="6"/>
  <c r="X116" i="6" s="1"/>
  <c r="X82" i="6"/>
  <c r="X52" i="6"/>
  <c r="U23" i="6"/>
  <c r="U116" i="6" s="1"/>
  <c r="U52" i="6"/>
  <c r="U82" i="6"/>
  <c r="R23" i="6"/>
  <c r="R146" i="6" s="1"/>
  <c r="R82" i="6"/>
  <c r="R52" i="6"/>
  <c r="R176" i="6"/>
  <c r="AU23" i="6"/>
  <c r="AU116" i="6" s="1"/>
  <c r="AU52" i="6"/>
  <c r="AU82" i="6"/>
  <c r="BC51" i="6"/>
  <c r="C20" i="7" s="1"/>
  <c r="J145" i="6"/>
  <c r="AY145" i="6"/>
  <c r="AJ23" i="6"/>
  <c r="AJ116" i="6" s="1"/>
  <c r="AJ82" i="6"/>
  <c r="AJ52" i="6"/>
  <c r="AJ176" i="6"/>
  <c r="AJ146" i="6"/>
  <c r="AT23" i="6"/>
  <c r="AT176" i="6" s="1"/>
  <c r="AT52" i="6"/>
  <c r="AT82" i="6"/>
  <c r="V23" i="6"/>
  <c r="V116" i="6" s="1"/>
  <c r="V52" i="6"/>
  <c r="V82" i="6"/>
  <c r="V176" i="6"/>
  <c r="AS23" i="6"/>
  <c r="AS176" i="6" s="1"/>
  <c r="AS52" i="6"/>
  <c r="AS82" i="6"/>
  <c r="AS116" i="6"/>
  <c r="BA82" i="6"/>
  <c r="BA23" i="6"/>
  <c r="BA146" i="6" s="1"/>
  <c r="BA52" i="6"/>
  <c r="AL23" i="6"/>
  <c r="AL146" i="6" s="1"/>
  <c r="AL52" i="6"/>
  <c r="AL82" i="6"/>
  <c r="D23" i="6"/>
  <c r="D176" i="6" s="1"/>
  <c r="D82" i="6"/>
  <c r="D52" i="6"/>
  <c r="K23" i="6"/>
  <c r="K116" i="6" s="1"/>
  <c r="K82" i="6"/>
  <c r="K52" i="6"/>
  <c r="AP23" i="6"/>
  <c r="AP116" i="6" s="1"/>
  <c r="AP52" i="6"/>
  <c r="AP82" i="6"/>
  <c r="AN23" i="6"/>
  <c r="AN146" i="6" s="1"/>
  <c r="AN52" i="6"/>
  <c r="AN82" i="6"/>
  <c r="AJ175" i="6"/>
  <c r="AT175" i="6"/>
  <c r="V145" i="6"/>
  <c r="AS175" i="6"/>
  <c r="BA145" i="6"/>
  <c r="AL175" i="6"/>
  <c r="T23" i="6"/>
  <c r="T116" i="6" s="1"/>
  <c r="T82" i="6"/>
  <c r="T52" i="6"/>
  <c r="H23" i="6"/>
  <c r="H116" i="6" s="1"/>
  <c r="H82" i="6"/>
  <c r="H52" i="6"/>
  <c r="W23" i="6"/>
  <c r="W116" i="6" s="1"/>
  <c r="W52" i="6"/>
  <c r="W82" i="6"/>
  <c r="B24" i="7"/>
  <c r="A24" i="6"/>
  <c r="AB23" i="6"/>
  <c r="AB116" i="6" s="1"/>
  <c r="AB82" i="6"/>
  <c r="AB52" i="6"/>
  <c r="F23" i="6"/>
  <c r="F116" i="6" s="1"/>
  <c r="F82" i="6"/>
  <c r="F52" i="6"/>
  <c r="AG23" i="6"/>
  <c r="AG116" i="6" s="1"/>
  <c r="AG52" i="6"/>
  <c r="AG82" i="6"/>
  <c r="N23" i="6"/>
  <c r="N176" i="6" s="1"/>
  <c r="N52" i="6"/>
  <c r="N82" i="6"/>
  <c r="N146" i="6"/>
  <c r="AQ23" i="6"/>
  <c r="AQ116" i="6" s="1"/>
  <c r="AQ52" i="6"/>
  <c r="AQ82" i="6"/>
  <c r="AR23" i="6"/>
  <c r="AR116" i="6" s="1"/>
  <c r="AR82" i="6"/>
  <c r="AR52" i="6"/>
  <c r="BC81" i="6"/>
  <c r="D20" i="7" s="1"/>
  <c r="AW23" i="6"/>
  <c r="AW116" i="6" s="1"/>
  <c r="AW82" i="6"/>
  <c r="AW52" i="6"/>
  <c r="AW146" i="6"/>
  <c r="AH23" i="6"/>
  <c r="AH116" i="6" s="1"/>
  <c r="AH82" i="6"/>
  <c r="AH52" i="6"/>
  <c r="AY23" i="6"/>
  <c r="AY176" i="6" s="1"/>
  <c r="AY52" i="6"/>
  <c r="AY82" i="6"/>
  <c r="AY116" i="6"/>
  <c r="AW175" i="6"/>
  <c r="P23" i="6"/>
  <c r="P116" i="6" s="1"/>
  <c r="P82" i="6"/>
  <c r="P52" i="6"/>
  <c r="I23" i="6"/>
  <c r="I176" i="6" s="1"/>
  <c r="I82" i="6"/>
  <c r="I52" i="6"/>
  <c r="Y23" i="6"/>
  <c r="Y116" i="6" s="1"/>
  <c r="Y82" i="6"/>
  <c r="Y52" i="6"/>
  <c r="J115" i="6"/>
  <c r="AZ145" i="6"/>
  <c r="AN175" i="6"/>
  <c r="M115" i="6"/>
  <c r="P175" i="6"/>
  <c r="E115" i="6"/>
  <c r="I145" i="6"/>
  <c r="Q115" i="6"/>
  <c r="AK23" i="6"/>
  <c r="AK176" i="6" s="1"/>
  <c r="AK82" i="6"/>
  <c r="AK52" i="6"/>
  <c r="AK116" i="6"/>
  <c r="AM23" i="6"/>
  <c r="AM116" i="6" s="1"/>
  <c r="AM52" i="6"/>
  <c r="AM82" i="6"/>
  <c r="AI23" i="6"/>
  <c r="AI146" i="6" s="1"/>
  <c r="AI82" i="6"/>
  <c r="AI52" i="6"/>
  <c r="AC23" i="6"/>
  <c r="AC116" i="6" s="1"/>
  <c r="AC82" i="6"/>
  <c r="AC52" i="6"/>
  <c r="AE23" i="6"/>
  <c r="AE146" i="6" s="1"/>
  <c r="AE82" i="6"/>
  <c r="AE52" i="6"/>
  <c r="AE116" i="6"/>
  <c r="AD23" i="6"/>
  <c r="AD116" i="6" s="1"/>
  <c r="AD82" i="6"/>
  <c r="AD52" i="6"/>
  <c r="AF23" i="6"/>
  <c r="AF176" i="6" s="1"/>
  <c r="AF82" i="6"/>
  <c r="AF52" i="6"/>
  <c r="Z23" i="6"/>
  <c r="Z116" i="6" s="1"/>
  <c r="Z52" i="6"/>
  <c r="Z82" i="6"/>
  <c r="T175" i="6"/>
  <c r="AA23" i="6"/>
  <c r="AA116" i="6" s="1"/>
  <c r="AA82" i="6"/>
  <c r="AA52" i="6"/>
  <c r="H145" i="6"/>
  <c r="O115" i="6"/>
  <c r="W145" i="6"/>
  <c r="L115" i="6"/>
  <c r="AB175" i="6"/>
  <c r="G115" i="6"/>
  <c r="AO115" i="6"/>
  <c r="F175" i="6"/>
  <c r="S115" i="6"/>
  <c r="AG175" i="6"/>
  <c r="X115" i="6"/>
  <c r="N175" i="6"/>
  <c r="U115" i="6"/>
  <c r="AQ175" i="6"/>
  <c r="R115" i="6"/>
  <c r="AR175" i="6"/>
  <c r="AU115" i="6"/>
  <c r="D145" i="6"/>
  <c r="AV23" i="6"/>
  <c r="AV176" i="6" s="1"/>
  <c r="AV82" i="6"/>
  <c r="AV52" i="6"/>
  <c r="AX23" i="6"/>
  <c r="AX176" i="6" s="1"/>
  <c r="AX82" i="6"/>
  <c r="AX52" i="6"/>
  <c r="AX146" i="6"/>
  <c r="AX116" i="6" l="1"/>
  <c r="Z146" i="6"/>
  <c r="AF116" i="6"/>
  <c r="AE176" i="6"/>
  <c r="AC146" i="6"/>
  <c r="AI116" i="6"/>
  <c r="AK146" i="6"/>
  <c r="Y176" i="6"/>
  <c r="I116" i="6"/>
  <c r="AY146" i="6"/>
  <c r="AW176" i="6"/>
  <c r="AO146" i="6"/>
  <c r="E146" i="6"/>
  <c r="M116" i="6"/>
  <c r="AZ116" i="6"/>
  <c r="J116" i="6"/>
  <c r="AV146" i="6"/>
  <c r="AH146" i="6"/>
  <c r="D146" i="6"/>
  <c r="AL116" i="6"/>
  <c r="BA176" i="6"/>
  <c r="AI176" i="6"/>
  <c r="AM176" i="6"/>
  <c r="AR146" i="6"/>
  <c r="V146" i="6"/>
  <c r="AT116" i="6"/>
  <c r="L146" i="6"/>
  <c r="J146" i="6"/>
  <c r="AF146" i="6"/>
  <c r="AD146" i="6"/>
  <c r="I146" i="6"/>
  <c r="P146" i="6"/>
  <c r="F146" i="6"/>
  <c r="H146" i="6"/>
  <c r="AP146" i="6"/>
  <c r="AL176" i="6"/>
  <c r="BA116" i="6"/>
  <c r="X146" i="6"/>
  <c r="Q116" i="6"/>
  <c r="BC115" i="6"/>
  <c r="F21" i="7" s="1"/>
  <c r="BC175" i="6"/>
  <c r="H21" i="7" s="1"/>
  <c r="AA146" i="6"/>
  <c r="AD176" i="6"/>
  <c r="AM146" i="6"/>
  <c r="P176" i="6"/>
  <c r="AR176" i="6"/>
  <c r="AQ146" i="6"/>
  <c r="N116" i="6"/>
  <c r="F176" i="6"/>
  <c r="AB146" i="6"/>
  <c r="H176" i="6"/>
  <c r="T176" i="6"/>
  <c r="AP176" i="6"/>
  <c r="K176" i="6"/>
  <c r="D116" i="6"/>
  <c r="AT146" i="6"/>
  <c r="AU146" i="6"/>
  <c r="R116" i="6"/>
  <c r="X176" i="6"/>
  <c r="S176" i="6"/>
  <c r="AO116" i="6"/>
  <c r="L176" i="6"/>
  <c r="O146" i="6"/>
  <c r="Q146" i="6"/>
  <c r="AZ176" i="6"/>
  <c r="AV116" i="6"/>
  <c r="Z176" i="6"/>
  <c r="AC176" i="6"/>
  <c r="Y146" i="6"/>
  <c r="AG146" i="6"/>
  <c r="W176" i="6"/>
  <c r="AN116" i="6"/>
  <c r="AS146" i="6"/>
  <c r="U146" i="6"/>
  <c r="G146" i="6"/>
  <c r="M176" i="6"/>
  <c r="AX24" i="6"/>
  <c r="AX177" i="6" s="1"/>
  <c r="AX83" i="6"/>
  <c r="AX53" i="6"/>
  <c r="AX117" i="6"/>
  <c r="AY24" i="6"/>
  <c r="AY147" i="6" s="1"/>
  <c r="AY83" i="6"/>
  <c r="AY53" i="6"/>
  <c r="AY117" i="6"/>
  <c r="AW24" i="6"/>
  <c r="AW177" i="6" s="1"/>
  <c r="AW83" i="6"/>
  <c r="AW53" i="6"/>
  <c r="AW117" i="6"/>
  <c r="AR24" i="6"/>
  <c r="AR147" i="6" s="1"/>
  <c r="AR83" i="6"/>
  <c r="AR53" i="6"/>
  <c r="AR117" i="6"/>
  <c r="N24" i="6"/>
  <c r="N177" i="6" s="1"/>
  <c r="N53" i="6"/>
  <c r="N83" i="6"/>
  <c r="N147" i="6"/>
  <c r="F24" i="6"/>
  <c r="F117" i="6" s="1"/>
  <c r="F83" i="6"/>
  <c r="F53" i="6"/>
  <c r="F147" i="6"/>
  <c r="B25" i="7"/>
  <c r="A25" i="6"/>
  <c r="H24" i="6"/>
  <c r="H117" i="6" s="1"/>
  <c r="H83" i="6"/>
  <c r="H53" i="6"/>
  <c r="AP24" i="6"/>
  <c r="AP177" i="6" s="1"/>
  <c r="AP53" i="6"/>
  <c r="AP83" i="6"/>
  <c r="D24" i="6"/>
  <c r="D147" i="6" s="1"/>
  <c r="D83" i="6"/>
  <c r="D53" i="6"/>
  <c r="BA83" i="6"/>
  <c r="BA24" i="6"/>
  <c r="BA147" i="6" s="1"/>
  <c r="BA53" i="6"/>
  <c r="G20" i="7"/>
  <c r="I20" i="7" s="1"/>
  <c r="R24" i="6"/>
  <c r="R177" i="6" s="1"/>
  <c r="R83" i="6"/>
  <c r="R53" i="6"/>
  <c r="X24" i="6"/>
  <c r="X117" i="6" s="1"/>
  <c r="X53" i="6"/>
  <c r="X83" i="6"/>
  <c r="AO24" i="6"/>
  <c r="AO177" i="6" s="1"/>
  <c r="AO83" i="6"/>
  <c r="AO53" i="6"/>
  <c r="L24" i="6"/>
  <c r="L117" i="6" s="1"/>
  <c r="L83" i="6"/>
  <c r="L53" i="6"/>
  <c r="Z24" i="6"/>
  <c r="Z177" i="6" s="1"/>
  <c r="Z83" i="6"/>
  <c r="Z53" i="6"/>
  <c r="AD24" i="6"/>
  <c r="AD117" i="6" s="1"/>
  <c r="AD53" i="6"/>
  <c r="AD83" i="6"/>
  <c r="AC24" i="6"/>
  <c r="AC177" i="6" s="1"/>
  <c r="AC83" i="6"/>
  <c r="AC53" i="6"/>
  <c r="AM24" i="6"/>
  <c r="AM117" i="6" s="1"/>
  <c r="AM83" i="6"/>
  <c r="AM53" i="6"/>
  <c r="Y24" i="6"/>
  <c r="Y177" i="6" s="1"/>
  <c r="Y53" i="6"/>
  <c r="Y83" i="6"/>
  <c r="P24" i="6"/>
  <c r="P117" i="6" s="1"/>
  <c r="P53" i="6"/>
  <c r="P83" i="6"/>
  <c r="V24" i="6"/>
  <c r="V117" i="6" s="1"/>
  <c r="V83" i="6"/>
  <c r="V53" i="6"/>
  <c r="AJ24" i="6"/>
  <c r="AJ147" i="6" s="1"/>
  <c r="AJ53" i="6"/>
  <c r="AJ83" i="6"/>
  <c r="E24" i="6"/>
  <c r="E117" i="6" s="1"/>
  <c r="E83" i="6"/>
  <c r="E53" i="6"/>
  <c r="AZ24" i="6"/>
  <c r="AZ117" i="6" s="1"/>
  <c r="AZ83" i="6"/>
  <c r="AZ53" i="6"/>
  <c r="AA24" i="6"/>
  <c r="AA117" i="6" s="1"/>
  <c r="AA83" i="6"/>
  <c r="AA53" i="6"/>
  <c r="AH24" i="6"/>
  <c r="AH147" i="6" s="1"/>
  <c r="AH83" i="6"/>
  <c r="AH53" i="6"/>
  <c r="AQ24" i="6"/>
  <c r="AQ117" i="6" s="1"/>
  <c r="AQ53" i="6"/>
  <c r="AQ83" i="6"/>
  <c r="AG24" i="6"/>
  <c r="AG147" i="6" s="1"/>
  <c r="AG83" i="6"/>
  <c r="AG53" i="6"/>
  <c r="AB24" i="6"/>
  <c r="AB117" i="6" s="1"/>
  <c r="AB83" i="6"/>
  <c r="AB53" i="6"/>
  <c r="W24" i="6"/>
  <c r="W147" i="6" s="1"/>
  <c r="W83" i="6"/>
  <c r="W53" i="6"/>
  <c r="T24" i="6"/>
  <c r="T117" i="6" s="1"/>
  <c r="T53" i="6"/>
  <c r="T83" i="6"/>
  <c r="AN24" i="6"/>
  <c r="AN177" i="6" s="1"/>
  <c r="AN83" i="6"/>
  <c r="AN53" i="6"/>
  <c r="K24" i="6"/>
  <c r="K117" i="6" s="1"/>
  <c r="K83" i="6"/>
  <c r="K53" i="6"/>
  <c r="BC52" i="6"/>
  <c r="C21" i="7" s="1"/>
  <c r="AU24" i="6"/>
  <c r="AU177" i="6" s="1"/>
  <c r="AU83" i="6"/>
  <c r="AU53" i="6"/>
  <c r="AU117" i="6"/>
  <c r="AU147" i="6"/>
  <c r="U24" i="6"/>
  <c r="U83" i="6"/>
  <c r="U53" i="6"/>
  <c r="U177" i="6"/>
  <c r="U147" i="6"/>
  <c r="U117" i="6"/>
  <c r="S24" i="6"/>
  <c r="S177" i="6" s="1"/>
  <c r="S53" i="6"/>
  <c r="S83" i="6"/>
  <c r="S147" i="6"/>
  <c r="S117" i="6"/>
  <c r="G24" i="6"/>
  <c r="G83" i="6"/>
  <c r="G53" i="6"/>
  <c r="G147" i="6"/>
  <c r="G177" i="6"/>
  <c r="G117" i="6"/>
  <c r="O24" i="6"/>
  <c r="O147" i="6" s="1"/>
  <c r="O83" i="6"/>
  <c r="O53" i="6"/>
  <c r="O177" i="6"/>
  <c r="O117" i="6"/>
  <c r="AV24" i="6"/>
  <c r="AV83" i="6"/>
  <c r="AV53" i="6"/>
  <c r="AV177" i="6"/>
  <c r="AV117" i="6"/>
  <c r="AV147" i="6"/>
  <c r="BC145" i="6"/>
  <c r="E21" i="7" s="1"/>
  <c r="AA176" i="6"/>
  <c r="AF24" i="6"/>
  <c r="AF53" i="6"/>
  <c r="AF83" i="6"/>
  <c r="AF177" i="6"/>
  <c r="AF147" i="6"/>
  <c r="AF117" i="6"/>
  <c r="AE24" i="6"/>
  <c r="AE177" i="6" s="1"/>
  <c r="AE53" i="6"/>
  <c r="AE83" i="6"/>
  <c r="AE147" i="6"/>
  <c r="AE117" i="6"/>
  <c r="AI24" i="6"/>
  <c r="AI53" i="6"/>
  <c r="AI83" i="6"/>
  <c r="AI177" i="6"/>
  <c r="AI147" i="6"/>
  <c r="AI117" i="6"/>
  <c r="AK24" i="6"/>
  <c r="AK177" i="6" s="1"/>
  <c r="AK83" i="6"/>
  <c r="AK53" i="6"/>
  <c r="AK147" i="6"/>
  <c r="AK117" i="6"/>
  <c r="I24" i="6"/>
  <c r="I83" i="6"/>
  <c r="I53" i="6"/>
  <c r="I147" i="6"/>
  <c r="I177" i="6"/>
  <c r="I117" i="6"/>
  <c r="AH176" i="6"/>
  <c r="AQ176" i="6"/>
  <c r="AG176" i="6"/>
  <c r="AB176" i="6"/>
  <c r="W146" i="6"/>
  <c r="T146" i="6"/>
  <c r="AN176" i="6"/>
  <c r="K146" i="6"/>
  <c r="BC82" i="6"/>
  <c r="D21" i="7" s="1"/>
  <c r="AL24" i="6"/>
  <c r="AL117" i="6" s="1"/>
  <c r="AL53" i="6"/>
  <c r="AL83" i="6"/>
  <c r="AS24" i="6"/>
  <c r="AS177" i="6" s="1"/>
  <c r="AS83" i="6"/>
  <c r="AS53" i="6"/>
  <c r="AT24" i="6"/>
  <c r="AT147" i="6" s="1"/>
  <c r="AT83" i="6"/>
  <c r="AT53" i="6"/>
  <c r="AU176" i="6"/>
  <c r="U176" i="6"/>
  <c r="S146" i="6"/>
  <c r="G176" i="6"/>
  <c r="O176" i="6"/>
  <c r="Q24" i="6"/>
  <c r="Q117" i="6" s="1"/>
  <c r="Q83" i="6"/>
  <c r="Q53" i="6"/>
  <c r="M24" i="6"/>
  <c r="M147" i="6" s="1"/>
  <c r="M83" i="6"/>
  <c r="M53" i="6"/>
  <c r="J24" i="6"/>
  <c r="J117" i="6" s="1"/>
  <c r="J83" i="6"/>
  <c r="J53" i="6"/>
  <c r="AT117" i="6" l="1"/>
  <c r="AL147" i="6"/>
  <c r="BC146" i="6"/>
  <c r="E22" i="7" s="1"/>
  <c r="P177" i="6"/>
  <c r="Y147" i="6"/>
  <c r="AM147" i="6"/>
  <c r="AC147" i="6"/>
  <c r="AD147" i="6"/>
  <c r="Z147" i="6"/>
  <c r="L147" i="6"/>
  <c r="AO117" i="6"/>
  <c r="X177" i="6"/>
  <c r="R147" i="6"/>
  <c r="AP117" i="6"/>
  <c r="H177" i="6"/>
  <c r="AS147" i="6"/>
  <c r="J147" i="6"/>
  <c r="BA117" i="6"/>
  <c r="AT177" i="6"/>
  <c r="AS117" i="6"/>
  <c r="AL177" i="6"/>
  <c r="BC116" i="6"/>
  <c r="F22" i="7" s="1"/>
  <c r="BC176" i="6"/>
  <c r="H22" i="7" s="1"/>
  <c r="Q147" i="6"/>
  <c r="P147" i="6"/>
  <c r="Y117" i="6"/>
  <c r="AM177" i="6"/>
  <c r="AC117" i="6"/>
  <c r="AD177" i="6"/>
  <c r="Z117" i="6"/>
  <c r="L177" i="6"/>
  <c r="AO147" i="6"/>
  <c r="X147" i="6"/>
  <c r="R117" i="6"/>
  <c r="AP147" i="6"/>
  <c r="H147" i="6"/>
  <c r="F177" i="6"/>
  <c r="N117" i="6"/>
  <c r="AR177" i="6"/>
  <c r="AW147" i="6"/>
  <c r="AY177" i="6"/>
  <c r="AX147" i="6"/>
  <c r="K177" i="6"/>
  <c r="T147" i="6"/>
  <c r="AB177" i="6"/>
  <c r="AQ147" i="6"/>
  <c r="AA147" i="6"/>
  <c r="E147" i="6"/>
  <c r="V147" i="6"/>
  <c r="G21" i="7"/>
  <c r="I21" i="7" s="1"/>
  <c r="AN25" i="6"/>
  <c r="AN178" i="6" s="1"/>
  <c r="AN84" i="6"/>
  <c r="AN54" i="6"/>
  <c r="AN118" i="6"/>
  <c r="W25" i="6"/>
  <c r="W54" i="6"/>
  <c r="W84" i="6"/>
  <c r="W148" i="6"/>
  <c r="W178" i="6"/>
  <c r="AG25" i="6"/>
  <c r="AG178" i="6" s="1"/>
  <c r="AG54" i="6"/>
  <c r="AG84" i="6"/>
  <c r="AH25" i="6"/>
  <c r="AH178" i="6" s="1"/>
  <c r="AH84" i="6"/>
  <c r="AH54" i="6"/>
  <c r="AH148" i="6"/>
  <c r="AZ25" i="6"/>
  <c r="AZ118" i="6" s="1"/>
  <c r="AZ54" i="6"/>
  <c r="AZ84" i="6"/>
  <c r="AJ25" i="6"/>
  <c r="AJ178" i="6" s="1"/>
  <c r="AJ54" i="6"/>
  <c r="AJ84" i="6"/>
  <c r="D84" i="6"/>
  <c r="D25" i="6"/>
  <c r="D148" i="6" s="1"/>
  <c r="D54" i="6"/>
  <c r="M25" i="6"/>
  <c r="M118" i="6" s="1"/>
  <c r="M54" i="6"/>
  <c r="M84" i="6"/>
  <c r="M177" i="6"/>
  <c r="AT25" i="6"/>
  <c r="AT178" i="6" s="1"/>
  <c r="AT84" i="6"/>
  <c r="AT54" i="6"/>
  <c r="AL25" i="6"/>
  <c r="AL148" i="6" s="1"/>
  <c r="AL54" i="6"/>
  <c r="AL84" i="6"/>
  <c r="I25" i="6"/>
  <c r="I148" i="6" s="1"/>
  <c r="I84" i="6"/>
  <c r="I54" i="6"/>
  <c r="AI25" i="6"/>
  <c r="AI148" i="6" s="1"/>
  <c r="AI54" i="6"/>
  <c r="AI84" i="6"/>
  <c r="AI118" i="6"/>
  <c r="AF25" i="6"/>
  <c r="AF178" i="6" s="1"/>
  <c r="AF84" i="6"/>
  <c r="AF54" i="6"/>
  <c r="AF148" i="6"/>
  <c r="AV25" i="6"/>
  <c r="AV84" i="6"/>
  <c r="AV54" i="6"/>
  <c r="AV148" i="6"/>
  <c r="AV118" i="6"/>
  <c r="G25" i="6"/>
  <c r="G178" i="6" s="1"/>
  <c r="G84" i="6"/>
  <c r="G54" i="6"/>
  <c r="U25" i="6"/>
  <c r="U148" i="6" s="1"/>
  <c r="U84" i="6"/>
  <c r="U54" i="6"/>
  <c r="U118" i="6"/>
  <c r="AN147" i="6"/>
  <c r="W177" i="6"/>
  <c r="AG177" i="6"/>
  <c r="AH177" i="6"/>
  <c r="AZ177" i="6"/>
  <c r="AJ177" i="6"/>
  <c r="P25" i="6"/>
  <c r="P148" i="6" s="1"/>
  <c r="P84" i="6"/>
  <c r="P54" i="6"/>
  <c r="P118" i="6"/>
  <c r="AM25" i="6"/>
  <c r="AM54" i="6"/>
  <c r="AM84" i="6"/>
  <c r="AM178" i="6"/>
  <c r="AM148" i="6"/>
  <c r="AD25" i="6"/>
  <c r="AD178" i="6" s="1"/>
  <c r="AD84" i="6"/>
  <c r="AD54" i="6"/>
  <c r="L25" i="6"/>
  <c r="L148" i="6" s="1"/>
  <c r="L84" i="6"/>
  <c r="L54" i="6"/>
  <c r="L178" i="6"/>
  <c r="X25" i="6"/>
  <c r="X148" i="6" s="1"/>
  <c r="X84" i="6"/>
  <c r="X54" i="6"/>
  <c r="BA25" i="6"/>
  <c r="BA178" i="6" s="1"/>
  <c r="BA84" i="6"/>
  <c r="BA54" i="6"/>
  <c r="D177" i="6"/>
  <c r="H25" i="6"/>
  <c r="H118" i="6" s="1"/>
  <c r="H54" i="6"/>
  <c r="H84" i="6"/>
  <c r="H178" i="6"/>
  <c r="F25" i="6"/>
  <c r="F118" i="6" s="1"/>
  <c r="F54" i="6"/>
  <c r="F84" i="6"/>
  <c r="F148" i="6"/>
  <c r="F178" i="6"/>
  <c r="AR25" i="6"/>
  <c r="AR148" i="6" s="1"/>
  <c r="AR84" i="6"/>
  <c r="AR54" i="6"/>
  <c r="AY25" i="6"/>
  <c r="AY178" i="6" s="1"/>
  <c r="AY54" i="6"/>
  <c r="AY84" i="6"/>
  <c r="AY118" i="6"/>
  <c r="AY148" i="6"/>
  <c r="Q25" i="6"/>
  <c r="Q118" i="6" s="1"/>
  <c r="Q54" i="6"/>
  <c r="Q84" i="6"/>
  <c r="K25" i="6"/>
  <c r="K118" i="6" s="1"/>
  <c r="K84" i="6"/>
  <c r="K54" i="6"/>
  <c r="K148" i="6"/>
  <c r="T25" i="6"/>
  <c r="T118" i="6" s="1"/>
  <c r="T84" i="6"/>
  <c r="T54" i="6"/>
  <c r="AB25" i="6"/>
  <c r="AB148" i="6" s="1"/>
  <c r="AB84" i="6"/>
  <c r="AB54" i="6"/>
  <c r="AB118" i="6"/>
  <c r="AQ25" i="6"/>
  <c r="AQ118" i="6" s="1"/>
  <c r="AQ84" i="6"/>
  <c r="AQ54" i="6"/>
  <c r="AQ148" i="6"/>
  <c r="AA25" i="6"/>
  <c r="AA118" i="6" s="1"/>
  <c r="AA84" i="6"/>
  <c r="AA54" i="6"/>
  <c r="AA178" i="6"/>
  <c r="AA148" i="6"/>
  <c r="E25" i="6"/>
  <c r="E118" i="6" s="1"/>
  <c r="E54" i="6"/>
  <c r="E84" i="6"/>
  <c r="V25" i="6"/>
  <c r="V178" i="6" s="1"/>
  <c r="V54" i="6"/>
  <c r="V84" i="6"/>
  <c r="V148" i="6"/>
  <c r="V118" i="6"/>
  <c r="BC53" i="6"/>
  <c r="C22" i="7" s="1"/>
  <c r="J25" i="6"/>
  <c r="J178" i="6" s="1"/>
  <c r="J54" i="6"/>
  <c r="J84" i="6"/>
  <c r="J148" i="6"/>
  <c r="J177" i="6"/>
  <c r="M117" i="6"/>
  <c r="Q177" i="6"/>
  <c r="AS25" i="6"/>
  <c r="AS118" i="6" s="1"/>
  <c r="AS84" i="6"/>
  <c r="AS54" i="6"/>
  <c r="AK25" i="6"/>
  <c r="AK118" i="6" s="1"/>
  <c r="AK54" i="6"/>
  <c r="AK84" i="6"/>
  <c r="AE25" i="6"/>
  <c r="AE178" i="6" s="1"/>
  <c r="AE84" i="6"/>
  <c r="AE54" i="6"/>
  <c r="O25" i="6"/>
  <c r="O118" i="6" s="1"/>
  <c r="O84" i="6"/>
  <c r="O54" i="6"/>
  <c r="S25" i="6"/>
  <c r="S118" i="6" s="1"/>
  <c r="S84" i="6"/>
  <c r="S54" i="6"/>
  <c r="AU25" i="6"/>
  <c r="AU118" i="6" s="1"/>
  <c r="AU84" i="6"/>
  <c r="AU54" i="6"/>
  <c r="K147" i="6"/>
  <c r="AN117" i="6"/>
  <c r="T177" i="6"/>
  <c r="W117" i="6"/>
  <c r="AB147" i="6"/>
  <c r="AG117" i="6"/>
  <c r="AQ177" i="6"/>
  <c r="AH117" i="6"/>
  <c r="AA177" i="6"/>
  <c r="AZ147" i="6"/>
  <c r="E177" i="6"/>
  <c r="AJ117" i="6"/>
  <c r="V177" i="6"/>
  <c r="Y25" i="6"/>
  <c r="Y118" i="6" s="1"/>
  <c r="Y54" i="6"/>
  <c r="Y84" i="6"/>
  <c r="AC25" i="6"/>
  <c r="AC178" i="6" s="1"/>
  <c r="AC54" i="6"/>
  <c r="AC84" i="6"/>
  <c r="AC148" i="6"/>
  <c r="Z25" i="6"/>
  <c r="Z54" i="6"/>
  <c r="Z84" i="6"/>
  <c r="Z178" i="6"/>
  <c r="Z118" i="6"/>
  <c r="AO25" i="6"/>
  <c r="AO178" i="6" s="1"/>
  <c r="AO54" i="6"/>
  <c r="AO84" i="6"/>
  <c r="R25" i="6"/>
  <c r="R178" i="6" s="1"/>
  <c r="R84" i="6"/>
  <c r="R54" i="6"/>
  <c r="R118" i="6"/>
  <c r="BA177" i="6"/>
  <c r="D117" i="6"/>
  <c r="BC83" i="6"/>
  <c r="D22" i="7" s="1"/>
  <c r="AP25" i="6"/>
  <c r="AP178" i="6" s="1"/>
  <c r="AP84" i="6"/>
  <c r="AP54" i="6"/>
  <c r="A26" i="6"/>
  <c r="B26" i="7"/>
  <c r="N25" i="6"/>
  <c r="N84" i="6"/>
  <c r="N54" i="6"/>
  <c r="N118" i="6"/>
  <c r="AW25" i="6"/>
  <c r="AW54" i="6"/>
  <c r="AW84" i="6"/>
  <c r="AW178" i="6"/>
  <c r="AW148" i="6"/>
  <c r="AW118" i="6"/>
  <c r="AX25" i="6"/>
  <c r="AX148" i="6" s="1"/>
  <c r="AX84" i="6"/>
  <c r="AX54" i="6"/>
  <c r="AX118" i="6"/>
  <c r="AS148" i="6" l="1"/>
  <c r="BA148" i="6"/>
  <c r="AD118" i="6"/>
  <c r="G148" i="6"/>
  <c r="AL118" i="6"/>
  <c r="M178" i="6"/>
  <c r="D118" i="6"/>
  <c r="AJ148" i="6"/>
  <c r="AG118" i="6"/>
  <c r="AB178" i="6"/>
  <c r="K178" i="6"/>
  <c r="Q148" i="6"/>
  <c r="M148" i="6"/>
  <c r="AP148" i="6"/>
  <c r="AO118" i="6"/>
  <c r="S148" i="6"/>
  <c r="E178" i="6"/>
  <c r="T178" i="6"/>
  <c r="AR118" i="6"/>
  <c r="X118" i="6"/>
  <c r="AT118" i="6"/>
  <c r="AZ148" i="6"/>
  <c r="AE148" i="6"/>
  <c r="I178" i="6"/>
  <c r="S178" i="6"/>
  <c r="O178" i="6"/>
  <c r="AE118" i="6"/>
  <c r="AS178" i="6"/>
  <c r="BC147" i="6"/>
  <c r="E23" i="7" s="1"/>
  <c r="AK148" i="6"/>
  <c r="AO26" i="6"/>
  <c r="AO149" i="6" s="1"/>
  <c r="AO85" i="6"/>
  <c r="AO55" i="6"/>
  <c r="AO179" i="6"/>
  <c r="AO119" i="6"/>
  <c r="AC26" i="6"/>
  <c r="AC85" i="6"/>
  <c r="AC55" i="6"/>
  <c r="AC179" i="6"/>
  <c r="AC149" i="6"/>
  <c r="AC119" i="6"/>
  <c r="AU148" i="6"/>
  <c r="J26" i="6"/>
  <c r="J119" i="6" s="1"/>
  <c r="J55" i="6"/>
  <c r="J85" i="6"/>
  <c r="BA26" i="6"/>
  <c r="BA149" i="6" s="1"/>
  <c r="BA85" i="6"/>
  <c r="BA55" i="6"/>
  <c r="L26" i="6"/>
  <c r="L119" i="6" s="1"/>
  <c r="L85" i="6"/>
  <c r="L55" i="6"/>
  <c r="AM26" i="6"/>
  <c r="AM149" i="6" s="1"/>
  <c r="AM55" i="6"/>
  <c r="AM85" i="6"/>
  <c r="G26" i="6"/>
  <c r="G119" i="6" s="1"/>
  <c r="G55" i="6"/>
  <c r="G85" i="6"/>
  <c r="AF26" i="6"/>
  <c r="AF179" i="6" s="1"/>
  <c r="AF55" i="6"/>
  <c r="AF85" i="6"/>
  <c r="I26" i="6"/>
  <c r="I119" i="6" s="1"/>
  <c r="I85" i="6"/>
  <c r="I55" i="6"/>
  <c r="AT26" i="6"/>
  <c r="AT119" i="6" s="1"/>
  <c r="AT85" i="6"/>
  <c r="AT55" i="6"/>
  <c r="D85" i="6"/>
  <c r="D26" i="6"/>
  <c r="D119" i="6" s="1"/>
  <c r="D55" i="6"/>
  <c r="AJ26" i="6"/>
  <c r="AJ119" i="6" s="1"/>
  <c r="AJ85" i="6"/>
  <c r="AJ55" i="6"/>
  <c r="AH26" i="6"/>
  <c r="AH149" i="6" s="1"/>
  <c r="AH55" i="6"/>
  <c r="AH85" i="6"/>
  <c r="W26" i="6"/>
  <c r="W119" i="6" s="1"/>
  <c r="W55" i="6"/>
  <c r="W85" i="6"/>
  <c r="O26" i="6"/>
  <c r="O149" i="6" s="1"/>
  <c r="O55" i="6"/>
  <c r="O85" i="6"/>
  <c r="AK26" i="6"/>
  <c r="AK119" i="6" s="1"/>
  <c r="AK85" i="6"/>
  <c r="AK55" i="6"/>
  <c r="G22" i="7"/>
  <c r="I22" i="7" s="1"/>
  <c r="E26" i="6"/>
  <c r="E149" i="6" s="1"/>
  <c r="E55" i="6"/>
  <c r="E85" i="6"/>
  <c r="AQ26" i="6"/>
  <c r="AQ119" i="6" s="1"/>
  <c r="AQ55" i="6"/>
  <c r="AQ85" i="6"/>
  <c r="T26" i="6"/>
  <c r="T149" i="6" s="1"/>
  <c r="T55" i="6"/>
  <c r="T85" i="6"/>
  <c r="Q26" i="6"/>
  <c r="Q119" i="6" s="1"/>
  <c r="Q85" i="6"/>
  <c r="Q55" i="6"/>
  <c r="AR26" i="6"/>
  <c r="AR149" i="6" s="1"/>
  <c r="AR55" i="6"/>
  <c r="AR85" i="6"/>
  <c r="H26" i="6"/>
  <c r="H119" i="6" s="1"/>
  <c r="H85" i="6"/>
  <c r="H55" i="6"/>
  <c r="BC84" i="6"/>
  <c r="D23" i="7" s="1"/>
  <c r="AX26" i="6"/>
  <c r="AX119" i="6" s="1"/>
  <c r="AX85" i="6"/>
  <c r="AX55" i="6"/>
  <c r="N26" i="6"/>
  <c r="N149" i="6" s="1"/>
  <c r="N85" i="6"/>
  <c r="N55" i="6"/>
  <c r="AP118" i="6"/>
  <c r="AX178" i="6"/>
  <c r="N178" i="6"/>
  <c r="R26" i="6"/>
  <c r="R179" i="6" s="1"/>
  <c r="R55" i="6"/>
  <c r="R85" i="6"/>
  <c r="Z26" i="6"/>
  <c r="Z119" i="6" s="1"/>
  <c r="Z85" i="6"/>
  <c r="Z55" i="6"/>
  <c r="Y26" i="6"/>
  <c r="Y149" i="6" s="1"/>
  <c r="Y85" i="6"/>
  <c r="Y55" i="6"/>
  <c r="O148" i="6"/>
  <c r="AK178" i="6"/>
  <c r="E148" i="6"/>
  <c r="AQ178" i="6"/>
  <c r="T148" i="6"/>
  <c r="Q178" i="6"/>
  <c r="AR178" i="6"/>
  <c r="H148" i="6"/>
  <c r="BC177" i="6"/>
  <c r="H23" i="7" s="1"/>
  <c r="X26" i="6"/>
  <c r="X179" i="6" s="1"/>
  <c r="X55" i="6"/>
  <c r="X85" i="6"/>
  <c r="AD26" i="6"/>
  <c r="AD119" i="6" s="1"/>
  <c r="AD85" i="6"/>
  <c r="AD55" i="6"/>
  <c r="P26" i="6"/>
  <c r="P149" i="6" s="1"/>
  <c r="P55" i="6"/>
  <c r="P85" i="6"/>
  <c r="U26" i="6"/>
  <c r="U119" i="6" s="1"/>
  <c r="U55" i="6"/>
  <c r="U85" i="6"/>
  <c r="AV26" i="6"/>
  <c r="AV149" i="6" s="1"/>
  <c r="AV85" i="6"/>
  <c r="AV55" i="6"/>
  <c r="AI26" i="6"/>
  <c r="AI119" i="6" s="1"/>
  <c r="AI85" i="6"/>
  <c r="AI55" i="6"/>
  <c r="AL26" i="6"/>
  <c r="AL149" i="6" s="1"/>
  <c r="AL85" i="6"/>
  <c r="AL55" i="6"/>
  <c r="D178" i="6"/>
  <c r="AZ26" i="6"/>
  <c r="AZ179" i="6" s="1"/>
  <c r="AZ55" i="6"/>
  <c r="AZ85" i="6"/>
  <c r="AZ149" i="6"/>
  <c r="AZ119" i="6"/>
  <c r="AG26" i="6"/>
  <c r="AG85" i="6"/>
  <c r="AG55" i="6"/>
  <c r="AG179" i="6"/>
  <c r="AG149" i="6"/>
  <c r="AG119" i="6"/>
  <c r="AN26" i="6"/>
  <c r="AN179" i="6" s="1"/>
  <c r="AN85" i="6"/>
  <c r="AN55" i="6"/>
  <c r="AN119" i="6"/>
  <c r="AN149" i="6"/>
  <c r="N148" i="6"/>
  <c r="AP26" i="6"/>
  <c r="AP119" i="6" s="1"/>
  <c r="AP85" i="6"/>
  <c r="AP55" i="6"/>
  <c r="AU26" i="6"/>
  <c r="AU55" i="6"/>
  <c r="AU85" i="6"/>
  <c r="AU119" i="6"/>
  <c r="A27" i="6"/>
  <c r="B27" i="7"/>
  <c r="Y178" i="6"/>
  <c r="AU178" i="6"/>
  <c r="AW26" i="6"/>
  <c r="AW119" i="6" s="1"/>
  <c r="AW85" i="6"/>
  <c r="AW55" i="6"/>
  <c r="AW149" i="6"/>
  <c r="BC117" i="6"/>
  <c r="F23" i="7" s="1"/>
  <c r="R148" i="6"/>
  <c r="AO148" i="6"/>
  <c r="Z148" i="6"/>
  <c r="AC118" i="6"/>
  <c r="Y148" i="6"/>
  <c r="S26" i="6"/>
  <c r="S119" i="6" s="1"/>
  <c r="S55" i="6"/>
  <c r="S85" i="6"/>
  <c r="AE26" i="6"/>
  <c r="AE179" i="6" s="1"/>
  <c r="AE55" i="6"/>
  <c r="AE85" i="6"/>
  <c r="AS26" i="6"/>
  <c r="AS119" i="6" s="1"/>
  <c r="AS55" i="6"/>
  <c r="AS85" i="6"/>
  <c r="AS149" i="6"/>
  <c r="J118" i="6"/>
  <c r="V26" i="6"/>
  <c r="V149" i="6" s="1"/>
  <c r="V85" i="6"/>
  <c r="V55" i="6"/>
  <c r="AA26" i="6"/>
  <c r="AA119" i="6" s="1"/>
  <c r="AA85" i="6"/>
  <c r="AA55" i="6"/>
  <c r="AB26" i="6"/>
  <c r="AB149" i="6" s="1"/>
  <c r="AB85" i="6"/>
  <c r="AB55" i="6"/>
  <c r="K26" i="6"/>
  <c r="K119" i="6" s="1"/>
  <c r="K85" i="6"/>
  <c r="K55" i="6"/>
  <c r="AY26" i="6"/>
  <c r="AY179" i="6" s="1"/>
  <c r="AY55" i="6"/>
  <c r="AY85" i="6"/>
  <c r="F26" i="6"/>
  <c r="F119" i="6" s="1"/>
  <c r="F55" i="6"/>
  <c r="F85" i="6"/>
  <c r="BA118" i="6"/>
  <c r="X178" i="6"/>
  <c r="L118" i="6"/>
  <c r="AD148" i="6"/>
  <c r="AM118" i="6"/>
  <c r="P178" i="6"/>
  <c r="U178" i="6"/>
  <c r="G118" i="6"/>
  <c r="AV178" i="6"/>
  <c r="AF118" i="6"/>
  <c r="AI178" i="6"/>
  <c r="I118" i="6"/>
  <c r="AL178" i="6"/>
  <c r="AT148" i="6"/>
  <c r="M26" i="6"/>
  <c r="M119" i="6" s="1"/>
  <c r="M55" i="6"/>
  <c r="M85" i="6"/>
  <c r="BC54" i="6"/>
  <c r="C23" i="7" s="1"/>
  <c r="AJ118" i="6"/>
  <c r="AZ178" i="6"/>
  <c r="AH118" i="6"/>
  <c r="AG148" i="6"/>
  <c r="W118" i="6"/>
  <c r="AN148" i="6"/>
  <c r="Z179" i="6" l="1"/>
  <c r="R149" i="6"/>
  <c r="AK149" i="6"/>
  <c r="O179" i="6"/>
  <c r="W149" i="6"/>
  <c r="AH179" i="6"/>
  <c r="AJ149" i="6"/>
  <c r="Y179" i="6"/>
  <c r="M179" i="6"/>
  <c r="Y119" i="6"/>
  <c r="Z149" i="6"/>
  <c r="R119" i="6"/>
  <c r="H179" i="6"/>
  <c r="Q179" i="6"/>
  <c r="AQ149" i="6"/>
  <c r="F179" i="6"/>
  <c r="AY149" i="6"/>
  <c r="K149" i="6"/>
  <c r="AB179" i="6"/>
  <c r="AA149" i="6"/>
  <c r="V179" i="6"/>
  <c r="BC148" i="6"/>
  <c r="E24" i="7" s="1"/>
  <c r="M149" i="6"/>
  <c r="F149" i="6"/>
  <c r="AY119" i="6"/>
  <c r="K179" i="6"/>
  <c r="AB119" i="6"/>
  <c r="AA179" i="6"/>
  <c r="V119" i="6"/>
  <c r="AX149" i="6"/>
  <c r="AK179" i="6"/>
  <c r="O119" i="6"/>
  <c r="W179" i="6"/>
  <c r="AH119" i="6"/>
  <c r="AJ179" i="6"/>
  <c r="I149" i="6"/>
  <c r="G149" i="6"/>
  <c r="L179" i="6"/>
  <c r="J149" i="6"/>
  <c r="BC118" i="6"/>
  <c r="F24" i="7" s="1"/>
  <c r="AI179" i="6"/>
  <c r="U179" i="6"/>
  <c r="AD149" i="6"/>
  <c r="AU27" i="6"/>
  <c r="AU120" i="6" s="1"/>
  <c r="AU56" i="6"/>
  <c r="AU86" i="6"/>
  <c r="AL27" i="6"/>
  <c r="AL120" i="6" s="1"/>
  <c r="AL56" i="6"/>
  <c r="AL86" i="6"/>
  <c r="AV27" i="6"/>
  <c r="AV150" i="6" s="1"/>
  <c r="AV56" i="6"/>
  <c r="AV86" i="6"/>
  <c r="P27" i="6"/>
  <c r="P120" i="6" s="1"/>
  <c r="P56" i="6"/>
  <c r="P86" i="6"/>
  <c r="X27" i="6"/>
  <c r="X120" i="6" s="1"/>
  <c r="X56" i="6"/>
  <c r="X86" i="6"/>
  <c r="N27" i="6"/>
  <c r="N120" i="6" s="1"/>
  <c r="N56" i="6"/>
  <c r="N86" i="6"/>
  <c r="AR27" i="6"/>
  <c r="AR120" i="6" s="1"/>
  <c r="AR86" i="6"/>
  <c r="AR56" i="6"/>
  <c r="T27" i="6"/>
  <c r="T120" i="6" s="1"/>
  <c r="T86" i="6"/>
  <c r="T56" i="6"/>
  <c r="E27" i="6"/>
  <c r="E120" i="6" s="1"/>
  <c r="E86" i="6"/>
  <c r="E56" i="6"/>
  <c r="D27" i="6"/>
  <c r="D180" i="6" s="1"/>
  <c r="D86" i="6"/>
  <c r="D56" i="6"/>
  <c r="D150" i="6"/>
  <c r="D120" i="6"/>
  <c r="AT27" i="6"/>
  <c r="AT120" i="6" s="1"/>
  <c r="AT86" i="6"/>
  <c r="AT56" i="6"/>
  <c r="AF27" i="6"/>
  <c r="AF150" i="6" s="1"/>
  <c r="AF56" i="6"/>
  <c r="AF86" i="6"/>
  <c r="AM27" i="6"/>
  <c r="AM120" i="6" s="1"/>
  <c r="AM86" i="6"/>
  <c r="AM56" i="6"/>
  <c r="AM180" i="6"/>
  <c r="BA86" i="6"/>
  <c r="BA27" i="6"/>
  <c r="BA150" i="6" s="1"/>
  <c r="BA56" i="6"/>
  <c r="AE27" i="6"/>
  <c r="AE120" i="6" s="1"/>
  <c r="AE56" i="6"/>
  <c r="AE86" i="6"/>
  <c r="M27" i="6"/>
  <c r="M150" i="6" s="1"/>
  <c r="M86" i="6"/>
  <c r="M56" i="6"/>
  <c r="F27" i="6"/>
  <c r="F120" i="6" s="1"/>
  <c r="F86" i="6"/>
  <c r="F56" i="6"/>
  <c r="K27" i="6"/>
  <c r="K180" i="6" s="1"/>
  <c r="K86" i="6"/>
  <c r="K56" i="6"/>
  <c r="K120" i="6"/>
  <c r="AA27" i="6"/>
  <c r="AA120" i="6" s="1"/>
  <c r="AA86" i="6"/>
  <c r="AA56" i="6"/>
  <c r="AE149" i="6"/>
  <c r="A28" i="6"/>
  <c r="B28" i="7"/>
  <c r="AU179" i="6"/>
  <c r="AP149" i="6"/>
  <c r="AN27" i="6"/>
  <c r="AN120" i="6" s="1"/>
  <c r="AN56" i="6"/>
  <c r="AN86" i="6"/>
  <c r="AZ27" i="6"/>
  <c r="AZ120" i="6" s="1"/>
  <c r="AZ86" i="6"/>
  <c r="AZ56" i="6"/>
  <c r="AL179" i="6"/>
  <c r="AV179" i="6"/>
  <c r="P179" i="6"/>
  <c r="X149" i="6"/>
  <c r="Z27" i="6"/>
  <c r="Z120" i="6" s="1"/>
  <c r="Z86" i="6"/>
  <c r="Z56" i="6"/>
  <c r="N179" i="6"/>
  <c r="AR179" i="6"/>
  <c r="T179" i="6"/>
  <c r="E179" i="6"/>
  <c r="O27" i="6"/>
  <c r="O120" i="6" s="1"/>
  <c r="O86" i="6"/>
  <c r="O56" i="6"/>
  <c r="AH27" i="6"/>
  <c r="AH120" i="6" s="1"/>
  <c r="AH86" i="6"/>
  <c r="AH56" i="6"/>
  <c r="D149" i="6"/>
  <c r="BC85" i="6"/>
  <c r="D24" i="7" s="1"/>
  <c r="AT179" i="6"/>
  <c r="AF149" i="6"/>
  <c r="AM179" i="6"/>
  <c r="BA179" i="6"/>
  <c r="AC27" i="6"/>
  <c r="AC120" i="6" s="1"/>
  <c r="AC56" i="6"/>
  <c r="AC86" i="6"/>
  <c r="AS27" i="6"/>
  <c r="AS120" i="6" s="1"/>
  <c r="AS86" i="6"/>
  <c r="AS56" i="6"/>
  <c r="S27" i="6"/>
  <c r="S120" i="6" s="1"/>
  <c r="S56" i="6"/>
  <c r="S86" i="6"/>
  <c r="BC178" i="6"/>
  <c r="H24" i="7" s="1"/>
  <c r="AI27" i="6"/>
  <c r="AI150" i="6" s="1"/>
  <c r="AI86" i="6"/>
  <c r="AI56" i="6"/>
  <c r="AI120" i="6"/>
  <c r="U27" i="6"/>
  <c r="U120" i="6" s="1"/>
  <c r="U56" i="6"/>
  <c r="U86" i="6"/>
  <c r="AD27" i="6"/>
  <c r="AD180" i="6" s="1"/>
  <c r="AD56" i="6"/>
  <c r="AD86" i="6"/>
  <c r="AX27" i="6"/>
  <c r="AX120" i="6" s="1"/>
  <c r="AX56" i="6"/>
  <c r="AX86" i="6"/>
  <c r="H27" i="6"/>
  <c r="H180" i="6" s="1"/>
  <c r="H86" i="6"/>
  <c r="H56" i="6"/>
  <c r="H120" i="6"/>
  <c r="Q27" i="6"/>
  <c r="Q120" i="6" s="1"/>
  <c r="Q86" i="6"/>
  <c r="Q56" i="6"/>
  <c r="AQ27" i="6"/>
  <c r="AQ180" i="6" s="1"/>
  <c r="AQ56" i="6"/>
  <c r="AQ86" i="6"/>
  <c r="D179" i="6"/>
  <c r="I27" i="6"/>
  <c r="I120" i="6" s="1"/>
  <c r="I56" i="6"/>
  <c r="I86" i="6"/>
  <c r="G27" i="6"/>
  <c r="G120" i="6" s="1"/>
  <c r="G56" i="6"/>
  <c r="G86" i="6"/>
  <c r="L27" i="6"/>
  <c r="L120" i="6" s="1"/>
  <c r="L86" i="6"/>
  <c r="L56" i="6"/>
  <c r="J27" i="6"/>
  <c r="J120" i="6" s="1"/>
  <c r="J86" i="6"/>
  <c r="J56" i="6"/>
  <c r="S179" i="6"/>
  <c r="AW27" i="6"/>
  <c r="AW180" i="6" s="1"/>
  <c r="AW86" i="6"/>
  <c r="AW56" i="6"/>
  <c r="AW120" i="6"/>
  <c r="AP27" i="6"/>
  <c r="AP120" i="6" s="1"/>
  <c r="AP56" i="6"/>
  <c r="AP86" i="6"/>
  <c r="G23" i="7"/>
  <c r="I23" i="7" s="1"/>
  <c r="AY27" i="6"/>
  <c r="AY150" i="6" s="1"/>
  <c r="AY86" i="6"/>
  <c r="AY56" i="6"/>
  <c r="AB27" i="6"/>
  <c r="AB120" i="6" s="1"/>
  <c r="AB56" i="6"/>
  <c r="AB86" i="6"/>
  <c r="V27" i="6"/>
  <c r="V120" i="6" s="1"/>
  <c r="V86" i="6"/>
  <c r="V56" i="6"/>
  <c r="AS179" i="6"/>
  <c r="AE119" i="6"/>
  <c r="S149" i="6"/>
  <c r="AW179" i="6"/>
  <c r="AU149" i="6"/>
  <c r="AP179" i="6"/>
  <c r="AG27" i="6"/>
  <c r="AG120" i="6" s="1"/>
  <c r="AG86" i="6"/>
  <c r="AG56" i="6"/>
  <c r="AL119" i="6"/>
  <c r="AI149" i="6"/>
  <c r="AV119" i="6"/>
  <c r="U149" i="6"/>
  <c r="P119" i="6"/>
  <c r="AD179" i="6"/>
  <c r="X119" i="6"/>
  <c r="Y27" i="6"/>
  <c r="Y180" i="6" s="1"/>
  <c r="Y56" i="6"/>
  <c r="Y86" i="6"/>
  <c r="R27" i="6"/>
  <c r="R120" i="6" s="1"/>
  <c r="R86" i="6"/>
  <c r="R56" i="6"/>
  <c r="N119" i="6"/>
  <c r="AX179" i="6"/>
  <c r="H149" i="6"/>
  <c r="AR119" i="6"/>
  <c r="Q149" i="6"/>
  <c r="T119" i="6"/>
  <c r="AQ179" i="6"/>
  <c r="E119" i="6"/>
  <c r="AK27" i="6"/>
  <c r="AK180" i="6" s="1"/>
  <c r="AK86" i="6"/>
  <c r="AK56" i="6"/>
  <c r="AK120" i="6"/>
  <c r="W27" i="6"/>
  <c r="W120" i="6" s="1"/>
  <c r="W86" i="6"/>
  <c r="W56" i="6"/>
  <c r="AJ27" i="6"/>
  <c r="AJ150" i="6" s="1"/>
  <c r="AJ56" i="6"/>
  <c r="AJ86" i="6"/>
  <c r="BC55" i="6"/>
  <c r="C24" i="7" s="1"/>
  <c r="AT149" i="6"/>
  <c r="I179" i="6"/>
  <c r="AF119" i="6"/>
  <c r="G179" i="6"/>
  <c r="AM119" i="6"/>
  <c r="L149" i="6"/>
  <c r="BA119" i="6"/>
  <c r="J179" i="6"/>
  <c r="AO27" i="6"/>
  <c r="AO120" i="6" s="1"/>
  <c r="AO56" i="6"/>
  <c r="AO86" i="6"/>
  <c r="AJ120" i="6" l="1"/>
  <c r="AW150" i="6"/>
  <c r="M120" i="6"/>
  <c r="BC120" i="6" s="1"/>
  <c r="F26" i="7" s="1"/>
  <c r="AM150" i="6"/>
  <c r="AF120" i="6"/>
  <c r="AT150" i="6"/>
  <c r="Y120" i="6"/>
  <c r="AQ120" i="6"/>
  <c r="H150" i="6"/>
  <c r="AX150" i="6"/>
  <c r="AD120" i="6"/>
  <c r="AI180" i="6"/>
  <c r="AJ180" i="6"/>
  <c r="AK150" i="6"/>
  <c r="Y150" i="6"/>
  <c r="J180" i="6"/>
  <c r="L150" i="6"/>
  <c r="G150" i="6"/>
  <c r="I150" i="6"/>
  <c r="AD150" i="6"/>
  <c r="U150" i="6"/>
  <c r="K150" i="6"/>
  <c r="M180" i="6"/>
  <c r="AE150" i="6"/>
  <c r="AT180" i="6"/>
  <c r="G24" i="7"/>
  <c r="I24" i="7" s="1"/>
  <c r="AP150" i="6"/>
  <c r="AQ150" i="6"/>
  <c r="Q180" i="6"/>
  <c r="S150" i="6"/>
  <c r="AS150" i="6"/>
  <c r="AC180" i="6"/>
  <c r="AF180" i="6"/>
  <c r="R150" i="6"/>
  <c r="AP180" i="6"/>
  <c r="Q150" i="6"/>
  <c r="U180" i="6"/>
  <c r="F180" i="6"/>
  <c r="AE180" i="6"/>
  <c r="BA120" i="6"/>
  <c r="W150" i="6"/>
  <c r="R180" i="6"/>
  <c r="AA180" i="6"/>
  <c r="F150" i="6"/>
  <c r="W180" i="6"/>
  <c r="AX180" i="6"/>
  <c r="AA150" i="6"/>
  <c r="AG180" i="6"/>
  <c r="AY120" i="6"/>
  <c r="AH180" i="6"/>
  <c r="O180" i="6"/>
  <c r="Z150" i="6"/>
  <c r="AZ150" i="6"/>
  <c r="AN150" i="6"/>
  <c r="BA180" i="6"/>
  <c r="E180" i="6"/>
  <c r="T180" i="6"/>
  <c r="AR150" i="6"/>
  <c r="N150" i="6"/>
  <c r="X180" i="6"/>
  <c r="P150" i="6"/>
  <c r="AV120" i="6"/>
  <c r="AL150" i="6"/>
  <c r="AU150" i="6"/>
  <c r="BC119" i="6"/>
  <c r="F25" i="7" s="1"/>
  <c r="AO28" i="6"/>
  <c r="AO181" i="6" s="1"/>
  <c r="AO87" i="6"/>
  <c r="AO57" i="6"/>
  <c r="AO151" i="6"/>
  <c r="V180" i="6"/>
  <c r="AO180" i="6"/>
  <c r="W28" i="6"/>
  <c r="W181" i="6" s="1"/>
  <c r="W87" i="6"/>
  <c r="W57" i="6"/>
  <c r="R28" i="6"/>
  <c r="R121" i="6" s="1"/>
  <c r="R57" i="6"/>
  <c r="R87" i="6"/>
  <c r="AG150" i="6"/>
  <c r="V150" i="6"/>
  <c r="AY180" i="6"/>
  <c r="AW28" i="6"/>
  <c r="AW151" i="6" s="1"/>
  <c r="AW87" i="6"/>
  <c r="AW57" i="6"/>
  <c r="J150" i="6"/>
  <c r="G180" i="6"/>
  <c r="AQ28" i="6"/>
  <c r="AQ87" i="6"/>
  <c r="AQ57" i="6"/>
  <c r="AQ151" i="6"/>
  <c r="AQ121" i="6"/>
  <c r="H28" i="6"/>
  <c r="H121" i="6" s="1"/>
  <c r="H57" i="6"/>
  <c r="H87" i="6"/>
  <c r="AD28" i="6"/>
  <c r="AD151" i="6" s="1"/>
  <c r="AD57" i="6"/>
  <c r="AD87" i="6"/>
  <c r="AD121" i="6"/>
  <c r="AI28" i="6"/>
  <c r="AI151" i="6" s="1"/>
  <c r="AI87" i="6"/>
  <c r="AI57" i="6"/>
  <c r="AI121" i="6"/>
  <c r="S180" i="6"/>
  <c r="AC150" i="6"/>
  <c r="AH150" i="6"/>
  <c r="Z180" i="6"/>
  <c r="AN180" i="6"/>
  <c r="K28" i="6"/>
  <c r="K121" i="6" s="1"/>
  <c r="K57" i="6"/>
  <c r="K87" i="6"/>
  <c r="M28" i="6"/>
  <c r="M151" i="6" s="1"/>
  <c r="M87" i="6"/>
  <c r="M57" i="6"/>
  <c r="M181" i="6"/>
  <c r="AF28" i="6"/>
  <c r="AF121" i="6" s="1"/>
  <c r="AF87" i="6"/>
  <c r="AF57" i="6"/>
  <c r="AF151" i="6"/>
  <c r="D28" i="6"/>
  <c r="D151" i="6" s="1"/>
  <c r="D87" i="6"/>
  <c r="D57" i="6"/>
  <c r="E150" i="6"/>
  <c r="AR180" i="6"/>
  <c r="X150" i="6"/>
  <c r="AV180" i="6"/>
  <c r="AU180" i="6"/>
  <c r="AB28" i="6"/>
  <c r="AB181" i="6" s="1"/>
  <c r="AB57" i="6"/>
  <c r="AB87" i="6"/>
  <c r="AB151" i="6"/>
  <c r="I28" i="6"/>
  <c r="I121" i="6" s="1"/>
  <c r="I87" i="6"/>
  <c r="I57" i="6"/>
  <c r="I181" i="6"/>
  <c r="AS28" i="6"/>
  <c r="AS181" i="6" s="1"/>
  <c r="AS57" i="6"/>
  <c r="AS87" i="6"/>
  <c r="AS151" i="6"/>
  <c r="BC149" i="6"/>
  <c r="E25" i="7" s="1"/>
  <c r="O28" i="6"/>
  <c r="O121" i="6" s="1"/>
  <c r="O87" i="6"/>
  <c r="O57" i="6"/>
  <c r="AZ28" i="6"/>
  <c r="AZ121" i="6" s="1"/>
  <c r="AZ87" i="6"/>
  <c r="AZ57" i="6"/>
  <c r="T28" i="6"/>
  <c r="T121" i="6" s="1"/>
  <c r="T87" i="6"/>
  <c r="T57" i="6"/>
  <c r="N28" i="6"/>
  <c r="N181" i="6" s="1"/>
  <c r="N87" i="6"/>
  <c r="N57" i="6"/>
  <c r="P28" i="6"/>
  <c r="P121" i="6" s="1"/>
  <c r="P87" i="6"/>
  <c r="P57" i="6"/>
  <c r="AL28" i="6"/>
  <c r="AL181" i="6" s="1"/>
  <c r="AL87" i="6"/>
  <c r="AL57" i="6"/>
  <c r="AB150" i="6"/>
  <c r="L28" i="6"/>
  <c r="L151" i="6" s="1"/>
  <c r="L57" i="6"/>
  <c r="L87" i="6"/>
  <c r="AO150" i="6"/>
  <c r="AJ28" i="6"/>
  <c r="AJ151" i="6" s="1"/>
  <c r="AJ57" i="6"/>
  <c r="AJ87" i="6"/>
  <c r="AJ181" i="6"/>
  <c r="AJ121" i="6"/>
  <c r="AK28" i="6"/>
  <c r="AK181" i="6" s="1"/>
  <c r="AK57" i="6"/>
  <c r="AK87" i="6"/>
  <c r="AK151" i="6"/>
  <c r="AK121" i="6"/>
  <c r="Y28" i="6"/>
  <c r="Y121" i="6" s="1"/>
  <c r="Y87" i="6"/>
  <c r="Y57" i="6"/>
  <c r="Y151" i="6"/>
  <c r="Y181" i="6"/>
  <c r="AB180" i="6"/>
  <c r="AP28" i="6"/>
  <c r="AP121" i="6" s="1"/>
  <c r="AP87" i="6"/>
  <c r="AP57" i="6"/>
  <c r="L180" i="6"/>
  <c r="I180" i="6"/>
  <c r="BC179" i="6"/>
  <c r="H25" i="7" s="1"/>
  <c r="Q28" i="6"/>
  <c r="Q181" i="6" s="1"/>
  <c r="Q57" i="6"/>
  <c r="Q87" i="6"/>
  <c r="Q151" i="6"/>
  <c r="AX28" i="6"/>
  <c r="AX121" i="6" s="1"/>
  <c r="AX87" i="6"/>
  <c r="AX57" i="6"/>
  <c r="AX151" i="6"/>
  <c r="U28" i="6"/>
  <c r="U181" i="6" s="1"/>
  <c r="U57" i="6"/>
  <c r="U87" i="6"/>
  <c r="U151" i="6"/>
  <c r="AS180" i="6"/>
  <c r="O150" i="6"/>
  <c r="AZ180" i="6"/>
  <c r="A29" i="6"/>
  <c r="B29" i="7"/>
  <c r="AA28" i="6"/>
  <c r="AA121" i="6" s="1"/>
  <c r="AA57" i="6"/>
  <c r="AA87" i="6"/>
  <c r="F28" i="6"/>
  <c r="F151" i="6" s="1"/>
  <c r="F57" i="6"/>
  <c r="F87" i="6"/>
  <c r="AE28" i="6"/>
  <c r="AE121" i="6" s="1"/>
  <c r="AE87" i="6"/>
  <c r="AE57" i="6"/>
  <c r="AM28" i="6"/>
  <c r="AM151" i="6" s="1"/>
  <c r="AM87" i="6"/>
  <c r="AM57" i="6"/>
  <c r="AT28" i="6"/>
  <c r="AT121" i="6" s="1"/>
  <c r="AT87" i="6"/>
  <c r="AT57" i="6"/>
  <c r="BC56" i="6"/>
  <c r="C25" i="7" s="1"/>
  <c r="T150" i="6"/>
  <c r="N180" i="6"/>
  <c r="P180" i="6"/>
  <c r="AL180" i="6"/>
  <c r="AG28" i="6"/>
  <c r="AG151" i="6" s="1"/>
  <c r="AG57" i="6"/>
  <c r="AG87" i="6"/>
  <c r="AG181" i="6"/>
  <c r="AG121" i="6"/>
  <c r="V28" i="6"/>
  <c r="V121" i="6" s="1"/>
  <c r="V57" i="6"/>
  <c r="V87" i="6"/>
  <c r="V181" i="6"/>
  <c r="V151" i="6"/>
  <c r="AY28" i="6"/>
  <c r="AY181" i="6" s="1"/>
  <c r="AY87" i="6"/>
  <c r="AY57" i="6"/>
  <c r="AY151" i="6"/>
  <c r="AY121" i="6"/>
  <c r="J28" i="6"/>
  <c r="J121" i="6" s="1"/>
  <c r="J57" i="6"/>
  <c r="J87" i="6"/>
  <c r="J151" i="6"/>
  <c r="J181" i="6"/>
  <c r="G28" i="6"/>
  <c r="G151" i="6" s="1"/>
  <c r="G57" i="6"/>
  <c r="G87" i="6"/>
  <c r="G181" i="6"/>
  <c r="G121" i="6"/>
  <c r="S28" i="6"/>
  <c r="S121" i="6" s="1"/>
  <c r="S87" i="6"/>
  <c r="S57" i="6"/>
  <c r="S181" i="6"/>
  <c r="S151" i="6"/>
  <c r="AC28" i="6"/>
  <c r="AC181" i="6" s="1"/>
  <c r="AC87" i="6"/>
  <c r="AC57" i="6"/>
  <c r="AC151" i="6"/>
  <c r="AC121" i="6"/>
  <c r="AH28" i="6"/>
  <c r="AH121" i="6" s="1"/>
  <c r="AH57" i="6"/>
  <c r="AH87" i="6"/>
  <c r="AH181" i="6"/>
  <c r="AH151" i="6"/>
  <c r="Z28" i="6"/>
  <c r="Z181" i="6" s="1"/>
  <c r="Z57" i="6"/>
  <c r="Z87" i="6"/>
  <c r="Z151" i="6"/>
  <c r="Z121" i="6"/>
  <c r="AN28" i="6"/>
  <c r="AN121" i="6" s="1"/>
  <c r="AN57" i="6"/>
  <c r="AN87" i="6"/>
  <c r="AN181" i="6"/>
  <c r="AN151" i="6"/>
  <c r="BA87" i="6"/>
  <c r="BA28" i="6"/>
  <c r="BA121" i="6" s="1"/>
  <c r="BA57" i="6"/>
  <c r="BC86" i="6"/>
  <c r="D25" i="7" s="1"/>
  <c r="E28" i="6"/>
  <c r="E181" i="6" s="1"/>
  <c r="E57" i="6"/>
  <c r="E87" i="6"/>
  <c r="AR28" i="6"/>
  <c r="AR151" i="6" s="1"/>
  <c r="AR87" i="6"/>
  <c r="AR57" i="6"/>
  <c r="X28" i="6"/>
  <c r="X181" i="6" s="1"/>
  <c r="X87" i="6"/>
  <c r="X57" i="6"/>
  <c r="AV28" i="6"/>
  <c r="AV151" i="6" s="1"/>
  <c r="AV57" i="6"/>
  <c r="AV87" i="6"/>
  <c r="AU28" i="6"/>
  <c r="AU181" i="6" s="1"/>
  <c r="AU87" i="6"/>
  <c r="AU57" i="6"/>
  <c r="P151" i="6" l="1"/>
  <c r="T151" i="6"/>
  <c r="AW121" i="6"/>
  <c r="AL151" i="6"/>
  <c r="N151" i="6"/>
  <c r="R151" i="6"/>
  <c r="W151" i="6"/>
  <c r="U121" i="6"/>
  <c r="AX181" i="6"/>
  <c r="Q121" i="6"/>
  <c r="AL121" i="6"/>
  <c r="P181" i="6"/>
  <c r="N121" i="6"/>
  <c r="T181" i="6"/>
  <c r="O151" i="6"/>
  <c r="AF181" i="6"/>
  <c r="M121" i="6"/>
  <c r="H151" i="6"/>
  <c r="R181" i="6"/>
  <c r="W121" i="6"/>
  <c r="AO121" i="6"/>
  <c r="AU151" i="6"/>
  <c r="AV121" i="6"/>
  <c r="X151" i="6"/>
  <c r="AR121" i="6"/>
  <c r="E151" i="6"/>
  <c r="K181" i="6"/>
  <c r="AU121" i="6"/>
  <c r="AV181" i="6"/>
  <c r="X121" i="6"/>
  <c r="AR181" i="6"/>
  <c r="E121" i="6"/>
  <c r="AT151" i="6"/>
  <c r="AE151" i="6"/>
  <c r="AA151" i="6"/>
  <c r="BC180" i="6"/>
  <c r="H26" i="7" s="1"/>
  <c r="AS121" i="6"/>
  <c r="I151" i="6"/>
  <c r="AB121" i="6"/>
  <c r="K151" i="6"/>
  <c r="H181" i="6"/>
  <c r="AP151" i="6"/>
  <c r="BC150" i="6"/>
  <c r="E26" i="7" s="1"/>
  <c r="AI181" i="6"/>
  <c r="BA181" i="6"/>
  <c r="G25" i="7"/>
  <c r="I25" i="7" s="1"/>
  <c r="AM29" i="6"/>
  <c r="AM122" i="6" s="1"/>
  <c r="AM58" i="6"/>
  <c r="AM88" i="6"/>
  <c r="F29" i="6"/>
  <c r="F152" i="6" s="1"/>
  <c r="F88" i="6"/>
  <c r="F58" i="6"/>
  <c r="L29" i="6"/>
  <c r="L122" i="6" s="1"/>
  <c r="L88" i="6"/>
  <c r="L58" i="6"/>
  <c r="L182" i="6"/>
  <c r="AZ29" i="6"/>
  <c r="AZ182" i="6" s="1"/>
  <c r="AZ58" i="6"/>
  <c r="AZ88" i="6"/>
  <c r="AZ122" i="6"/>
  <c r="D29" i="6"/>
  <c r="D152" i="6" s="1"/>
  <c r="D88" i="6"/>
  <c r="D58" i="6"/>
  <c r="D122" i="6"/>
  <c r="AD29" i="6"/>
  <c r="AD122" i="6" s="1"/>
  <c r="AD88" i="6"/>
  <c r="AD58" i="6"/>
  <c r="AD182" i="6"/>
  <c r="AQ29" i="6"/>
  <c r="AQ58" i="6"/>
  <c r="AQ88" i="6"/>
  <c r="AQ152" i="6"/>
  <c r="AQ122" i="6"/>
  <c r="AW29" i="6"/>
  <c r="AW122" i="6" s="1"/>
  <c r="AW88" i="6"/>
  <c r="AW58" i="6"/>
  <c r="AV29" i="6"/>
  <c r="AV152" i="6" s="1"/>
  <c r="AV88" i="6"/>
  <c r="AV58" i="6"/>
  <c r="AV122" i="6"/>
  <c r="AR29" i="6"/>
  <c r="AR122" i="6" s="1"/>
  <c r="AR58" i="6"/>
  <c r="AR88" i="6"/>
  <c r="AR152" i="6"/>
  <c r="AN29" i="6"/>
  <c r="AN88" i="6"/>
  <c r="AN58" i="6"/>
  <c r="AN152" i="6"/>
  <c r="AN122" i="6"/>
  <c r="AH29" i="6"/>
  <c r="AH122" i="6" s="1"/>
  <c r="AH88" i="6"/>
  <c r="AH58" i="6"/>
  <c r="S29" i="6"/>
  <c r="S152" i="6" s="1"/>
  <c r="S88" i="6"/>
  <c r="S58" i="6"/>
  <c r="S122" i="6"/>
  <c r="J29" i="6"/>
  <c r="J122" i="6" s="1"/>
  <c r="J88" i="6"/>
  <c r="J58" i="6"/>
  <c r="J182" i="6"/>
  <c r="V29" i="6"/>
  <c r="V88" i="6"/>
  <c r="V58" i="6"/>
  <c r="V152" i="6"/>
  <c r="V122" i="6"/>
  <c r="AM181" i="6"/>
  <c r="F181" i="6"/>
  <c r="U29" i="6"/>
  <c r="U182" i="6" s="1"/>
  <c r="U88" i="6"/>
  <c r="U58" i="6"/>
  <c r="Q29" i="6"/>
  <c r="Q122" i="6" s="1"/>
  <c r="Q88" i="6"/>
  <c r="Q58" i="6"/>
  <c r="Q152" i="6"/>
  <c r="Y29" i="6"/>
  <c r="Y152" i="6" s="1"/>
  <c r="Y88" i="6"/>
  <c r="Y58" i="6"/>
  <c r="Y122" i="6"/>
  <c r="AJ29" i="6"/>
  <c r="AJ122" i="6" s="1"/>
  <c r="AJ88" i="6"/>
  <c r="AJ58" i="6"/>
  <c r="AJ182" i="6"/>
  <c r="AJ152" i="6"/>
  <c r="L181" i="6"/>
  <c r="P29" i="6"/>
  <c r="P122" i="6" s="1"/>
  <c r="P88" i="6"/>
  <c r="P58" i="6"/>
  <c r="P152" i="6"/>
  <c r="T29" i="6"/>
  <c r="T58" i="6"/>
  <c r="T88" i="6"/>
  <c r="T182" i="6"/>
  <c r="T152" i="6"/>
  <c r="T122" i="6"/>
  <c r="AZ181" i="6"/>
  <c r="AS29" i="6"/>
  <c r="AS122" i="6" s="1"/>
  <c r="AS88" i="6"/>
  <c r="AS58" i="6"/>
  <c r="AB29" i="6"/>
  <c r="AB152" i="6" s="1"/>
  <c r="AB88" i="6"/>
  <c r="AB58" i="6"/>
  <c r="AB122" i="6"/>
  <c r="D181" i="6"/>
  <c r="M29" i="6"/>
  <c r="M122" i="6" s="1"/>
  <c r="M88" i="6"/>
  <c r="M58" i="6"/>
  <c r="AD181" i="6"/>
  <c r="AQ181" i="6"/>
  <c r="AW181" i="6"/>
  <c r="R29" i="6"/>
  <c r="R182" i="6" s="1"/>
  <c r="R88" i="6"/>
  <c r="R58" i="6"/>
  <c r="R122" i="6"/>
  <c r="AT29" i="6"/>
  <c r="AT152" i="6" s="1"/>
  <c r="AT88" i="6"/>
  <c r="AT58" i="6"/>
  <c r="AT182" i="6"/>
  <c r="AT122" i="6"/>
  <c r="AE29" i="6"/>
  <c r="AE152" i="6" s="1"/>
  <c r="AE58" i="6"/>
  <c r="AE88" i="6"/>
  <c r="AA29" i="6"/>
  <c r="AA122" i="6" s="1"/>
  <c r="AA58" i="6"/>
  <c r="AA88" i="6"/>
  <c r="AA152" i="6"/>
  <c r="AP29" i="6"/>
  <c r="AP152" i="6" s="1"/>
  <c r="AP58" i="6"/>
  <c r="AP88" i="6"/>
  <c r="AP122" i="6"/>
  <c r="O29" i="6"/>
  <c r="O122" i="6" s="1"/>
  <c r="O58" i="6"/>
  <c r="O88" i="6"/>
  <c r="O152" i="6"/>
  <c r="O182" i="6"/>
  <c r="BC57" i="6"/>
  <c r="C26" i="7" s="1"/>
  <c r="AI29" i="6"/>
  <c r="AI122" i="6" s="1"/>
  <c r="AI58" i="6"/>
  <c r="AI88" i="6"/>
  <c r="AI182" i="6"/>
  <c r="H29" i="6"/>
  <c r="H58" i="6"/>
  <c r="H88" i="6"/>
  <c r="H182" i="6"/>
  <c r="H152" i="6"/>
  <c r="H122" i="6"/>
  <c r="BA88" i="6"/>
  <c r="BA29" i="6"/>
  <c r="BA182" i="6" s="1"/>
  <c r="BA58" i="6"/>
  <c r="AU29" i="6"/>
  <c r="AU182" i="6" s="1"/>
  <c r="AU88" i="6"/>
  <c r="AU58" i="6"/>
  <c r="X29" i="6"/>
  <c r="X122" i="6" s="1"/>
  <c r="X58" i="6"/>
  <c r="X88" i="6"/>
  <c r="E29" i="6"/>
  <c r="E122" i="6" s="1"/>
  <c r="E58" i="6"/>
  <c r="E88" i="6"/>
  <c r="BA151" i="6"/>
  <c r="Z29" i="6"/>
  <c r="Z122" i="6" s="1"/>
  <c r="Z58" i="6"/>
  <c r="Z88" i="6"/>
  <c r="Z152" i="6"/>
  <c r="AC29" i="6"/>
  <c r="AC152" i="6" s="1"/>
  <c r="AC88" i="6"/>
  <c r="AC58" i="6"/>
  <c r="AC122" i="6"/>
  <c r="G29" i="6"/>
  <c r="G122" i="6" s="1"/>
  <c r="G58" i="6"/>
  <c r="G88" i="6"/>
  <c r="G182" i="6"/>
  <c r="G152" i="6"/>
  <c r="AY29" i="6"/>
  <c r="AY122" i="6" s="1"/>
  <c r="AY58" i="6"/>
  <c r="AY88" i="6"/>
  <c r="AG29" i="6"/>
  <c r="AG122" i="6" s="1"/>
  <c r="AG58" i="6"/>
  <c r="AG88" i="6"/>
  <c r="AG152" i="6"/>
  <c r="AT181" i="6"/>
  <c r="AM121" i="6"/>
  <c r="AE181" i="6"/>
  <c r="F121" i="6"/>
  <c r="AA181" i="6"/>
  <c r="B30" i="7"/>
  <c r="A30" i="6"/>
  <c r="AX29" i="6"/>
  <c r="AX152" i="6" s="1"/>
  <c r="AX88" i="6"/>
  <c r="AX58" i="6"/>
  <c r="AP181" i="6"/>
  <c r="AK29" i="6"/>
  <c r="AK122" i="6" s="1"/>
  <c r="AK88" i="6"/>
  <c r="AK58" i="6"/>
  <c r="AK152" i="6"/>
  <c r="L121" i="6"/>
  <c r="AL29" i="6"/>
  <c r="AL182" i="6" s="1"/>
  <c r="AL58" i="6"/>
  <c r="AL88" i="6"/>
  <c r="N29" i="6"/>
  <c r="N122" i="6" s="1"/>
  <c r="N58" i="6"/>
  <c r="N88" i="6"/>
  <c r="N152" i="6"/>
  <c r="AZ151" i="6"/>
  <c r="O181" i="6"/>
  <c r="I29" i="6"/>
  <c r="I122" i="6" s="1"/>
  <c r="I88" i="6"/>
  <c r="I58" i="6"/>
  <c r="I182" i="6"/>
  <c r="D121" i="6"/>
  <c r="BC87" i="6"/>
  <c r="D26" i="7" s="1"/>
  <c r="AF29" i="6"/>
  <c r="AF122" i="6" s="1"/>
  <c r="AF88" i="6"/>
  <c r="AF58" i="6"/>
  <c r="AF152" i="6"/>
  <c r="K29" i="6"/>
  <c r="K182" i="6" s="1"/>
  <c r="K88" i="6"/>
  <c r="K58" i="6"/>
  <c r="K122" i="6"/>
  <c r="W29" i="6"/>
  <c r="W122" i="6" s="1"/>
  <c r="W58" i="6"/>
  <c r="W88" i="6"/>
  <c r="W182" i="6"/>
  <c r="AO29" i="6"/>
  <c r="AO182" i="6" s="1"/>
  <c r="AO88" i="6"/>
  <c r="AO58" i="6"/>
  <c r="AO152" i="6"/>
  <c r="AX122" i="6" l="1"/>
  <c r="E182" i="6"/>
  <c r="M152" i="6"/>
  <c r="AF182" i="6"/>
  <c r="I152" i="6"/>
  <c r="N182" i="6"/>
  <c r="AL122" i="6"/>
  <c r="AX182" i="6"/>
  <c r="AG182" i="6"/>
  <c r="AY152" i="6"/>
  <c r="M182" i="6"/>
  <c r="Q182" i="6"/>
  <c r="U122" i="6"/>
  <c r="AH152" i="6"/>
  <c r="AZ152" i="6"/>
  <c r="L152" i="6"/>
  <c r="F122" i="6"/>
  <c r="AM182" i="6"/>
  <c r="K152" i="6"/>
  <c r="Z182" i="6"/>
  <c r="AU122" i="6"/>
  <c r="AA182" i="6"/>
  <c r="AE122" i="6"/>
  <c r="AS152" i="6"/>
  <c r="AW152" i="6"/>
  <c r="BA152" i="6"/>
  <c r="W152" i="6"/>
  <c r="BC121" i="6"/>
  <c r="F27" i="7" s="1"/>
  <c r="BC151" i="6"/>
  <c r="E27" i="7" s="1"/>
  <c r="E152" i="6"/>
  <c r="X182" i="6"/>
  <c r="AU152" i="6"/>
  <c r="AS182" i="6"/>
  <c r="J152" i="6"/>
  <c r="AR182" i="6"/>
  <c r="AD152" i="6"/>
  <c r="AM152" i="6"/>
  <c r="AO122" i="6"/>
  <c r="AK182" i="6"/>
  <c r="BA122" i="6"/>
  <c r="AH182" i="6"/>
  <c r="AW182" i="6"/>
  <c r="F182" i="6"/>
  <c r="AL30" i="6"/>
  <c r="AL183" i="6" s="1"/>
  <c r="AL59" i="6"/>
  <c r="AL89" i="6"/>
  <c r="AL123" i="6"/>
  <c r="AL152" i="6"/>
  <c r="AY30" i="6"/>
  <c r="AY183" i="6" s="1"/>
  <c r="AY89" i="6"/>
  <c r="AY59" i="6"/>
  <c r="AY123" i="6"/>
  <c r="AC30" i="6"/>
  <c r="AC123" i="6" s="1"/>
  <c r="AC89" i="6"/>
  <c r="AC59" i="6"/>
  <c r="X152" i="6"/>
  <c r="AI152" i="6"/>
  <c r="G26" i="7"/>
  <c r="I26" i="7" s="1"/>
  <c r="AP30" i="6"/>
  <c r="AP123" i="6" s="1"/>
  <c r="AP89" i="6"/>
  <c r="AP59" i="6"/>
  <c r="AE30" i="6"/>
  <c r="AE123" i="6" s="1"/>
  <c r="AE59" i="6"/>
  <c r="AE89" i="6"/>
  <c r="R30" i="6"/>
  <c r="R123" i="6" s="1"/>
  <c r="R89" i="6"/>
  <c r="R59" i="6"/>
  <c r="AB30" i="6"/>
  <c r="AB123" i="6" s="1"/>
  <c r="AB59" i="6"/>
  <c r="AB89" i="6"/>
  <c r="P182" i="6"/>
  <c r="Y30" i="6"/>
  <c r="Y123" i="6" s="1"/>
  <c r="Y89" i="6"/>
  <c r="Y59" i="6"/>
  <c r="Y153" i="6"/>
  <c r="U30" i="6"/>
  <c r="U123" i="6" s="1"/>
  <c r="U59" i="6"/>
  <c r="U89" i="6"/>
  <c r="V30" i="6"/>
  <c r="V183" i="6" s="1"/>
  <c r="V89" i="6"/>
  <c r="V59" i="6"/>
  <c r="V153" i="6"/>
  <c r="S30" i="6"/>
  <c r="S123" i="6" s="1"/>
  <c r="S59" i="6"/>
  <c r="S89" i="6"/>
  <c r="AN30" i="6"/>
  <c r="AN183" i="6" s="1"/>
  <c r="AN89" i="6"/>
  <c r="AN59" i="6"/>
  <c r="AN153" i="6"/>
  <c r="AV30" i="6"/>
  <c r="AV153" i="6" s="1"/>
  <c r="AV59" i="6"/>
  <c r="AV89" i="6"/>
  <c r="AQ30" i="6"/>
  <c r="AQ183" i="6" s="1"/>
  <c r="AQ59" i="6"/>
  <c r="AQ89" i="6"/>
  <c r="AQ153" i="6"/>
  <c r="D89" i="6"/>
  <c r="D30" i="6"/>
  <c r="D123" i="6" s="1"/>
  <c r="D59" i="6"/>
  <c r="W30" i="6"/>
  <c r="W123" i="6" s="1"/>
  <c r="W59" i="6"/>
  <c r="W89" i="6"/>
  <c r="AF30" i="6"/>
  <c r="AF123" i="6" s="1"/>
  <c r="AF59" i="6"/>
  <c r="AF89" i="6"/>
  <c r="I30" i="6"/>
  <c r="I123" i="6" s="1"/>
  <c r="I89" i="6"/>
  <c r="I59" i="6"/>
  <c r="N30" i="6"/>
  <c r="N123" i="6" s="1"/>
  <c r="N59" i="6"/>
  <c r="N89" i="6"/>
  <c r="AX30" i="6"/>
  <c r="AX153" i="6" s="1"/>
  <c r="AX89" i="6"/>
  <c r="AX59" i="6"/>
  <c r="AY182" i="6"/>
  <c r="AC182" i="6"/>
  <c r="E30" i="6"/>
  <c r="E123" i="6" s="1"/>
  <c r="E89" i="6"/>
  <c r="E59" i="6"/>
  <c r="AU30" i="6"/>
  <c r="AU123" i="6" s="1"/>
  <c r="AU89" i="6"/>
  <c r="AU59" i="6"/>
  <c r="H30" i="6"/>
  <c r="H123" i="6" s="1"/>
  <c r="H89" i="6"/>
  <c r="H59" i="6"/>
  <c r="AP182" i="6"/>
  <c r="AE182" i="6"/>
  <c r="R152" i="6"/>
  <c r="M30" i="6"/>
  <c r="M123" i="6" s="1"/>
  <c r="M59" i="6"/>
  <c r="M89" i="6"/>
  <c r="AB182" i="6"/>
  <c r="T30" i="6"/>
  <c r="T123" i="6" s="1"/>
  <c r="T59" i="6"/>
  <c r="T89" i="6"/>
  <c r="T153" i="6"/>
  <c r="Y182" i="6"/>
  <c r="U152" i="6"/>
  <c r="V182" i="6"/>
  <c r="S182" i="6"/>
  <c r="AN182" i="6"/>
  <c r="AV182" i="6"/>
  <c r="AQ182" i="6"/>
  <c r="D182" i="6"/>
  <c r="L30" i="6"/>
  <c r="L123" i="6" s="1"/>
  <c r="L89" i="6"/>
  <c r="L59" i="6"/>
  <c r="L153" i="6"/>
  <c r="AM30" i="6"/>
  <c r="AM123" i="6" s="1"/>
  <c r="AM59" i="6"/>
  <c r="AM89" i="6"/>
  <c r="AM183" i="6"/>
  <c r="AK30" i="6"/>
  <c r="AK123" i="6" s="1"/>
  <c r="AK89" i="6"/>
  <c r="AK59" i="6"/>
  <c r="AK183" i="6"/>
  <c r="AG30" i="6"/>
  <c r="AG123" i="6" s="1"/>
  <c r="AG89" i="6"/>
  <c r="AG59" i="6"/>
  <c r="AG153" i="6"/>
  <c r="G30" i="6"/>
  <c r="G123" i="6" s="1"/>
  <c r="G59" i="6"/>
  <c r="G89" i="6"/>
  <c r="G153" i="6"/>
  <c r="Z30" i="6"/>
  <c r="Z123" i="6" s="1"/>
  <c r="Z89" i="6"/>
  <c r="Z59" i="6"/>
  <c r="Z183" i="6"/>
  <c r="BA89" i="6"/>
  <c r="BA30" i="6"/>
  <c r="BA123" i="6" s="1"/>
  <c r="BA59" i="6"/>
  <c r="O30" i="6"/>
  <c r="O123" i="6" s="1"/>
  <c r="O89" i="6"/>
  <c r="O59" i="6"/>
  <c r="AA30" i="6"/>
  <c r="AA123" i="6" s="1"/>
  <c r="AA89" i="6"/>
  <c r="AA59" i="6"/>
  <c r="AT30" i="6"/>
  <c r="AT153" i="6" s="1"/>
  <c r="AT89" i="6"/>
  <c r="AT59" i="6"/>
  <c r="BC181" i="6"/>
  <c r="H27" i="7" s="1"/>
  <c r="AS30" i="6"/>
  <c r="AS183" i="6" s="1"/>
  <c r="AS59" i="6"/>
  <c r="AS89" i="6"/>
  <c r="AS123" i="6"/>
  <c r="AS153" i="6"/>
  <c r="AJ30" i="6"/>
  <c r="AJ123" i="6" s="1"/>
  <c r="AJ89" i="6"/>
  <c r="AJ59" i="6"/>
  <c r="Q30" i="6"/>
  <c r="Q153" i="6" s="1"/>
  <c r="Q89" i="6"/>
  <c r="Q59" i="6"/>
  <c r="Q123" i="6"/>
  <c r="J30" i="6"/>
  <c r="J123" i="6" s="1"/>
  <c r="J59" i="6"/>
  <c r="J89" i="6"/>
  <c r="J153" i="6"/>
  <c r="AH30" i="6"/>
  <c r="AH183" i="6" s="1"/>
  <c r="AH89" i="6"/>
  <c r="AH59" i="6"/>
  <c r="AH123" i="6"/>
  <c r="AR30" i="6"/>
  <c r="AR123" i="6" s="1"/>
  <c r="AR59" i="6"/>
  <c r="AR89" i="6"/>
  <c r="AR183" i="6"/>
  <c r="AR153" i="6"/>
  <c r="AW30" i="6"/>
  <c r="AW183" i="6" s="1"/>
  <c r="AW89" i="6"/>
  <c r="AW59" i="6"/>
  <c r="AD30" i="6"/>
  <c r="AD123" i="6" s="1"/>
  <c r="AD59" i="6"/>
  <c r="AD89" i="6"/>
  <c r="AD153" i="6"/>
  <c r="BC58" i="6"/>
  <c r="C27" i="7" s="1"/>
  <c r="AO30" i="6"/>
  <c r="AO123" i="6" s="1"/>
  <c r="AO89" i="6"/>
  <c r="AO59" i="6"/>
  <c r="K30" i="6"/>
  <c r="K123" i="6" s="1"/>
  <c r="K89" i="6"/>
  <c r="K59" i="6"/>
  <c r="B31" i="7"/>
  <c r="A31" i="6"/>
  <c r="X30" i="6"/>
  <c r="X123" i="6" s="1"/>
  <c r="X59" i="6"/>
  <c r="X89" i="6"/>
  <c r="AI30" i="6"/>
  <c r="AI123" i="6" s="1"/>
  <c r="AI89" i="6"/>
  <c r="AI59" i="6"/>
  <c r="P30" i="6"/>
  <c r="P123" i="6" s="1"/>
  <c r="P59" i="6"/>
  <c r="P89" i="6"/>
  <c r="BC88" i="6"/>
  <c r="D27" i="7" s="1"/>
  <c r="AZ30" i="6"/>
  <c r="AZ153" i="6" s="1"/>
  <c r="AZ59" i="6"/>
  <c r="AZ89" i="6"/>
  <c r="F30" i="6"/>
  <c r="F183" i="6" s="1"/>
  <c r="F89" i="6"/>
  <c r="F59" i="6"/>
  <c r="BA153" i="6" l="1"/>
  <c r="P183" i="6"/>
  <c r="AI153" i="6"/>
  <c r="X153" i="6"/>
  <c r="Q183" i="6"/>
  <c r="AJ153" i="6"/>
  <c r="M153" i="6"/>
  <c r="AQ123" i="6"/>
  <c r="V123" i="6"/>
  <c r="AY153" i="6"/>
  <c r="AL153" i="6"/>
  <c r="AD183" i="6"/>
  <c r="AW123" i="6"/>
  <c r="AB183" i="6"/>
  <c r="R153" i="6"/>
  <c r="AE183" i="6"/>
  <c r="AP183" i="6"/>
  <c r="BC122" i="6"/>
  <c r="F28" i="7" s="1"/>
  <c r="D153" i="6"/>
  <c r="J183" i="6"/>
  <c r="AT123" i="6"/>
  <c r="AA153" i="6"/>
  <c r="O183" i="6"/>
  <c r="M183" i="6"/>
  <c r="AN123" i="6"/>
  <c r="Y183" i="6"/>
  <c r="AW153" i="6"/>
  <c r="AJ183" i="6"/>
  <c r="AX123" i="6"/>
  <c r="N153" i="6"/>
  <c r="I153" i="6"/>
  <c r="AF183" i="6"/>
  <c r="W183" i="6"/>
  <c r="AV123" i="6"/>
  <c r="S153" i="6"/>
  <c r="U183" i="6"/>
  <c r="G27" i="7"/>
  <c r="I27" i="7" s="1"/>
  <c r="AH153" i="6"/>
  <c r="AV183" i="6"/>
  <c r="S183" i="6"/>
  <c r="U153" i="6"/>
  <c r="AC153" i="6"/>
  <c r="K153" i="6"/>
  <c r="H183" i="6"/>
  <c r="AU153" i="6"/>
  <c r="E153" i="6"/>
  <c r="AC183" i="6"/>
  <c r="BC152" i="6"/>
  <c r="E28" i="7" s="1"/>
  <c r="AZ123" i="6"/>
  <c r="F31" i="6"/>
  <c r="F124" i="6" s="1"/>
  <c r="F90" i="6"/>
  <c r="F60" i="6"/>
  <c r="F154" i="6"/>
  <c r="AO153" i="6"/>
  <c r="F153" i="6"/>
  <c r="AI183" i="6"/>
  <c r="AO183" i="6"/>
  <c r="AW31" i="6"/>
  <c r="AW184" i="6" s="1"/>
  <c r="AW60" i="6"/>
  <c r="AW90" i="6"/>
  <c r="AH31" i="6"/>
  <c r="AH124" i="6" s="1"/>
  <c r="AH60" i="6"/>
  <c r="AH90" i="6"/>
  <c r="AH184" i="6"/>
  <c r="Q31" i="6"/>
  <c r="Q154" i="6" s="1"/>
  <c r="Q90" i="6"/>
  <c r="Q60" i="6"/>
  <c r="Q124" i="6"/>
  <c r="AS31" i="6"/>
  <c r="AS124" i="6" s="1"/>
  <c r="AS90" i="6"/>
  <c r="AS60" i="6"/>
  <c r="AS184" i="6"/>
  <c r="AS154" i="6"/>
  <c r="AT183" i="6"/>
  <c r="O153" i="6"/>
  <c r="BA31" i="6"/>
  <c r="BA124" i="6" s="1"/>
  <c r="BA90" i="6"/>
  <c r="BA60" i="6"/>
  <c r="Z153" i="6"/>
  <c r="AG183" i="6"/>
  <c r="AM153" i="6"/>
  <c r="T183" i="6"/>
  <c r="H153" i="6"/>
  <c r="E183" i="6"/>
  <c r="AX183" i="6"/>
  <c r="I183" i="6"/>
  <c r="W153" i="6"/>
  <c r="D90" i="6"/>
  <c r="D31" i="6"/>
  <c r="D184" i="6" s="1"/>
  <c r="D60" i="6"/>
  <c r="D154" i="6"/>
  <c r="AQ31" i="6"/>
  <c r="AQ184" i="6" s="1"/>
  <c r="AQ90" i="6"/>
  <c r="AQ60" i="6"/>
  <c r="AN31" i="6"/>
  <c r="AN124" i="6" s="1"/>
  <c r="AN90" i="6"/>
  <c r="AN60" i="6"/>
  <c r="V31" i="6"/>
  <c r="V154" i="6" s="1"/>
  <c r="V60" i="6"/>
  <c r="V90" i="6"/>
  <c r="Y31" i="6"/>
  <c r="Y124" i="6" s="1"/>
  <c r="Y90" i="6"/>
  <c r="Y60" i="6"/>
  <c r="Y154" i="6"/>
  <c r="AB153" i="6"/>
  <c r="AE153" i="6"/>
  <c r="AY31" i="6"/>
  <c r="AY124" i="6" s="1"/>
  <c r="AY90" i="6"/>
  <c r="AY60" i="6"/>
  <c r="AZ31" i="6"/>
  <c r="AZ184" i="6" s="1"/>
  <c r="AZ90" i="6"/>
  <c r="AZ60" i="6"/>
  <c r="AZ154" i="6"/>
  <c r="P31" i="6"/>
  <c r="P124" i="6" s="1"/>
  <c r="P90" i="6"/>
  <c r="P60" i="6"/>
  <c r="P184" i="6"/>
  <c r="K31" i="6"/>
  <c r="K184" i="6" s="1"/>
  <c r="K90" i="6"/>
  <c r="K60" i="6"/>
  <c r="K154" i="6"/>
  <c r="K124" i="6"/>
  <c r="AA31" i="6"/>
  <c r="AA124" i="6" s="1"/>
  <c r="AA90" i="6"/>
  <c r="AA60" i="6"/>
  <c r="G31" i="6"/>
  <c r="G184" i="6" s="1"/>
  <c r="G90" i="6"/>
  <c r="G60" i="6"/>
  <c r="G124" i="6"/>
  <c r="AK31" i="6"/>
  <c r="AK124" i="6" s="1"/>
  <c r="AK90" i="6"/>
  <c r="AK60" i="6"/>
  <c r="AK154" i="6"/>
  <c r="L31" i="6"/>
  <c r="L184" i="6" s="1"/>
  <c r="L60" i="6"/>
  <c r="L90" i="6"/>
  <c r="L154" i="6"/>
  <c r="L124" i="6"/>
  <c r="AU31" i="6"/>
  <c r="AU124" i="6" s="1"/>
  <c r="AU90" i="6"/>
  <c r="AU60" i="6"/>
  <c r="N31" i="6"/>
  <c r="N184" i="6" s="1"/>
  <c r="N90" i="6"/>
  <c r="N60" i="6"/>
  <c r="N124" i="6"/>
  <c r="AF31" i="6"/>
  <c r="AF124" i="6" s="1"/>
  <c r="AF90" i="6"/>
  <c r="AF60" i="6"/>
  <c r="AF154" i="6"/>
  <c r="BC89" i="6"/>
  <c r="D28" i="7" s="1"/>
  <c r="R31" i="6"/>
  <c r="R124" i="6" s="1"/>
  <c r="R60" i="6"/>
  <c r="R90" i="6"/>
  <c r="AP31" i="6"/>
  <c r="AP184" i="6" s="1"/>
  <c r="AP60" i="6"/>
  <c r="AP90" i="6"/>
  <c r="AP124" i="6"/>
  <c r="X31" i="6"/>
  <c r="X124" i="6" s="1"/>
  <c r="X90" i="6"/>
  <c r="X60" i="6"/>
  <c r="X154" i="6"/>
  <c r="F123" i="6"/>
  <c r="AZ183" i="6"/>
  <c r="P153" i="6"/>
  <c r="X183" i="6"/>
  <c r="K183" i="6"/>
  <c r="AD31" i="6"/>
  <c r="AD124" i="6" s="1"/>
  <c r="AD90" i="6"/>
  <c r="AD60" i="6"/>
  <c r="AR31" i="6"/>
  <c r="AR124" i="6" s="1"/>
  <c r="AR90" i="6"/>
  <c r="AR60" i="6"/>
  <c r="AR154" i="6"/>
  <c r="J31" i="6"/>
  <c r="J124" i="6" s="1"/>
  <c r="J90" i="6"/>
  <c r="J60" i="6"/>
  <c r="AJ31" i="6"/>
  <c r="AJ184" i="6" s="1"/>
  <c r="AJ90" i="6"/>
  <c r="AJ60" i="6"/>
  <c r="AA183" i="6"/>
  <c r="BA183" i="6"/>
  <c r="G183" i="6"/>
  <c r="AK153" i="6"/>
  <c r="L183" i="6"/>
  <c r="BC182" i="6"/>
  <c r="H28" i="7" s="1"/>
  <c r="M31" i="6"/>
  <c r="M184" i="6" s="1"/>
  <c r="M90" i="6"/>
  <c r="M60" i="6"/>
  <c r="AU183" i="6"/>
  <c r="N183" i="6"/>
  <c r="AF153" i="6"/>
  <c r="D183" i="6"/>
  <c r="AV31" i="6"/>
  <c r="AV124" i="6" s="1"/>
  <c r="AV60" i="6"/>
  <c r="AV90" i="6"/>
  <c r="S31" i="6"/>
  <c r="S124" i="6" s="1"/>
  <c r="S90" i="6"/>
  <c r="S60" i="6"/>
  <c r="U31" i="6"/>
  <c r="U124" i="6" s="1"/>
  <c r="U60" i="6"/>
  <c r="U90" i="6"/>
  <c r="R183" i="6"/>
  <c r="AP153" i="6"/>
  <c r="AC31" i="6"/>
  <c r="AC124" i="6" s="1"/>
  <c r="AC90" i="6"/>
  <c r="AC60" i="6"/>
  <c r="AI31" i="6"/>
  <c r="AI124" i="6" s="1"/>
  <c r="AI90" i="6"/>
  <c r="AI60" i="6"/>
  <c r="A32" i="6"/>
  <c r="B32" i="7"/>
  <c r="AO31" i="6"/>
  <c r="AO124" i="6" s="1"/>
  <c r="AO60" i="6"/>
  <c r="AO90" i="6"/>
  <c r="AO154" i="6"/>
  <c r="AT31" i="6"/>
  <c r="AT124" i="6" s="1"/>
  <c r="AT90" i="6"/>
  <c r="AT60" i="6"/>
  <c r="O31" i="6"/>
  <c r="O184" i="6" s="1"/>
  <c r="O90" i="6"/>
  <c r="O60" i="6"/>
  <c r="Z31" i="6"/>
  <c r="Z124" i="6" s="1"/>
  <c r="Z90" i="6"/>
  <c r="Z60" i="6"/>
  <c r="AG31" i="6"/>
  <c r="AG60" i="6"/>
  <c r="AG90" i="6"/>
  <c r="AG184" i="6"/>
  <c r="AG154" i="6"/>
  <c r="AG124" i="6"/>
  <c r="AM31" i="6"/>
  <c r="AM124" i="6" s="1"/>
  <c r="AM90" i="6"/>
  <c r="AM60" i="6"/>
  <c r="T31" i="6"/>
  <c r="T124" i="6" s="1"/>
  <c r="T90" i="6"/>
  <c r="T60" i="6"/>
  <c r="T154" i="6"/>
  <c r="H31" i="6"/>
  <c r="H90" i="6"/>
  <c r="H60" i="6"/>
  <c r="H124" i="6"/>
  <c r="E31" i="6"/>
  <c r="E60" i="6"/>
  <c r="E90" i="6"/>
  <c r="E154" i="6"/>
  <c r="E184" i="6"/>
  <c r="E124" i="6"/>
  <c r="AX31" i="6"/>
  <c r="AX154" i="6" s="1"/>
  <c r="AX60" i="6"/>
  <c r="AX90" i="6"/>
  <c r="AX124" i="6"/>
  <c r="I31" i="6"/>
  <c r="I184" i="6" s="1"/>
  <c r="I60" i="6"/>
  <c r="I90" i="6"/>
  <c r="W31" i="6"/>
  <c r="W154" i="6" s="1"/>
  <c r="W90" i="6"/>
  <c r="W60" i="6"/>
  <c r="BC59" i="6"/>
  <c r="C28" i="7" s="1"/>
  <c r="AB31" i="6"/>
  <c r="AB154" i="6" s="1"/>
  <c r="AB60" i="6"/>
  <c r="AB90" i="6"/>
  <c r="AE31" i="6"/>
  <c r="AE124" i="6" s="1"/>
  <c r="AE90" i="6"/>
  <c r="AE60" i="6"/>
  <c r="AL31" i="6"/>
  <c r="AL154" i="6" s="1"/>
  <c r="AL60" i="6"/>
  <c r="AL90" i="6"/>
  <c r="AL124" i="6"/>
  <c r="AE154" i="6" l="1"/>
  <c r="G28" i="7"/>
  <c r="I28" i="7" s="1"/>
  <c r="T184" i="6"/>
  <c r="AI184" i="6"/>
  <c r="S184" i="6"/>
  <c r="Y184" i="6"/>
  <c r="V124" i="6"/>
  <c r="AN154" i="6"/>
  <c r="AB124" i="6"/>
  <c r="AM154" i="6"/>
  <c r="O154" i="6"/>
  <c r="M154" i="6"/>
  <c r="N154" i="6"/>
  <c r="AU154" i="6"/>
  <c r="AZ124" i="6"/>
  <c r="AY154" i="6"/>
  <c r="AN184" i="6"/>
  <c r="AQ124" i="6"/>
  <c r="D124" i="6"/>
  <c r="F184" i="6"/>
  <c r="W124" i="6"/>
  <c r="I154" i="6"/>
  <c r="AJ154" i="6"/>
  <c r="AP154" i="6"/>
  <c r="R154" i="6"/>
  <c r="G154" i="6"/>
  <c r="AA154" i="6"/>
  <c r="BA184" i="6"/>
  <c r="AH154" i="6"/>
  <c r="AW124" i="6"/>
  <c r="I124" i="6"/>
  <c r="O124" i="6"/>
  <c r="AO184" i="6"/>
  <c r="AI154" i="6"/>
  <c r="AC154" i="6"/>
  <c r="S154" i="6"/>
  <c r="AV154" i="6"/>
  <c r="M124" i="6"/>
  <c r="BC124" i="6" s="1"/>
  <c r="F30" i="7" s="1"/>
  <c r="AJ124" i="6"/>
  <c r="AR184" i="6"/>
  <c r="AD154" i="6"/>
  <c r="BC123" i="6"/>
  <c r="F29" i="7" s="1"/>
  <c r="R184" i="6"/>
  <c r="AU184" i="6"/>
  <c r="AA184" i="6"/>
  <c r="AY184" i="6"/>
  <c r="V184" i="6"/>
  <c r="AW154" i="6"/>
  <c r="AB184" i="6"/>
  <c r="AT154" i="6"/>
  <c r="U184" i="6"/>
  <c r="J184" i="6"/>
  <c r="BC153" i="6"/>
  <c r="E29" i="7" s="1"/>
  <c r="X184" i="6"/>
  <c r="AF184" i="6"/>
  <c r="AK184" i="6"/>
  <c r="P154" i="6"/>
  <c r="AQ154" i="6"/>
  <c r="BA154" i="6"/>
  <c r="Q184" i="6"/>
  <c r="AE184" i="6"/>
  <c r="AX32" i="6"/>
  <c r="AX155" i="6" s="1"/>
  <c r="AX91" i="6"/>
  <c r="AX61" i="6"/>
  <c r="H32" i="6"/>
  <c r="H125" i="6" s="1"/>
  <c r="H91" i="6"/>
  <c r="H61" i="6"/>
  <c r="H185" i="6"/>
  <c r="Z154" i="6"/>
  <c r="AL32" i="6"/>
  <c r="AL125" i="6" s="1"/>
  <c r="AL91" i="6"/>
  <c r="AL61" i="6"/>
  <c r="AX184" i="6"/>
  <c r="AL184" i="6"/>
  <c r="I32" i="6"/>
  <c r="I125" i="6" s="1"/>
  <c r="I91" i="6"/>
  <c r="I61" i="6"/>
  <c r="E32" i="6"/>
  <c r="E125" i="6" s="1"/>
  <c r="E61" i="6"/>
  <c r="E91" i="6"/>
  <c r="T32" i="6"/>
  <c r="T125" i="6" s="1"/>
  <c r="T91" i="6"/>
  <c r="T61" i="6"/>
  <c r="AG32" i="6"/>
  <c r="AG125" i="6" s="1"/>
  <c r="AG91" i="6"/>
  <c r="AG61" i="6"/>
  <c r="O32" i="6"/>
  <c r="O125" i="6" s="1"/>
  <c r="O91" i="6"/>
  <c r="O61" i="6"/>
  <c r="AO32" i="6"/>
  <c r="AO125" i="6" s="1"/>
  <c r="AO91" i="6"/>
  <c r="AO61" i="6"/>
  <c r="AI32" i="6"/>
  <c r="AI125" i="6" s="1"/>
  <c r="AI91" i="6"/>
  <c r="AI61" i="6"/>
  <c r="S32" i="6"/>
  <c r="S125" i="6" s="1"/>
  <c r="S91" i="6"/>
  <c r="S61" i="6"/>
  <c r="M32" i="6"/>
  <c r="M125" i="6" s="1"/>
  <c r="M91" i="6"/>
  <c r="M61" i="6"/>
  <c r="AJ32" i="6"/>
  <c r="AJ125" i="6" s="1"/>
  <c r="AJ91" i="6"/>
  <c r="AJ61" i="6"/>
  <c r="AR32" i="6"/>
  <c r="AR125" i="6" s="1"/>
  <c r="AR61" i="6"/>
  <c r="AR91" i="6"/>
  <c r="D91" i="6"/>
  <c r="D32" i="6"/>
  <c r="D125" i="6" s="1"/>
  <c r="D61" i="6"/>
  <c r="A33" i="6"/>
  <c r="B33" i="7"/>
  <c r="X32" i="6"/>
  <c r="X125" i="6" s="1"/>
  <c r="X61" i="6"/>
  <c r="X91" i="6"/>
  <c r="X155" i="6"/>
  <c r="R32" i="6"/>
  <c r="R125" i="6" s="1"/>
  <c r="R91" i="6"/>
  <c r="R61" i="6"/>
  <c r="AF32" i="6"/>
  <c r="AF185" i="6" s="1"/>
  <c r="AF91" i="6"/>
  <c r="AF61" i="6"/>
  <c r="AF125" i="6"/>
  <c r="AU32" i="6"/>
  <c r="AU155" i="6" s="1"/>
  <c r="AU61" i="6"/>
  <c r="AU91" i="6"/>
  <c r="AK32" i="6"/>
  <c r="AK125" i="6" s="1"/>
  <c r="AK91" i="6"/>
  <c r="AK61" i="6"/>
  <c r="AA32" i="6"/>
  <c r="AA125" i="6" s="1"/>
  <c r="AA91" i="6"/>
  <c r="AA61" i="6"/>
  <c r="P32" i="6"/>
  <c r="P185" i="6" s="1"/>
  <c r="P91" i="6"/>
  <c r="P61" i="6"/>
  <c r="P155" i="6"/>
  <c r="P125" i="6"/>
  <c r="AY32" i="6"/>
  <c r="AY155" i="6" s="1"/>
  <c r="AY91" i="6"/>
  <c r="AY61" i="6"/>
  <c r="Y32" i="6"/>
  <c r="Y125" i="6" s="1"/>
  <c r="Y91" i="6"/>
  <c r="Y61" i="6"/>
  <c r="Y155" i="6"/>
  <c r="AN32" i="6"/>
  <c r="AN125" i="6" s="1"/>
  <c r="AN91" i="6"/>
  <c r="AN61" i="6"/>
  <c r="BC90" i="6"/>
  <c r="D29" i="7" s="1"/>
  <c r="BA32" i="6"/>
  <c r="BA185" i="6" s="1"/>
  <c r="BA91" i="6"/>
  <c r="BA61" i="6"/>
  <c r="BA125" i="6"/>
  <c r="AS32" i="6"/>
  <c r="AS125" i="6" s="1"/>
  <c r="AS91" i="6"/>
  <c r="AS61" i="6"/>
  <c r="AS155" i="6"/>
  <c r="AH32" i="6"/>
  <c r="AH185" i="6" s="1"/>
  <c r="AH91" i="6"/>
  <c r="AH61" i="6"/>
  <c r="AH125" i="6"/>
  <c r="W32" i="6"/>
  <c r="W185" i="6" s="1"/>
  <c r="W91" i="6"/>
  <c r="W61" i="6"/>
  <c r="W155" i="6"/>
  <c r="W125" i="6"/>
  <c r="H154" i="6"/>
  <c r="AM32" i="6"/>
  <c r="AM125" i="6" s="1"/>
  <c r="AM91" i="6"/>
  <c r="AM61" i="6"/>
  <c r="Z32" i="6"/>
  <c r="Z125" i="6" s="1"/>
  <c r="Z91" i="6"/>
  <c r="Z61" i="6"/>
  <c r="U32" i="6"/>
  <c r="U125" i="6" s="1"/>
  <c r="U91" i="6"/>
  <c r="U61" i="6"/>
  <c r="AV32" i="6"/>
  <c r="AV125" i="6" s="1"/>
  <c r="AV61" i="6"/>
  <c r="AV91" i="6"/>
  <c r="J32" i="6"/>
  <c r="J125" i="6" s="1"/>
  <c r="J91" i="6"/>
  <c r="J61" i="6"/>
  <c r="AD32" i="6"/>
  <c r="AD125" i="6" s="1"/>
  <c r="AD91" i="6"/>
  <c r="AD61" i="6"/>
  <c r="F32" i="6"/>
  <c r="F125" i="6" s="1"/>
  <c r="F91" i="6"/>
  <c r="F61" i="6"/>
  <c r="AE32" i="6"/>
  <c r="AE125" i="6" s="1"/>
  <c r="AE91" i="6"/>
  <c r="AE61" i="6"/>
  <c r="AT32" i="6"/>
  <c r="AT125" i="6" s="1"/>
  <c r="AT61" i="6"/>
  <c r="AT91" i="6"/>
  <c r="AC32" i="6"/>
  <c r="AC155" i="6" s="1"/>
  <c r="AC91" i="6"/>
  <c r="AC61" i="6"/>
  <c r="AC185" i="6"/>
  <c r="AC125" i="6"/>
  <c r="AB32" i="6"/>
  <c r="AB125" i="6" s="1"/>
  <c r="AB61" i="6"/>
  <c r="AB91" i="6"/>
  <c r="W184" i="6"/>
  <c r="H184" i="6"/>
  <c r="AM184" i="6"/>
  <c r="Z184" i="6"/>
  <c r="AT184" i="6"/>
  <c r="AC184" i="6"/>
  <c r="U154" i="6"/>
  <c r="AV184" i="6"/>
  <c r="BC183" i="6"/>
  <c r="H29" i="7" s="1"/>
  <c r="J154" i="6"/>
  <c r="AD184" i="6"/>
  <c r="AP32" i="6"/>
  <c r="AP125" i="6" s="1"/>
  <c r="AP91" i="6"/>
  <c r="AP61" i="6"/>
  <c r="N32" i="6"/>
  <c r="N185" i="6" s="1"/>
  <c r="N91" i="6"/>
  <c r="N61" i="6"/>
  <c r="L32" i="6"/>
  <c r="L185" i="6" s="1"/>
  <c r="L61" i="6"/>
  <c r="L91" i="6"/>
  <c r="G32" i="6"/>
  <c r="G125" i="6" s="1"/>
  <c r="G91" i="6"/>
  <c r="G61" i="6"/>
  <c r="K32" i="6"/>
  <c r="K155" i="6" s="1"/>
  <c r="K91" i="6"/>
  <c r="K61" i="6"/>
  <c r="AZ32" i="6"/>
  <c r="AZ125" i="6" s="1"/>
  <c r="AZ91" i="6"/>
  <c r="AZ61" i="6"/>
  <c r="V32" i="6"/>
  <c r="V125" i="6" s="1"/>
  <c r="V91" i="6"/>
  <c r="V61" i="6"/>
  <c r="AQ32" i="6"/>
  <c r="AQ125" i="6" s="1"/>
  <c r="AQ91" i="6"/>
  <c r="AQ61" i="6"/>
  <c r="BC60" i="6"/>
  <c r="C29" i="7" s="1"/>
  <c r="Q32" i="6"/>
  <c r="Q155" i="6" s="1"/>
  <c r="Q91" i="6"/>
  <c r="Q61" i="6"/>
  <c r="Q125" i="6"/>
  <c r="AW32" i="6"/>
  <c r="AW155" i="6" s="1"/>
  <c r="AW91" i="6"/>
  <c r="AW61" i="6"/>
  <c r="AW125" i="6"/>
  <c r="AK185" i="6" l="1"/>
  <c r="AF155" i="6"/>
  <c r="AE155" i="6"/>
  <c r="AB185" i="6"/>
  <c r="F155" i="6"/>
  <c r="AS185" i="6"/>
  <c r="AY125" i="6"/>
  <c r="AU125" i="6"/>
  <c r="X185" i="6"/>
  <c r="H155" i="6"/>
  <c r="BA155" i="6"/>
  <c r="AL185" i="6"/>
  <c r="AW185" i="6"/>
  <c r="AE185" i="6"/>
  <c r="Y185" i="6"/>
  <c r="AK155" i="6"/>
  <c r="AX125" i="6"/>
  <c r="Q185" i="6"/>
  <c r="AP155" i="6"/>
  <c r="AT155" i="6"/>
  <c r="AH155" i="6"/>
  <c r="AN155" i="6"/>
  <c r="AA185" i="6"/>
  <c r="R185" i="6"/>
  <c r="G155" i="6"/>
  <c r="BC184" i="6"/>
  <c r="H30" i="7" s="1"/>
  <c r="AB155" i="6"/>
  <c r="AT185" i="6"/>
  <c r="AD155" i="6"/>
  <c r="AV155" i="6"/>
  <c r="Z185" i="6"/>
  <c r="AM155" i="6"/>
  <c r="AA155" i="6"/>
  <c r="AU185" i="6"/>
  <c r="R155" i="6"/>
  <c r="AX185" i="6"/>
  <c r="G29" i="7"/>
  <c r="I29" i="7" s="1"/>
  <c r="AZ155" i="6"/>
  <c r="AR155" i="6"/>
  <c r="AJ155" i="6"/>
  <c r="M155" i="6"/>
  <c r="S155" i="6"/>
  <c r="AI155" i="6"/>
  <c r="AO155" i="6"/>
  <c r="O155" i="6"/>
  <c r="AG185" i="6"/>
  <c r="T185" i="6"/>
  <c r="E155" i="6"/>
  <c r="I155" i="6"/>
  <c r="F185" i="6"/>
  <c r="J185" i="6"/>
  <c r="U155" i="6"/>
  <c r="BC154" i="6"/>
  <c r="E30" i="7" s="1"/>
  <c r="AN185" i="6"/>
  <c r="AY185" i="6"/>
  <c r="AQ33" i="6"/>
  <c r="AQ186" i="6" s="1"/>
  <c r="AQ92" i="6"/>
  <c r="AQ62" i="6"/>
  <c r="N33" i="6"/>
  <c r="N126" i="6" s="1"/>
  <c r="N92" i="6"/>
  <c r="N62" i="6"/>
  <c r="N186" i="6"/>
  <c r="Q33" i="6"/>
  <c r="Q186" i="6" s="1"/>
  <c r="Q92" i="6"/>
  <c r="Q62" i="6"/>
  <c r="Q156" i="6"/>
  <c r="Q126" i="6"/>
  <c r="AQ185" i="6"/>
  <c r="AZ185" i="6"/>
  <c r="K125" i="6"/>
  <c r="G185" i="6"/>
  <c r="L125" i="6"/>
  <c r="N155" i="6"/>
  <c r="AC33" i="6"/>
  <c r="AC186" i="6" s="1"/>
  <c r="AC62" i="6"/>
  <c r="AC92" i="6"/>
  <c r="AE33" i="6"/>
  <c r="AE186" i="6" s="1"/>
  <c r="AE92" i="6"/>
  <c r="AE62" i="6"/>
  <c r="J155" i="6"/>
  <c r="U185" i="6"/>
  <c r="AM185" i="6"/>
  <c r="AH33" i="6"/>
  <c r="AH126" i="6" s="1"/>
  <c r="AH92" i="6"/>
  <c r="AH62" i="6"/>
  <c r="BA92" i="6"/>
  <c r="BA33" i="6"/>
  <c r="BA156" i="6" s="1"/>
  <c r="BA62" i="6"/>
  <c r="AN33" i="6"/>
  <c r="AN156" i="6" s="1"/>
  <c r="AN92" i="6"/>
  <c r="AN62" i="6"/>
  <c r="AY33" i="6"/>
  <c r="AY156" i="6" s="1"/>
  <c r="AY92" i="6"/>
  <c r="AY62" i="6"/>
  <c r="AA33" i="6"/>
  <c r="AA126" i="6" s="1"/>
  <c r="AA62" i="6"/>
  <c r="AA92" i="6"/>
  <c r="AA156" i="6"/>
  <c r="AU33" i="6"/>
  <c r="AU92" i="6"/>
  <c r="AU62" i="6"/>
  <c r="AU156" i="6"/>
  <c r="AU126" i="6"/>
  <c r="R33" i="6"/>
  <c r="R186" i="6" s="1"/>
  <c r="R92" i="6"/>
  <c r="R62" i="6"/>
  <c r="BC61" i="6"/>
  <c r="C30" i="7" s="1"/>
  <c r="AJ185" i="6"/>
  <c r="S185" i="6"/>
  <c r="AO185" i="6"/>
  <c r="AG155" i="6"/>
  <c r="E185" i="6"/>
  <c r="H33" i="6"/>
  <c r="H186" i="6" s="1"/>
  <c r="H92" i="6"/>
  <c r="H62" i="6"/>
  <c r="V33" i="6"/>
  <c r="V156" i="6" s="1"/>
  <c r="V62" i="6"/>
  <c r="V92" i="6"/>
  <c r="L155" i="6"/>
  <c r="AP33" i="6"/>
  <c r="AP186" i="6" s="1"/>
  <c r="AP92" i="6"/>
  <c r="AP62" i="6"/>
  <c r="AD33" i="6"/>
  <c r="AD126" i="6" s="1"/>
  <c r="AD62" i="6"/>
  <c r="AD92" i="6"/>
  <c r="AV33" i="6"/>
  <c r="AV186" i="6" s="1"/>
  <c r="AV62" i="6"/>
  <c r="AV92" i="6"/>
  <c r="AV126" i="6"/>
  <c r="Z33" i="6"/>
  <c r="Z126" i="6" s="1"/>
  <c r="Z92" i="6"/>
  <c r="Z62" i="6"/>
  <c r="D33" i="6"/>
  <c r="D156" i="6" s="1"/>
  <c r="D92" i="6"/>
  <c r="D62" i="6"/>
  <c r="AR33" i="6"/>
  <c r="AR186" i="6" s="1"/>
  <c r="AR92" i="6"/>
  <c r="AR62" i="6"/>
  <c r="AR156" i="6"/>
  <c r="AR126" i="6"/>
  <c r="M33" i="6"/>
  <c r="M62" i="6"/>
  <c r="M92" i="6"/>
  <c r="M156" i="6"/>
  <c r="M126" i="6"/>
  <c r="AI33" i="6"/>
  <c r="AI126" i="6" s="1"/>
  <c r="AI62" i="6"/>
  <c r="AI92" i="6"/>
  <c r="O33" i="6"/>
  <c r="O156" i="6" s="1"/>
  <c r="O62" i="6"/>
  <c r="O92" i="6"/>
  <c r="T33" i="6"/>
  <c r="T186" i="6" s="1"/>
  <c r="T92" i="6"/>
  <c r="T62" i="6"/>
  <c r="I33" i="6"/>
  <c r="I156" i="6" s="1"/>
  <c r="I92" i="6"/>
  <c r="I62" i="6"/>
  <c r="AL33" i="6"/>
  <c r="AL186" i="6" s="1"/>
  <c r="AL92" i="6"/>
  <c r="AL62" i="6"/>
  <c r="K33" i="6"/>
  <c r="K186" i="6" s="1"/>
  <c r="K62" i="6"/>
  <c r="K92" i="6"/>
  <c r="AW33" i="6"/>
  <c r="AW156" i="6" s="1"/>
  <c r="AW92" i="6"/>
  <c r="AW62" i="6"/>
  <c r="AW126" i="6"/>
  <c r="AQ155" i="6"/>
  <c r="V185" i="6"/>
  <c r="K185" i="6"/>
  <c r="N125" i="6"/>
  <c r="AP185" i="6"/>
  <c r="AB33" i="6"/>
  <c r="AB126" i="6" s="1"/>
  <c r="AB92" i="6"/>
  <c r="AB62" i="6"/>
  <c r="AT33" i="6"/>
  <c r="AT186" i="6" s="1"/>
  <c r="AT92" i="6"/>
  <c r="AT62" i="6"/>
  <c r="AT126" i="6"/>
  <c r="F33" i="6"/>
  <c r="F126" i="6" s="1"/>
  <c r="F62" i="6"/>
  <c r="F92" i="6"/>
  <c r="F186" i="6"/>
  <c r="AD185" i="6"/>
  <c r="AV185" i="6"/>
  <c r="Z155" i="6"/>
  <c r="W33" i="6"/>
  <c r="W126" i="6" s="1"/>
  <c r="W92" i="6"/>
  <c r="W62" i="6"/>
  <c r="AS33" i="6"/>
  <c r="AS126" i="6" s="1"/>
  <c r="AS62" i="6"/>
  <c r="AS92" i="6"/>
  <c r="Y33" i="6"/>
  <c r="Y186" i="6" s="1"/>
  <c r="Y92" i="6"/>
  <c r="Y62" i="6"/>
  <c r="P33" i="6"/>
  <c r="P156" i="6" s="1"/>
  <c r="P92" i="6"/>
  <c r="P62" i="6"/>
  <c r="AK33" i="6"/>
  <c r="AK186" i="6" s="1"/>
  <c r="AK92" i="6"/>
  <c r="AK62" i="6"/>
  <c r="AF33" i="6"/>
  <c r="AF156" i="6" s="1"/>
  <c r="AF92" i="6"/>
  <c r="AF62" i="6"/>
  <c r="X33" i="6"/>
  <c r="X186" i="6" s="1"/>
  <c r="X92" i="6"/>
  <c r="X62" i="6"/>
  <c r="X156" i="6"/>
  <c r="X126" i="6"/>
  <c r="D155" i="6"/>
  <c r="BC91" i="6"/>
  <c r="D30" i="7" s="1"/>
  <c r="AR185" i="6"/>
  <c r="M185" i="6"/>
  <c r="AI185" i="6"/>
  <c r="O185" i="6"/>
  <c r="T155" i="6"/>
  <c r="I185" i="6"/>
  <c r="AL155" i="6"/>
  <c r="AX33" i="6"/>
  <c r="AX62" i="6"/>
  <c r="AX92" i="6"/>
  <c r="V155" i="6"/>
  <c r="L33" i="6"/>
  <c r="L186" i="6" s="1"/>
  <c r="L92" i="6"/>
  <c r="L62" i="6"/>
  <c r="AZ33" i="6"/>
  <c r="AZ126" i="6" s="1"/>
  <c r="AZ62" i="6"/>
  <c r="AZ92" i="6"/>
  <c r="AZ156" i="6"/>
  <c r="G33" i="6"/>
  <c r="G156" i="6" s="1"/>
  <c r="G62" i="6"/>
  <c r="G92" i="6"/>
  <c r="G126" i="6"/>
  <c r="J33" i="6"/>
  <c r="J126" i="6" s="1"/>
  <c r="J62" i="6"/>
  <c r="J92" i="6"/>
  <c r="J186" i="6"/>
  <c r="U33" i="6"/>
  <c r="U156" i="6" s="1"/>
  <c r="U92" i="6"/>
  <c r="U62" i="6"/>
  <c r="U126" i="6"/>
  <c r="AM33" i="6"/>
  <c r="AM126" i="6" s="1"/>
  <c r="AM92" i="6"/>
  <c r="AM62" i="6"/>
  <c r="AM156" i="6"/>
  <c r="AM186" i="6"/>
  <c r="B34" i="7"/>
  <c r="A34" i="6"/>
  <c r="D185" i="6"/>
  <c r="AJ33" i="6"/>
  <c r="AJ186" i="6" s="1"/>
  <c r="AJ92" i="6"/>
  <c r="AJ62" i="6"/>
  <c r="S33" i="6"/>
  <c r="S62" i="6"/>
  <c r="S92" i="6"/>
  <c r="AO33" i="6"/>
  <c r="AO126" i="6" s="1"/>
  <c r="AO92" i="6"/>
  <c r="AO62" i="6"/>
  <c r="AG33" i="6"/>
  <c r="AG126" i="6" s="1"/>
  <c r="AG92" i="6"/>
  <c r="AG62" i="6"/>
  <c r="E33" i="6"/>
  <c r="E156" i="6" s="1"/>
  <c r="E92" i="6"/>
  <c r="E62" i="6"/>
  <c r="AO156" i="6" l="1"/>
  <c r="AW186" i="6"/>
  <c r="AL156" i="6"/>
  <c r="T156" i="6"/>
  <c r="AY126" i="6"/>
  <c r="BA126" i="6"/>
  <c r="AE156" i="6"/>
  <c r="AQ126" i="6"/>
  <c r="AF126" i="6"/>
  <c r="AK156" i="6"/>
  <c r="P126" i="6"/>
  <c r="Y156" i="6"/>
  <c r="D126" i="6"/>
  <c r="AV156" i="6"/>
  <c r="AD186" i="6"/>
  <c r="AP156" i="6"/>
  <c r="BA186" i="6"/>
  <c r="AH186" i="6"/>
  <c r="K126" i="6"/>
  <c r="I126" i="6"/>
  <c r="AA186" i="6"/>
  <c r="AN126" i="6"/>
  <c r="N156" i="6"/>
  <c r="BC125" i="6"/>
  <c r="F31" i="7" s="1"/>
  <c r="AJ126" i="6"/>
  <c r="AZ186" i="6"/>
  <c r="L126" i="6"/>
  <c r="Y126" i="6"/>
  <c r="T126" i="6"/>
  <c r="R156" i="6"/>
  <c r="AE126" i="6"/>
  <c r="E126" i="6"/>
  <c r="AS156" i="6"/>
  <c r="W156" i="6"/>
  <c r="O126" i="6"/>
  <c r="AI186" i="6"/>
  <c r="V126" i="6"/>
  <c r="H156" i="6"/>
  <c r="AC126" i="6"/>
  <c r="J156" i="6"/>
  <c r="AK126" i="6"/>
  <c r="W186" i="6"/>
  <c r="AT156" i="6"/>
  <c r="AB186" i="6"/>
  <c r="AL126" i="6"/>
  <c r="AI156" i="6"/>
  <c r="Z156" i="6"/>
  <c r="H126" i="6"/>
  <c r="R126" i="6"/>
  <c r="AN186" i="6"/>
  <c r="AH156" i="6"/>
  <c r="AQ156" i="6"/>
  <c r="AP126" i="6"/>
  <c r="AC156" i="6"/>
  <c r="AG186" i="6"/>
  <c r="S34" i="6"/>
  <c r="S127" i="6" s="1"/>
  <c r="S93" i="6"/>
  <c r="S63" i="6"/>
  <c r="AX34" i="6"/>
  <c r="AX187" i="6" s="1"/>
  <c r="AX63" i="6"/>
  <c r="AX93" i="6"/>
  <c r="S186" i="6"/>
  <c r="E34" i="6"/>
  <c r="E127" i="6" s="1"/>
  <c r="E93" i="6"/>
  <c r="E63" i="6"/>
  <c r="E157" i="6"/>
  <c r="AO34" i="6"/>
  <c r="AO157" i="6" s="1"/>
  <c r="AO63" i="6"/>
  <c r="AO93" i="6"/>
  <c r="AO187" i="6"/>
  <c r="AO127" i="6"/>
  <c r="AJ34" i="6"/>
  <c r="AJ127" i="6" s="1"/>
  <c r="AJ93" i="6"/>
  <c r="AJ63" i="6"/>
  <c r="E186" i="6"/>
  <c r="AO186" i="6"/>
  <c r="S126" i="6"/>
  <c r="AJ156" i="6"/>
  <c r="BC185" i="6"/>
  <c r="H31" i="7" s="1"/>
  <c r="AM34" i="6"/>
  <c r="AM157" i="6" s="1"/>
  <c r="AM93" i="6"/>
  <c r="AM63" i="6"/>
  <c r="J34" i="6"/>
  <c r="J187" i="6" s="1"/>
  <c r="J63" i="6"/>
  <c r="J93" i="6"/>
  <c r="J157" i="6"/>
  <c r="AZ34" i="6"/>
  <c r="AZ127" i="6" s="1"/>
  <c r="AZ63" i="6"/>
  <c r="AZ93" i="6"/>
  <c r="AZ157" i="6"/>
  <c r="AX126" i="6"/>
  <c r="X34" i="6"/>
  <c r="X157" i="6" s="1"/>
  <c r="X93" i="6"/>
  <c r="X63" i="6"/>
  <c r="X127" i="6"/>
  <c r="AK34" i="6"/>
  <c r="AK127" i="6" s="1"/>
  <c r="AK93" i="6"/>
  <c r="AK63" i="6"/>
  <c r="Y34" i="6"/>
  <c r="Y187" i="6" s="1"/>
  <c r="Y63" i="6"/>
  <c r="Y93" i="6"/>
  <c r="W34" i="6"/>
  <c r="W127" i="6" s="1"/>
  <c r="W93" i="6"/>
  <c r="W63" i="6"/>
  <c r="AW34" i="6"/>
  <c r="AW187" i="6" s="1"/>
  <c r="AW63" i="6"/>
  <c r="AW93" i="6"/>
  <c r="AW127" i="6"/>
  <c r="AL34" i="6"/>
  <c r="AL127" i="6" s="1"/>
  <c r="AL93" i="6"/>
  <c r="AL63" i="6"/>
  <c r="T34" i="6"/>
  <c r="T187" i="6" s="1"/>
  <c r="T63" i="6"/>
  <c r="T93" i="6"/>
  <c r="AI34" i="6"/>
  <c r="AI127" i="6" s="1"/>
  <c r="AI93" i="6"/>
  <c r="AI63" i="6"/>
  <c r="AR34" i="6"/>
  <c r="AR187" i="6" s="1"/>
  <c r="AR93" i="6"/>
  <c r="AR63" i="6"/>
  <c r="AR127" i="6"/>
  <c r="BC62" i="6"/>
  <c r="C31" i="7" s="1"/>
  <c r="H34" i="6"/>
  <c r="H127" i="6" s="1"/>
  <c r="H93" i="6"/>
  <c r="H63" i="6"/>
  <c r="H157" i="6"/>
  <c r="R34" i="6"/>
  <c r="R127" i="6" s="1"/>
  <c r="R63" i="6"/>
  <c r="R93" i="6"/>
  <c r="AA34" i="6"/>
  <c r="AA157" i="6" s="1"/>
  <c r="AA93" i="6"/>
  <c r="AA63" i="6"/>
  <c r="AA187" i="6"/>
  <c r="AN34" i="6"/>
  <c r="AN157" i="6" s="1"/>
  <c r="AN93" i="6"/>
  <c r="AN63" i="6"/>
  <c r="AH34" i="6"/>
  <c r="AH127" i="6" s="1"/>
  <c r="AH63" i="6"/>
  <c r="AH93" i="6"/>
  <c r="AH187" i="6"/>
  <c r="F34" i="6"/>
  <c r="F127" i="6" s="1"/>
  <c r="F93" i="6"/>
  <c r="F63" i="6"/>
  <c r="AB34" i="6"/>
  <c r="AB187" i="6" s="1"/>
  <c r="AB93" i="6"/>
  <c r="AB63" i="6"/>
  <c r="AB157" i="6"/>
  <c r="BC92" i="6"/>
  <c r="D31" i="7" s="1"/>
  <c r="Z34" i="6"/>
  <c r="Z187" i="6" s="1"/>
  <c r="Z93" i="6"/>
  <c r="Z63" i="6"/>
  <c r="Z157" i="6"/>
  <c r="AD34" i="6"/>
  <c r="AD127" i="6" s="1"/>
  <c r="AD63" i="6"/>
  <c r="AD93" i="6"/>
  <c r="BA93" i="6"/>
  <c r="BA34" i="6"/>
  <c r="BA187" i="6" s="1"/>
  <c r="BA63" i="6"/>
  <c r="AE34" i="6"/>
  <c r="AE127" i="6" s="1"/>
  <c r="AE93" i="6"/>
  <c r="AE63" i="6"/>
  <c r="N34" i="6"/>
  <c r="N157" i="6" s="1"/>
  <c r="N93" i="6"/>
  <c r="N63" i="6"/>
  <c r="AG34" i="6"/>
  <c r="AG127" i="6" s="1"/>
  <c r="AG93" i="6"/>
  <c r="AG63" i="6"/>
  <c r="S156" i="6"/>
  <c r="AX156" i="6"/>
  <c r="U34" i="6"/>
  <c r="U127" i="6" s="1"/>
  <c r="U63" i="6"/>
  <c r="U93" i="6"/>
  <c r="G34" i="6"/>
  <c r="G187" i="6" s="1"/>
  <c r="G63" i="6"/>
  <c r="G93" i="6"/>
  <c r="L34" i="6"/>
  <c r="L127" i="6" s="1"/>
  <c r="L93" i="6"/>
  <c r="L63" i="6"/>
  <c r="AX186" i="6"/>
  <c r="BC155" i="6"/>
  <c r="E31" i="7" s="1"/>
  <c r="AF34" i="6"/>
  <c r="AF127" i="6" s="1"/>
  <c r="AF93" i="6"/>
  <c r="AF63" i="6"/>
  <c r="P34" i="6"/>
  <c r="P157" i="6" s="1"/>
  <c r="P93" i="6"/>
  <c r="P63" i="6"/>
  <c r="AS34" i="6"/>
  <c r="AS127" i="6" s="1"/>
  <c r="AS93" i="6"/>
  <c r="AS63" i="6"/>
  <c r="F156" i="6"/>
  <c r="AB156" i="6"/>
  <c r="K34" i="6"/>
  <c r="K127" i="6" s="1"/>
  <c r="K93" i="6"/>
  <c r="K63" i="6"/>
  <c r="I34" i="6"/>
  <c r="I187" i="6" s="1"/>
  <c r="I93" i="6"/>
  <c r="I63" i="6"/>
  <c r="O34" i="6"/>
  <c r="O127" i="6" s="1"/>
  <c r="O93" i="6"/>
  <c r="O63" i="6"/>
  <c r="M34" i="6"/>
  <c r="M127" i="6" s="1"/>
  <c r="M93" i="6"/>
  <c r="M63" i="6"/>
  <c r="D34" i="6"/>
  <c r="D127" i="6" s="1"/>
  <c r="D93" i="6"/>
  <c r="D63" i="6"/>
  <c r="Z186" i="6"/>
  <c r="AD156" i="6"/>
  <c r="V34" i="6"/>
  <c r="V127" i="6" s="1"/>
  <c r="V93" i="6"/>
  <c r="V63" i="6"/>
  <c r="V157" i="6"/>
  <c r="G30" i="7"/>
  <c r="I30" i="7" s="1"/>
  <c r="AU34" i="6"/>
  <c r="AU127" i="6" s="1"/>
  <c r="AU93" i="6"/>
  <c r="AU63" i="6"/>
  <c r="AY34" i="6"/>
  <c r="AY187" i="6" s="1"/>
  <c r="AY93" i="6"/>
  <c r="AY63" i="6"/>
  <c r="AY127" i="6"/>
  <c r="AG156" i="6"/>
  <c r="B35" i="7"/>
  <c r="A35" i="6"/>
  <c r="U186" i="6"/>
  <c r="G186" i="6"/>
  <c r="L156" i="6"/>
  <c r="AF186" i="6"/>
  <c r="P186" i="6"/>
  <c r="AS186" i="6"/>
  <c r="AT34" i="6"/>
  <c r="AT127" i="6" s="1"/>
  <c r="AT93" i="6"/>
  <c r="AT63" i="6"/>
  <c r="K156" i="6"/>
  <c r="I186" i="6"/>
  <c r="O186" i="6"/>
  <c r="M186" i="6"/>
  <c r="D186" i="6"/>
  <c r="AV34" i="6"/>
  <c r="AV157" i="6" s="1"/>
  <c r="AV93" i="6"/>
  <c r="AV63" i="6"/>
  <c r="AP34" i="6"/>
  <c r="AP187" i="6" s="1"/>
  <c r="AP93" i="6"/>
  <c r="AP63" i="6"/>
  <c r="V186" i="6"/>
  <c r="AU186" i="6"/>
  <c r="AY186" i="6"/>
  <c r="AC34" i="6"/>
  <c r="AC187" i="6" s="1"/>
  <c r="AC93" i="6"/>
  <c r="AC63" i="6"/>
  <c r="Q34" i="6"/>
  <c r="Q187" i="6" s="1"/>
  <c r="Q93" i="6"/>
  <c r="Q63" i="6"/>
  <c r="AQ34" i="6"/>
  <c r="AQ187" i="6" s="1"/>
  <c r="AQ93" i="6"/>
  <c r="AQ63" i="6"/>
  <c r="AQ157" i="6"/>
  <c r="AB127" i="6" l="1"/>
  <c r="AH157" i="6"/>
  <c r="AN127" i="6"/>
  <c r="AA127" i="6"/>
  <c r="H187" i="6"/>
  <c r="J127" i="6"/>
  <c r="AX157" i="6"/>
  <c r="S157" i="6"/>
  <c r="AP127" i="6"/>
  <c r="AT157" i="6"/>
  <c r="I157" i="6"/>
  <c r="P187" i="6"/>
  <c r="G157" i="6"/>
  <c r="N187" i="6"/>
  <c r="F157" i="6"/>
  <c r="R187" i="6"/>
  <c r="AR157" i="6"/>
  <c r="AI157" i="6"/>
  <c r="T127" i="6"/>
  <c r="AW157" i="6"/>
  <c r="W187" i="6"/>
  <c r="Y127" i="6"/>
  <c r="X187" i="6"/>
  <c r="AM127" i="6"/>
  <c r="AP157" i="6"/>
  <c r="AY157" i="6"/>
  <c r="V187" i="6"/>
  <c r="BA157" i="6"/>
  <c r="AD157" i="6"/>
  <c r="Z127" i="6"/>
  <c r="Y157" i="6"/>
  <c r="AK157" i="6"/>
  <c r="AX127" i="6"/>
  <c r="S187" i="6"/>
  <c r="AQ127" i="6"/>
  <c r="AV127" i="6"/>
  <c r="BC156" i="6"/>
  <c r="E32" i="7" s="1"/>
  <c r="AU157" i="6"/>
  <c r="D157" i="6"/>
  <c r="M157" i="6"/>
  <c r="T157" i="6"/>
  <c r="AL157" i="6"/>
  <c r="AJ157" i="6"/>
  <c r="BC126" i="6"/>
  <c r="F32" i="7" s="1"/>
  <c r="AC127" i="6"/>
  <c r="M187" i="6"/>
  <c r="O157" i="6"/>
  <c r="I127" i="6"/>
  <c r="AS157" i="6"/>
  <c r="P127" i="6"/>
  <c r="L157" i="6"/>
  <c r="G127" i="6"/>
  <c r="AG157" i="6"/>
  <c r="N127" i="6"/>
  <c r="AL187" i="6"/>
  <c r="AK187" i="6"/>
  <c r="AJ187" i="6"/>
  <c r="AT187" i="6"/>
  <c r="D187" i="6"/>
  <c r="K187" i="6"/>
  <c r="AF157" i="6"/>
  <c r="U157" i="6"/>
  <c r="AE187" i="6"/>
  <c r="BA127" i="6"/>
  <c r="AI187" i="6"/>
  <c r="W157" i="6"/>
  <c r="E187" i="6"/>
  <c r="Q35" i="6"/>
  <c r="Q158" i="6" s="1"/>
  <c r="Q64" i="6"/>
  <c r="Q94" i="6"/>
  <c r="Q157" i="6"/>
  <c r="AC35" i="6"/>
  <c r="AC158" i="6" s="1"/>
  <c r="AC64" i="6"/>
  <c r="AC94" i="6"/>
  <c r="Q127" i="6"/>
  <c r="AC157" i="6"/>
  <c r="AP35" i="6"/>
  <c r="AP188" i="6" s="1"/>
  <c r="AP94" i="6"/>
  <c r="AP64" i="6"/>
  <c r="AY35" i="6"/>
  <c r="AY128" i="6" s="1"/>
  <c r="AY94" i="6"/>
  <c r="AY64" i="6"/>
  <c r="BC93" i="6"/>
  <c r="D32" i="7" s="1"/>
  <c r="M35" i="6"/>
  <c r="M128" i="6" s="1"/>
  <c r="M64" i="6"/>
  <c r="M94" i="6"/>
  <c r="I35" i="6"/>
  <c r="I158" i="6" s="1"/>
  <c r="I94" i="6"/>
  <c r="I64" i="6"/>
  <c r="P35" i="6"/>
  <c r="P128" i="6" s="1"/>
  <c r="P64" i="6"/>
  <c r="P94" i="6"/>
  <c r="G35" i="6"/>
  <c r="G188" i="6" s="1"/>
  <c r="G64" i="6"/>
  <c r="G94" i="6"/>
  <c r="N35" i="6"/>
  <c r="N128" i="6" s="1"/>
  <c r="N64" i="6"/>
  <c r="N94" i="6"/>
  <c r="Z35" i="6"/>
  <c r="Z158" i="6" s="1"/>
  <c r="Z94" i="6"/>
  <c r="Z64" i="6"/>
  <c r="AB35" i="6"/>
  <c r="AB128" i="6" s="1"/>
  <c r="AB94" i="6"/>
  <c r="AB64" i="6"/>
  <c r="AH35" i="6"/>
  <c r="AH158" i="6" s="1"/>
  <c r="AH94" i="6"/>
  <c r="AH64" i="6"/>
  <c r="AA35" i="6"/>
  <c r="AA128" i="6" s="1"/>
  <c r="AA64" i="6"/>
  <c r="AA94" i="6"/>
  <c r="H35" i="6"/>
  <c r="H158" i="6" s="1"/>
  <c r="H64" i="6"/>
  <c r="H94" i="6"/>
  <c r="J35" i="6"/>
  <c r="J128" i="6" s="1"/>
  <c r="J94" i="6"/>
  <c r="J64" i="6"/>
  <c r="AX35" i="6"/>
  <c r="AX158" i="6" s="1"/>
  <c r="AX94" i="6"/>
  <c r="AX64" i="6"/>
  <c r="AT35" i="6"/>
  <c r="AT128" i="6" s="1"/>
  <c r="AT94" i="6"/>
  <c r="AT64" i="6"/>
  <c r="A36" i="6"/>
  <c r="B36" i="7"/>
  <c r="V35" i="6"/>
  <c r="V128" i="6" s="1"/>
  <c r="V94" i="6"/>
  <c r="V64" i="6"/>
  <c r="D94" i="6"/>
  <c r="D35" i="6"/>
  <c r="D158" i="6" s="1"/>
  <c r="D64" i="6"/>
  <c r="G31" i="7"/>
  <c r="I31" i="7" s="1"/>
  <c r="AI35" i="6"/>
  <c r="AI158" i="6" s="1"/>
  <c r="AI64" i="6"/>
  <c r="AI94" i="6"/>
  <c r="AL35" i="6"/>
  <c r="AL128" i="6" s="1"/>
  <c r="AL64" i="6"/>
  <c r="AL94" i="6"/>
  <c r="W35" i="6"/>
  <c r="W158" i="6" s="1"/>
  <c r="W64" i="6"/>
  <c r="W94" i="6"/>
  <c r="AK35" i="6"/>
  <c r="AK128" i="6" s="1"/>
  <c r="AK64" i="6"/>
  <c r="AK94" i="6"/>
  <c r="AJ35" i="6"/>
  <c r="AJ128" i="6" s="1"/>
  <c r="AJ64" i="6"/>
  <c r="AJ94" i="6"/>
  <c r="E35" i="6"/>
  <c r="E128" i="6" s="1"/>
  <c r="E94" i="6"/>
  <c r="E64" i="6"/>
  <c r="O35" i="6"/>
  <c r="O188" i="6" s="1"/>
  <c r="O64" i="6"/>
  <c r="O94" i="6"/>
  <c r="K35" i="6"/>
  <c r="K128" i="6" s="1"/>
  <c r="K94" i="6"/>
  <c r="K64" i="6"/>
  <c r="AS35" i="6"/>
  <c r="AS188" i="6" s="1"/>
  <c r="AS94" i="6"/>
  <c r="AS64" i="6"/>
  <c r="AF35" i="6"/>
  <c r="AF128" i="6" s="1"/>
  <c r="AF64" i="6"/>
  <c r="AF94" i="6"/>
  <c r="L35" i="6"/>
  <c r="L158" i="6" s="1"/>
  <c r="L94" i="6"/>
  <c r="L64" i="6"/>
  <c r="U35" i="6"/>
  <c r="U128" i="6" s="1"/>
  <c r="U64" i="6"/>
  <c r="U94" i="6"/>
  <c r="AG35" i="6"/>
  <c r="AG188" i="6" s="1"/>
  <c r="AG94" i="6"/>
  <c r="AG64" i="6"/>
  <c r="AE35" i="6"/>
  <c r="AE128" i="6" s="1"/>
  <c r="AE64" i="6"/>
  <c r="AE94" i="6"/>
  <c r="AD35" i="6"/>
  <c r="AD158" i="6" s="1"/>
  <c r="AD94" i="6"/>
  <c r="AD64" i="6"/>
  <c r="F35" i="6"/>
  <c r="F128" i="6" s="1"/>
  <c r="F94" i="6"/>
  <c r="F64" i="6"/>
  <c r="AN35" i="6"/>
  <c r="AN188" i="6" s="1"/>
  <c r="AN64" i="6"/>
  <c r="AN94" i="6"/>
  <c r="R35" i="6"/>
  <c r="R128" i="6" s="1"/>
  <c r="R94" i="6"/>
  <c r="R64" i="6"/>
  <c r="AZ35" i="6"/>
  <c r="AZ188" i="6" s="1"/>
  <c r="AZ94" i="6"/>
  <c r="AZ64" i="6"/>
  <c r="AM35" i="6"/>
  <c r="AM128" i="6" s="1"/>
  <c r="AM64" i="6"/>
  <c r="AM94" i="6"/>
  <c r="S35" i="6"/>
  <c r="S188" i="6" s="1"/>
  <c r="S64" i="6"/>
  <c r="S94" i="6"/>
  <c r="AV35" i="6"/>
  <c r="AV158" i="6" s="1"/>
  <c r="AV94" i="6"/>
  <c r="AV64" i="6"/>
  <c r="AU35" i="6"/>
  <c r="AU188" i="6" s="1"/>
  <c r="AU94" i="6"/>
  <c r="AU64" i="6"/>
  <c r="AQ35" i="6"/>
  <c r="AQ128" i="6" s="1"/>
  <c r="AQ64" i="6"/>
  <c r="AQ94" i="6"/>
  <c r="AV187" i="6"/>
  <c r="BC186" i="6"/>
  <c r="H32" i="7" s="1"/>
  <c r="AU187" i="6"/>
  <c r="BC63" i="6"/>
  <c r="C32" i="7" s="1"/>
  <c r="O187" i="6"/>
  <c r="K157" i="6"/>
  <c r="AS187" i="6"/>
  <c r="AF187" i="6"/>
  <c r="L187" i="6"/>
  <c r="U187" i="6"/>
  <c r="AG187" i="6"/>
  <c r="AE157" i="6"/>
  <c r="BA35" i="6"/>
  <c r="BA188" i="6" s="1"/>
  <c r="BA94" i="6"/>
  <c r="BA64" i="6"/>
  <c r="AD187" i="6"/>
  <c r="F187" i="6"/>
  <c r="AN187" i="6"/>
  <c r="R157" i="6"/>
  <c r="AR35" i="6"/>
  <c r="AR128" i="6" s="1"/>
  <c r="AR64" i="6"/>
  <c r="AR94" i="6"/>
  <c r="T35" i="6"/>
  <c r="T158" i="6" s="1"/>
  <c r="T64" i="6"/>
  <c r="T94" i="6"/>
  <c r="AW35" i="6"/>
  <c r="AW128" i="6" s="1"/>
  <c r="AW94" i="6"/>
  <c r="AW64" i="6"/>
  <c r="AW158" i="6"/>
  <c r="Y35" i="6"/>
  <c r="Y188" i="6" s="1"/>
  <c r="Y94" i="6"/>
  <c r="Y64" i="6"/>
  <c r="X35" i="6"/>
  <c r="X128" i="6" s="1"/>
  <c r="X94" i="6"/>
  <c r="X64" i="6"/>
  <c r="AZ187" i="6"/>
  <c r="AM187" i="6"/>
  <c r="AO35" i="6"/>
  <c r="AO128" i="6" s="1"/>
  <c r="AO94" i="6"/>
  <c r="AO64" i="6"/>
  <c r="AC188" i="6" l="1"/>
  <c r="AV128" i="6"/>
  <c r="AY158" i="6"/>
  <c r="AP158" i="6"/>
  <c r="X158" i="6"/>
  <c r="AM158" i="6"/>
  <c r="AZ128" i="6"/>
  <c r="R158" i="6"/>
  <c r="AN158" i="6"/>
  <c r="F188" i="6"/>
  <c r="AD188" i="6"/>
  <c r="AE188" i="6"/>
  <c r="AG158" i="6"/>
  <c r="U188" i="6"/>
  <c r="L188" i="6"/>
  <c r="AF158" i="6"/>
  <c r="AS158" i="6"/>
  <c r="K158" i="6"/>
  <c r="O158" i="6"/>
  <c r="AT158" i="6"/>
  <c r="J158" i="6"/>
  <c r="AA158" i="6"/>
  <c r="AB188" i="6"/>
  <c r="N188" i="6"/>
  <c r="P188" i="6"/>
  <c r="M158" i="6"/>
  <c r="Q128" i="6"/>
  <c r="AO158" i="6"/>
  <c r="AR158" i="6"/>
  <c r="BA158" i="6"/>
  <c r="AQ158" i="6"/>
  <c r="V158" i="6"/>
  <c r="BC127" i="6"/>
  <c r="F33" i="7" s="1"/>
  <c r="Y158" i="6"/>
  <c r="T188" i="6"/>
  <c r="AU158" i="6"/>
  <c r="S158" i="6"/>
  <c r="D128" i="6"/>
  <c r="AO188" i="6"/>
  <c r="X188" i="6"/>
  <c r="Y128" i="6"/>
  <c r="AW188" i="6"/>
  <c r="T128" i="6"/>
  <c r="AR188" i="6"/>
  <c r="BA128" i="6"/>
  <c r="BC157" i="6"/>
  <c r="E33" i="7" s="1"/>
  <c r="AQ188" i="6"/>
  <c r="AU128" i="6"/>
  <c r="AV188" i="6"/>
  <c r="S128" i="6"/>
  <c r="AM188" i="6"/>
  <c r="AZ158" i="6"/>
  <c r="R188" i="6"/>
  <c r="AN128" i="6"/>
  <c r="F158" i="6"/>
  <c r="AD128" i="6"/>
  <c r="AE158" i="6"/>
  <c r="AG128" i="6"/>
  <c r="U158" i="6"/>
  <c r="L128" i="6"/>
  <c r="AF188" i="6"/>
  <c r="AS128" i="6"/>
  <c r="K188" i="6"/>
  <c r="O128" i="6"/>
  <c r="AY188" i="6"/>
  <c r="AP128" i="6"/>
  <c r="AC128" i="6"/>
  <c r="BC187" i="6"/>
  <c r="H33" i="7" s="1"/>
  <c r="G32" i="7"/>
  <c r="I32" i="7" s="1"/>
  <c r="E158" i="6"/>
  <c r="AK158" i="6"/>
  <c r="AL158" i="6"/>
  <c r="AJ36" i="6"/>
  <c r="AJ129" i="6" s="1"/>
  <c r="AJ95" i="6"/>
  <c r="AJ65" i="6"/>
  <c r="AJ159" i="6"/>
  <c r="W36" i="6"/>
  <c r="W189" i="6" s="1"/>
  <c r="W95" i="6"/>
  <c r="W65" i="6"/>
  <c r="W159" i="6"/>
  <c r="AI36" i="6"/>
  <c r="AI129" i="6" s="1"/>
  <c r="AI95" i="6"/>
  <c r="AI65" i="6"/>
  <c r="AI189" i="6"/>
  <c r="AX36" i="6"/>
  <c r="AX189" i="6" s="1"/>
  <c r="AX95" i="6"/>
  <c r="AX65" i="6"/>
  <c r="AX159" i="6"/>
  <c r="H36" i="6"/>
  <c r="H129" i="6" s="1"/>
  <c r="H95" i="6"/>
  <c r="H65" i="6"/>
  <c r="H159" i="6"/>
  <c r="AH36" i="6"/>
  <c r="AH159" i="6" s="1"/>
  <c r="AH65" i="6"/>
  <c r="AH95" i="6"/>
  <c r="AH189" i="6"/>
  <c r="Z36" i="6"/>
  <c r="Z129" i="6" s="1"/>
  <c r="Z95" i="6"/>
  <c r="Z65" i="6"/>
  <c r="Z189" i="6"/>
  <c r="G36" i="6"/>
  <c r="G189" i="6" s="1"/>
  <c r="G95" i="6"/>
  <c r="G65" i="6"/>
  <c r="G159" i="6"/>
  <c r="I36" i="6"/>
  <c r="I129" i="6" s="1"/>
  <c r="I65" i="6"/>
  <c r="I95" i="6"/>
  <c r="I159" i="6"/>
  <c r="AO36" i="6"/>
  <c r="AO189" i="6" s="1"/>
  <c r="AO95" i="6"/>
  <c r="AO65" i="6"/>
  <c r="AO159" i="6"/>
  <c r="X36" i="6"/>
  <c r="X129" i="6" s="1"/>
  <c r="X95" i="6"/>
  <c r="X65" i="6"/>
  <c r="X159" i="6"/>
  <c r="AW36" i="6"/>
  <c r="AW189" i="6" s="1"/>
  <c r="AW95" i="6"/>
  <c r="AW65" i="6"/>
  <c r="AW129" i="6"/>
  <c r="AR36" i="6"/>
  <c r="AR159" i="6" s="1"/>
  <c r="AR65" i="6"/>
  <c r="AR95" i="6"/>
  <c r="AR129" i="6"/>
  <c r="AQ36" i="6"/>
  <c r="AQ189" i="6" s="1"/>
  <c r="AQ95" i="6"/>
  <c r="AQ65" i="6"/>
  <c r="AQ129" i="6"/>
  <c r="AV36" i="6"/>
  <c r="AV129" i="6" s="1"/>
  <c r="AV65" i="6"/>
  <c r="AV95" i="6"/>
  <c r="AV159" i="6"/>
  <c r="AM36" i="6"/>
  <c r="AM189" i="6" s="1"/>
  <c r="AM95" i="6"/>
  <c r="AM65" i="6"/>
  <c r="AM159" i="6"/>
  <c r="R36" i="6"/>
  <c r="R129" i="6" s="1"/>
  <c r="R65" i="6"/>
  <c r="R95" i="6"/>
  <c r="R189" i="6"/>
  <c r="F36" i="6"/>
  <c r="F189" i="6" s="1"/>
  <c r="F65" i="6"/>
  <c r="F95" i="6"/>
  <c r="F159" i="6"/>
  <c r="AE36" i="6"/>
  <c r="AE129" i="6" s="1"/>
  <c r="AE95" i="6"/>
  <c r="AE65" i="6"/>
  <c r="AE159" i="6"/>
  <c r="U36" i="6"/>
  <c r="U189" i="6" s="1"/>
  <c r="U65" i="6"/>
  <c r="U95" i="6"/>
  <c r="U159" i="6"/>
  <c r="AF36" i="6"/>
  <c r="AF129" i="6" s="1"/>
  <c r="AF95" i="6"/>
  <c r="AF65" i="6"/>
  <c r="AF159" i="6"/>
  <c r="K36" i="6"/>
  <c r="K189" i="6" s="1"/>
  <c r="K95" i="6"/>
  <c r="K65" i="6"/>
  <c r="K159" i="6"/>
  <c r="AJ188" i="6"/>
  <c r="W188" i="6"/>
  <c r="AI188" i="6"/>
  <c r="BC64" i="6"/>
  <c r="C33" i="7" s="1"/>
  <c r="AX188" i="6"/>
  <c r="H188" i="6"/>
  <c r="AH188" i="6"/>
  <c r="Z188" i="6"/>
  <c r="G158" i="6"/>
  <c r="I188" i="6"/>
  <c r="AY36" i="6"/>
  <c r="AY189" i="6" s="1"/>
  <c r="AY65" i="6"/>
  <c r="AY95" i="6"/>
  <c r="AY159" i="6"/>
  <c r="E36" i="6"/>
  <c r="E129" i="6" s="1"/>
  <c r="E95" i="6"/>
  <c r="E65" i="6"/>
  <c r="E159" i="6"/>
  <c r="AK36" i="6"/>
  <c r="AK189" i="6" s="1"/>
  <c r="AK65" i="6"/>
  <c r="AK95" i="6"/>
  <c r="AK159" i="6"/>
  <c r="AL36" i="6"/>
  <c r="AL129" i="6" s="1"/>
  <c r="AL65" i="6"/>
  <c r="AL95" i="6"/>
  <c r="AL159" i="6"/>
  <c r="D95" i="6"/>
  <c r="D36" i="6"/>
  <c r="D189" i="6" s="1"/>
  <c r="D65" i="6"/>
  <c r="D159" i="6"/>
  <c r="V36" i="6"/>
  <c r="V129" i="6" s="1"/>
  <c r="V65" i="6"/>
  <c r="V95" i="6"/>
  <c r="AT36" i="6"/>
  <c r="AT129" i="6" s="1"/>
  <c r="AT65" i="6"/>
  <c r="AT95" i="6"/>
  <c r="J36" i="6"/>
  <c r="J129" i="6" s="1"/>
  <c r="J95" i="6"/>
  <c r="J65" i="6"/>
  <c r="AA36" i="6"/>
  <c r="AA129" i="6" s="1"/>
  <c r="AA95" i="6"/>
  <c r="AA65" i="6"/>
  <c r="AB36" i="6"/>
  <c r="AB129" i="6" s="1"/>
  <c r="AB65" i="6"/>
  <c r="AB95" i="6"/>
  <c r="N36" i="6"/>
  <c r="N129" i="6" s="1"/>
  <c r="N95" i="6"/>
  <c r="N65" i="6"/>
  <c r="P36" i="6"/>
  <c r="P129" i="6" s="1"/>
  <c r="P95" i="6"/>
  <c r="P65" i="6"/>
  <c r="M36" i="6"/>
  <c r="M129" i="6" s="1"/>
  <c r="M95" i="6"/>
  <c r="M65" i="6"/>
  <c r="Q36" i="6"/>
  <c r="Q129" i="6" s="1"/>
  <c r="Q65" i="6"/>
  <c r="Q95" i="6"/>
  <c r="Y36" i="6"/>
  <c r="Y65" i="6"/>
  <c r="Y95" i="6"/>
  <c r="T36" i="6"/>
  <c r="T129" i="6" s="1"/>
  <c r="T95" i="6"/>
  <c r="T65" i="6"/>
  <c r="BA36" i="6"/>
  <c r="BA129" i="6" s="1"/>
  <c r="BA95" i="6"/>
  <c r="BA65" i="6"/>
  <c r="AU36" i="6"/>
  <c r="AU159" i="6" s="1"/>
  <c r="AU65" i="6"/>
  <c r="AU95" i="6"/>
  <c r="AU129" i="6"/>
  <c r="S36" i="6"/>
  <c r="S129" i="6" s="1"/>
  <c r="S95" i="6"/>
  <c r="S65" i="6"/>
  <c r="S189" i="6"/>
  <c r="AZ36" i="6"/>
  <c r="AZ129" i="6" s="1"/>
  <c r="AZ95" i="6"/>
  <c r="AZ65" i="6"/>
  <c r="AZ159" i="6"/>
  <c r="AN36" i="6"/>
  <c r="AN95" i="6"/>
  <c r="AN65" i="6"/>
  <c r="AN189" i="6"/>
  <c r="AD36" i="6"/>
  <c r="AD129" i="6" s="1"/>
  <c r="AD95" i="6"/>
  <c r="AD65" i="6"/>
  <c r="AD189" i="6"/>
  <c r="AG36" i="6"/>
  <c r="AG129" i="6" s="1"/>
  <c r="AG65" i="6"/>
  <c r="AG95" i="6"/>
  <c r="AG189" i="6"/>
  <c r="L36" i="6"/>
  <c r="L129" i="6" s="1"/>
  <c r="L65" i="6"/>
  <c r="L95" i="6"/>
  <c r="L189" i="6"/>
  <c r="AS36" i="6"/>
  <c r="AS159" i="6" s="1"/>
  <c r="AS95" i="6"/>
  <c r="AS65" i="6"/>
  <c r="AS129" i="6"/>
  <c r="O36" i="6"/>
  <c r="O129" i="6" s="1"/>
  <c r="O95" i="6"/>
  <c r="O65" i="6"/>
  <c r="E188" i="6"/>
  <c r="AJ158" i="6"/>
  <c r="AK188" i="6"/>
  <c r="W128" i="6"/>
  <c r="AL188" i="6"/>
  <c r="AI128" i="6"/>
  <c r="D188" i="6"/>
  <c r="BC94" i="6"/>
  <c r="D33" i="7" s="1"/>
  <c r="V188" i="6"/>
  <c r="A37" i="6"/>
  <c r="B37" i="7"/>
  <c r="A38" i="6" s="1"/>
  <c r="AT188" i="6"/>
  <c r="AX128" i="6"/>
  <c r="J188" i="6"/>
  <c r="H128" i="6"/>
  <c r="AA188" i="6"/>
  <c r="AH128" i="6"/>
  <c r="AB158" i="6"/>
  <c r="Z128" i="6"/>
  <c r="N158" i="6"/>
  <c r="G128" i="6"/>
  <c r="P158" i="6"/>
  <c r="I128" i="6"/>
  <c r="M188" i="6"/>
  <c r="AP36" i="6"/>
  <c r="AP159" i="6" s="1"/>
  <c r="AP95" i="6"/>
  <c r="AP65" i="6"/>
  <c r="AC36" i="6"/>
  <c r="AC65" i="6"/>
  <c r="AC95" i="6"/>
  <c r="Q188" i="6"/>
  <c r="BC188" i="6" l="1"/>
  <c r="H34" i="7" s="1"/>
  <c r="Q159" i="6"/>
  <c r="M159" i="6"/>
  <c r="P159" i="6"/>
  <c r="N159" i="6"/>
  <c r="AB159" i="6"/>
  <c r="AA189" i="6"/>
  <c r="J189" i="6"/>
  <c r="AT159" i="6"/>
  <c r="V159" i="6"/>
  <c r="D129" i="6"/>
  <c r="BC158" i="6"/>
  <c r="E34" i="7" s="1"/>
  <c r="BC128" i="6"/>
  <c r="F34" i="7" s="1"/>
  <c r="AP129" i="6"/>
  <c r="AL189" i="6"/>
  <c r="AK129" i="6"/>
  <c r="E189" i="6"/>
  <c r="AY129" i="6"/>
  <c r="K129" i="6"/>
  <c r="AF189" i="6"/>
  <c r="U129" i="6"/>
  <c r="AE189" i="6"/>
  <c r="F129" i="6"/>
  <c r="R159" i="6"/>
  <c r="AM129" i="6"/>
  <c r="AV189" i="6"/>
  <c r="AQ159" i="6"/>
  <c r="AR189" i="6"/>
  <c r="AW159" i="6"/>
  <c r="X189" i="6"/>
  <c r="AO129" i="6"/>
  <c r="I189" i="6"/>
  <c r="G129" i="6"/>
  <c r="Z159" i="6"/>
  <c r="AH129" i="6"/>
  <c r="H189" i="6"/>
  <c r="AX129" i="6"/>
  <c r="AI159" i="6"/>
  <c r="W129" i="6"/>
  <c r="AJ189" i="6"/>
  <c r="T159" i="6"/>
  <c r="AC37" i="6"/>
  <c r="AC160" i="6" s="1"/>
  <c r="AC66" i="6"/>
  <c r="AC96" i="6"/>
  <c r="O159" i="6"/>
  <c r="AN37" i="6"/>
  <c r="AN130" i="6" s="1"/>
  <c r="AN66" i="6"/>
  <c r="AN96" i="6"/>
  <c r="AN190" i="6"/>
  <c r="BA159" i="6"/>
  <c r="Y37" i="6"/>
  <c r="Y160" i="6" s="1"/>
  <c r="Y96" i="6"/>
  <c r="Y66" i="6"/>
  <c r="AC129" i="6"/>
  <c r="AP189" i="6"/>
  <c r="AS189" i="6"/>
  <c r="AG159" i="6"/>
  <c r="AN159" i="6"/>
  <c r="S159" i="6"/>
  <c r="BA189" i="6"/>
  <c r="Y159" i="6"/>
  <c r="M189" i="6"/>
  <c r="N189" i="6"/>
  <c r="AA159" i="6"/>
  <c r="AT189" i="6"/>
  <c r="AK37" i="6"/>
  <c r="AK190" i="6" s="1"/>
  <c r="AK66" i="6"/>
  <c r="AK96" i="6"/>
  <c r="AY37" i="6"/>
  <c r="AY160" i="6" s="1"/>
  <c r="AY66" i="6"/>
  <c r="AY96" i="6"/>
  <c r="K37" i="6"/>
  <c r="K160" i="6" s="1"/>
  <c r="K66" i="6"/>
  <c r="K96" i="6"/>
  <c r="U37" i="6"/>
  <c r="U160" i="6" s="1"/>
  <c r="U66" i="6"/>
  <c r="U96" i="6"/>
  <c r="F37" i="6"/>
  <c r="F130" i="6" s="1"/>
  <c r="F66" i="6"/>
  <c r="F96" i="6"/>
  <c r="AM37" i="6"/>
  <c r="AM130" i="6" s="1"/>
  <c r="AM96" i="6"/>
  <c r="AM66" i="6"/>
  <c r="AQ37" i="6"/>
  <c r="AQ130" i="6" s="1"/>
  <c r="AQ96" i="6"/>
  <c r="AQ66" i="6"/>
  <c r="AW37" i="6"/>
  <c r="AW160" i="6" s="1"/>
  <c r="AW96" i="6"/>
  <c r="AW66" i="6"/>
  <c r="AO37" i="6"/>
  <c r="AO130" i="6" s="1"/>
  <c r="AO96" i="6"/>
  <c r="AO66" i="6"/>
  <c r="G37" i="6"/>
  <c r="G160" i="6" s="1"/>
  <c r="G96" i="6"/>
  <c r="G66" i="6"/>
  <c r="AH37" i="6"/>
  <c r="AH130" i="6" s="1"/>
  <c r="AH96" i="6"/>
  <c r="AH66" i="6"/>
  <c r="AX37" i="6"/>
  <c r="AX130" i="6" s="1"/>
  <c r="AX96" i="6"/>
  <c r="AX66" i="6"/>
  <c r="W37" i="6"/>
  <c r="W130" i="6" s="1"/>
  <c r="W96" i="6"/>
  <c r="W66" i="6"/>
  <c r="O37" i="6"/>
  <c r="O190" i="6" s="1"/>
  <c r="O66" i="6"/>
  <c r="O96" i="6"/>
  <c r="AD37" i="6"/>
  <c r="AD130" i="6" s="1"/>
  <c r="AD96" i="6"/>
  <c r="AD66" i="6"/>
  <c r="AU37" i="6"/>
  <c r="AU160" i="6" s="1"/>
  <c r="AU66" i="6"/>
  <c r="AU96" i="6"/>
  <c r="P37" i="6"/>
  <c r="P130" i="6" s="1"/>
  <c r="P66" i="6"/>
  <c r="P96" i="6"/>
  <c r="AB37" i="6"/>
  <c r="AB160" i="6" s="1"/>
  <c r="AB66" i="6"/>
  <c r="AB96" i="6"/>
  <c r="J37" i="6"/>
  <c r="J130" i="6" s="1"/>
  <c r="J66" i="6"/>
  <c r="J96" i="6"/>
  <c r="V37" i="6"/>
  <c r="V190" i="6" s="1"/>
  <c r="V66" i="6"/>
  <c r="V96" i="6"/>
  <c r="BC65" i="6"/>
  <c r="C34" i="7" s="1"/>
  <c r="AC159" i="6"/>
  <c r="L37" i="6"/>
  <c r="L160" i="6" s="1"/>
  <c r="L66" i="6"/>
  <c r="L96" i="6"/>
  <c r="AZ37" i="6"/>
  <c r="AZ130" i="6" s="1"/>
  <c r="AZ66" i="6"/>
  <c r="AZ96" i="6"/>
  <c r="T37" i="6"/>
  <c r="T190" i="6" s="1"/>
  <c r="T66" i="6"/>
  <c r="T96" i="6"/>
  <c r="Q37" i="6"/>
  <c r="Q130" i="6" s="1"/>
  <c r="Q96" i="6"/>
  <c r="Q66" i="6"/>
  <c r="AC189" i="6"/>
  <c r="O189" i="6"/>
  <c r="L159" i="6"/>
  <c r="AD159" i="6"/>
  <c r="AN129" i="6"/>
  <c r="AZ189" i="6"/>
  <c r="AU189" i="6"/>
  <c r="T189" i="6"/>
  <c r="Y129" i="6"/>
  <c r="Q189" i="6"/>
  <c r="P189" i="6"/>
  <c r="AB189" i="6"/>
  <c r="J159" i="6"/>
  <c r="V189" i="6"/>
  <c r="D37" i="6"/>
  <c r="D190" i="6" s="1"/>
  <c r="D96" i="6"/>
  <c r="D66" i="6"/>
  <c r="AL37" i="6"/>
  <c r="AL160" i="6" s="1"/>
  <c r="AL96" i="6"/>
  <c r="AL66" i="6"/>
  <c r="E37" i="6"/>
  <c r="E190" i="6" s="1"/>
  <c r="E96" i="6"/>
  <c r="E66" i="6"/>
  <c r="AF37" i="6"/>
  <c r="AF130" i="6" s="1"/>
  <c r="AF66" i="6"/>
  <c r="AF96" i="6"/>
  <c r="AE37" i="6"/>
  <c r="AE160" i="6" s="1"/>
  <c r="AE96" i="6"/>
  <c r="AE66" i="6"/>
  <c r="R37" i="6"/>
  <c r="R130" i="6" s="1"/>
  <c r="R96" i="6"/>
  <c r="R66" i="6"/>
  <c r="AV37" i="6"/>
  <c r="AV190" i="6" s="1"/>
  <c r="AV66" i="6"/>
  <c r="AV96" i="6"/>
  <c r="AR37" i="6"/>
  <c r="AR130" i="6" s="1"/>
  <c r="AR66" i="6"/>
  <c r="AR96" i="6"/>
  <c r="X37" i="6"/>
  <c r="X160" i="6" s="1"/>
  <c r="X66" i="6"/>
  <c r="X96" i="6"/>
  <c r="I37" i="6"/>
  <c r="I130" i="6" s="1"/>
  <c r="I96" i="6"/>
  <c r="I66" i="6"/>
  <c r="Z37" i="6"/>
  <c r="Z190" i="6" s="1"/>
  <c r="Z96" i="6"/>
  <c r="Z66" i="6"/>
  <c r="H37" i="6"/>
  <c r="H130" i="6" s="1"/>
  <c r="H96" i="6"/>
  <c r="H66" i="6"/>
  <c r="AI37" i="6"/>
  <c r="AI160" i="6" s="1"/>
  <c r="AI66" i="6"/>
  <c r="AI96" i="6"/>
  <c r="AJ37" i="6"/>
  <c r="AJ130" i="6" s="1"/>
  <c r="AJ66" i="6"/>
  <c r="AJ96" i="6"/>
  <c r="AP37" i="6"/>
  <c r="AP190" i="6" s="1"/>
  <c r="AP96" i="6"/>
  <c r="AP66" i="6"/>
  <c r="AS37" i="6"/>
  <c r="AS160" i="6" s="1"/>
  <c r="AS66" i="6"/>
  <c r="AS96" i="6"/>
  <c r="AG37" i="6"/>
  <c r="AG190" i="6" s="1"/>
  <c r="AG96" i="6"/>
  <c r="AG66" i="6"/>
  <c r="S37" i="6"/>
  <c r="S130" i="6" s="1"/>
  <c r="S96" i="6"/>
  <c r="S66" i="6"/>
  <c r="BA96" i="6"/>
  <c r="BA37" i="6"/>
  <c r="BA66" i="6"/>
  <c r="Y189" i="6"/>
  <c r="M37" i="6"/>
  <c r="M130" i="6" s="1"/>
  <c r="M96" i="6"/>
  <c r="M66" i="6"/>
  <c r="N37" i="6"/>
  <c r="N96" i="6"/>
  <c r="N66" i="6"/>
  <c r="AA37" i="6"/>
  <c r="AA130" i="6" s="1"/>
  <c r="AA96" i="6"/>
  <c r="AA66" i="6"/>
  <c r="AT37" i="6"/>
  <c r="AT160" i="6" s="1"/>
  <c r="AT96" i="6"/>
  <c r="AT66" i="6"/>
  <c r="BC95" i="6"/>
  <c r="D34" i="7" s="1"/>
  <c r="G33" i="7"/>
  <c r="I33" i="7" s="1"/>
  <c r="BC159" i="6" l="1"/>
  <c r="E35" i="7" s="1"/>
  <c r="AK130" i="6"/>
  <c r="BC129" i="6"/>
  <c r="F35" i="7" s="1"/>
  <c r="S160" i="6"/>
  <c r="AG160" i="6"/>
  <c r="AS130" i="6"/>
  <c r="AP160" i="6"/>
  <c r="AJ160" i="6"/>
  <c r="AI190" i="6"/>
  <c r="H190" i="6"/>
  <c r="Z160" i="6"/>
  <c r="I190" i="6"/>
  <c r="X190" i="6"/>
  <c r="AR160" i="6"/>
  <c r="AV160" i="6"/>
  <c r="R190" i="6"/>
  <c r="AE190" i="6"/>
  <c r="AF190" i="6"/>
  <c r="E160" i="6"/>
  <c r="AL130" i="6"/>
  <c r="D160" i="6"/>
  <c r="J160" i="6"/>
  <c r="P160" i="6"/>
  <c r="AD190" i="6"/>
  <c r="W160" i="6"/>
  <c r="AH160" i="6"/>
  <c r="AO160" i="6"/>
  <c r="AQ160" i="6"/>
  <c r="F190" i="6"/>
  <c r="K130" i="6"/>
  <c r="AA190" i="6"/>
  <c r="Q160" i="6"/>
  <c r="AZ160" i="6"/>
  <c r="AC130" i="6"/>
  <c r="S190" i="6"/>
  <c r="AG130" i="6"/>
  <c r="AS190" i="6"/>
  <c r="AP130" i="6"/>
  <c r="AJ190" i="6"/>
  <c r="AI130" i="6"/>
  <c r="H160" i="6"/>
  <c r="Z130" i="6"/>
  <c r="I160" i="6"/>
  <c r="X130" i="6"/>
  <c r="AR190" i="6"/>
  <c r="AV130" i="6"/>
  <c r="R160" i="6"/>
  <c r="AE130" i="6"/>
  <c r="AF160" i="6"/>
  <c r="E130" i="6"/>
  <c r="AL190" i="6"/>
  <c r="D130" i="6"/>
  <c r="BC189" i="6"/>
  <c r="H35" i="7" s="1"/>
  <c r="AN160" i="6"/>
  <c r="M160" i="6"/>
  <c r="N38" i="6"/>
  <c r="N191" i="6" s="1"/>
  <c r="N97" i="6"/>
  <c r="N67" i="6"/>
  <c r="BA97" i="6"/>
  <c r="BA38" i="6"/>
  <c r="BA191" i="6" s="1"/>
  <c r="BA67" i="6"/>
  <c r="BA131" i="6"/>
  <c r="BC96" i="6"/>
  <c r="D35" i="7" s="1"/>
  <c r="T38" i="6"/>
  <c r="T161" i="6" s="1"/>
  <c r="T97" i="6"/>
  <c r="T67" i="6"/>
  <c r="T191" i="6"/>
  <c r="L38" i="6"/>
  <c r="L131" i="6" s="1"/>
  <c r="L97" i="6"/>
  <c r="L67" i="6"/>
  <c r="V38" i="6"/>
  <c r="V131" i="6" s="1"/>
  <c r="V97" i="6"/>
  <c r="V67" i="6"/>
  <c r="AB38" i="6"/>
  <c r="AB131" i="6" s="1"/>
  <c r="AB97" i="6"/>
  <c r="AB67" i="6"/>
  <c r="AU38" i="6"/>
  <c r="AU191" i="6" s="1"/>
  <c r="AU97" i="6"/>
  <c r="AU67" i="6"/>
  <c r="O38" i="6"/>
  <c r="O131" i="6" s="1"/>
  <c r="O97" i="6"/>
  <c r="O67" i="6"/>
  <c r="AX38" i="6"/>
  <c r="AX161" i="6" s="1"/>
  <c r="AX97" i="6"/>
  <c r="AX67" i="6"/>
  <c r="AX131" i="6"/>
  <c r="G38" i="6"/>
  <c r="G131" i="6" s="1"/>
  <c r="G67" i="6"/>
  <c r="G97" i="6"/>
  <c r="AW38" i="6"/>
  <c r="AW191" i="6" s="1"/>
  <c r="AW67" i="6"/>
  <c r="AW97" i="6"/>
  <c r="AW161" i="6"/>
  <c r="AM38" i="6"/>
  <c r="AM131" i="6" s="1"/>
  <c r="AM97" i="6"/>
  <c r="AM67" i="6"/>
  <c r="U38" i="6"/>
  <c r="U131" i="6" s="1"/>
  <c r="U97" i="6"/>
  <c r="U67" i="6"/>
  <c r="AY38" i="6"/>
  <c r="AY131" i="6" s="1"/>
  <c r="AY97" i="6"/>
  <c r="AY67" i="6"/>
  <c r="Y38" i="6"/>
  <c r="Y161" i="6" s="1"/>
  <c r="Y67" i="6"/>
  <c r="Y97" i="6"/>
  <c r="AT190" i="6"/>
  <c r="N160" i="6"/>
  <c r="BA160" i="6"/>
  <c r="AG38" i="6"/>
  <c r="AG161" i="6" s="1"/>
  <c r="AG67" i="6"/>
  <c r="AG97" i="6"/>
  <c r="AP38" i="6"/>
  <c r="AP131" i="6" s="1"/>
  <c r="AP97" i="6"/>
  <c r="AP67" i="6"/>
  <c r="AI38" i="6"/>
  <c r="AI161" i="6" s="1"/>
  <c r="AI97" i="6"/>
  <c r="AI67" i="6"/>
  <c r="Z38" i="6"/>
  <c r="Z131" i="6" s="1"/>
  <c r="Z97" i="6"/>
  <c r="Z67" i="6"/>
  <c r="X38" i="6"/>
  <c r="X191" i="6" s="1"/>
  <c r="X97" i="6"/>
  <c r="X67" i="6"/>
  <c r="AV38" i="6"/>
  <c r="AV131" i="6" s="1"/>
  <c r="AV97" i="6"/>
  <c r="AV67" i="6"/>
  <c r="AE38" i="6"/>
  <c r="AE161" i="6" s="1"/>
  <c r="AE97" i="6"/>
  <c r="AE67" i="6"/>
  <c r="E38" i="6"/>
  <c r="E131" i="6" s="1"/>
  <c r="E97" i="6"/>
  <c r="E67" i="6"/>
  <c r="D38" i="6"/>
  <c r="D191" i="6" s="1"/>
  <c r="D67" i="6"/>
  <c r="D97" i="6"/>
  <c r="D161" i="6"/>
  <c r="D131" i="6"/>
  <c r="T160" i="6"/>
  <c r="L190" i="6"/>
  <c r="V160" i="6"/>
  <c r="AB190" i="6"/>
  <c r="AU190" i="6"/>
  <c r="O160" i="6"/>
  <c r="AX190" i="6"/>
  <c r="G190" i="6"/>
  <c r="AW190" i="6"/>
  <c r="AM190" i="6"/>
  <c r="U190" i="6"/>
  <c r="AY190" i="6"/>
  <c r="Y190" i="6"/>
  <c r="N190" i="6"/>
  <c r="BA130" i="6"/>
  <c r="AA38" i="6"/>
  <c r="AA131" i="6" s="1"/>
  <c r="AA97" i="6"/>
  <c r="AA67" i="6"/>
  <c r="Q38" i="6"/>
  <c r="Q131" i="6" s="1"/>
  <c r="Q67" i="6"/>
  <c r="Q97" i="6"/>
  <c r="AZ38" i="6"/>
  <c r="AZ191" i="6" s="1"/>
  <c r="AZ97" i="6"/>
  <c r="AZ67" i="6"/>
  <c r="G34" i="7"/>
  <c r="I34" i="7" s="1"/>
  <c r="J38" i="6"/>
  <c r="J131" i="6" s="1"/>
  <c r="J97" i="6"/>
  <c r="J67" i="6"/>
  <c r="P38" i="6"/>
  <c r="P161" i="6" s="1"/>
  <c r="P67" i="6"/>
  <c r="P97" i="6"/>
  <c r="AD38" i="6"/>
  <c r="AD131" i="6" s="1"/>
  <c r="AD67" i="6"/>
  <c r="AD97" i="6"/>
  <c r="W38" i="6"/>
  <c r="W161" i="6" s="1"/>
  <c r="W97" i="6"/>
  <c r="W67" i="6"/>
  <c r="AH38" i="6"/>
  <c r="AH131" i="6" s="1"/>
  <c r="AH97" i="6"/>
  <c r="AH67" i="6"/>
  <c r="AO38" i="6"/>
  <c r="AO161" i="6" s="1"/>
  <c r="AO67" i="6"/>
  <c r="AO97" i="6"/>
  <c r="AQ38" i="6"/>
  <c r="AQ131" i="6" s="1"/>
  <c r="AQ97" i="6"/>
  <c r="AQ67" i="6"/>
  <c r="F38" i="6"/>
  <c r="F191" i="6" s="1"/>
  <c r="F97" i="6"/>
  <c r="F67" i="6"/>
  <c r="K38" i="6"/>
  <c r="K131" i="6" s="1"/>
  <c r="K67" i="6"/>
  <c r="K97" i="6"/>
  <c r="AK38" i="6"/>
  <c r="AK131" i="6" s="1"/>
  <c r="AK97" i="6"/>
  <c r="AK67" i="6"/>
  <c r="AC38" i="6"/>
  <c r="AC131" i="6" s="1"/>
  <c r="AC97" i="6"/>
  <c r="AC67" i="6"/>
  <c r="AT38" i="6"/>
  <c r="AT161" i="6" s="1"/>
  <c r="AT97" i="6"/>
  <c r="AT67" i="6"/>
  <c r="M38" i="6"/>
  <c r="M131" i="6" s="1"/>
  <c r="M97" i="6"/>
  <c r="M67" i="6"/>
  <c r="BA190" i="6"/>
  <c r="AT130" i="6"/>
  <c r="AA160" i="6"/>
  <c r="N130" i="6"/>
  <c r="M190" i="6"/>
  <c r="S38" i="6"/>
  <c r="S131" i="6" s="1"/>
  <c r="S97" i="6"/>
  <c r="S67" i="6"/>
  <c r="S161" i="6"/>
  <c r="S191" i="6"/>
  <c r="AS38" i="6"/>
  <c r="AS161" i="6" s="1"/>
  <c r="AS97" i="6"/>
  <c r="AS67" i="6"/>
  <c r="AJ38" i="6"/>
  <c r="AJ191" i="6" s="1"/>
  <c r="AJ67" i="6"/>
  <c r="AJ97" i="6"/>
  <c r="AJ161" i="6"/>
  <c r="H38" i="6"/>
  <c r="H131" i="6" s="1"/>
  <c r="H97" i="6"/>
  <c r="H67" i="6"/>
  <c r="I38" i="6"/>
  <c r="I131" i="6" s="1"/>
  <c r="I67" i="6"/>
  <c r="I97" i="6"/>
  <c r="I161" i="6"/>
  <c r="AR38" i="6"/>
  <c r="AR131" i="6" s="1"/>
  <c r="AR97" i="6"/>
  <c r="AR67" i="6"/>
  <c r="R38" i="6"/>
  <c r="R191" i="6" s="1"/>
  <c r="R97" i="6"/>
  <c r="R67" i="6"/>
  <c r="AF38" i="6"/>
  <c r="AF131" i="6" s="1"/>
  <c r="AF67" i="6"/>
  <c r="AF97" i="6"/>
  <c r="AL38" i="6"/>
  <c r="AL131" i="6" s="1"/>
  <c r="AL97" i="6"/>
  <c r="AL67" i="6"/>
  <c r="BC66" i="6"/>
  <c r="C35" i="7" s="1"/>
  <c r="Q190" i="6"/>
  <c r="T130" i="6"/>
  <c r="AZ190" i="6"/>
  <c r="L130" i="6"/>
  <c r="V130" i="6"/>
  <c r="J190" i="6"/>
  <c r="AB130" i="6"/>
  <c r="P190" i="6"/>
  <c r="AU130" i="6"/>
  <c r="AD160" i="6"/>
  <c r="O130" i="6"/>
  <c r="W190" i="6"/>
  <c r="AX160" i="6"/>
  <c r="AH190" i="6"/>
  <c r="G130" i="6"/>
  <c r="AO190" i="6"/>
  <c r="AW130" i="6"/>
  <c r="AQ190" i="6"/>
  <c r="AM160" i="6"/>
  <c r="F160" i="6"/>
  <c r="U130" i="6"/>
  <c r="K190" i="6"/>
  <c r="AY130" i="6"/>
  <c r="AK160" i="6"/>
  <c r="Y130" i="6"/>
  <c r="AN38" i="6"/>
  <c r="AN131" i="6" s="1"/>
  <c r="AN67" i="6"/>
  <c r="AN97" i="6"/>
  <c r="AN161" i="6"/>
  <c r="AC190" i="6"/>
  <c r="G35" i="7" l="1"/>
  <c r="I35" i="7" s="1"/>
  <c r="R161" i="6"/>
  <c r="V161" i="6"/>
  <c r="N161" i="6"/>
  <c r="AL161" i="6"/>
  <c r="Y191" i="6"/>
  <c r="AU161" i="6"/>
  <c r="AZ161" i="6"/>
  <c r="U161" i="6"/>
  <c r="AN191" i="6"/>
  <c r="AL191" i="6"/>
  <c r="AF191" i="6"/>
  <c r="R131" i="6"/>
  <c r="I191" i="6"/>
  <c r="H161" i="6"/>
  <c r="AJ131" i="6"/>
  <c r="M191" i="6"/>
  <c r="AC161" i="6"/>
  <c r="K161" i="6"/>
  <c r="AQ161" i="6"/>
  <c r="AH161" i="6"/>
  <c r="AD161" i="6"/>
  <c r="J161" i="6"/>
  <c r="Y131" i="6"/>
  <c r="U191" i="6"/>
  <c r="AM191" i="6"/>
  <c r="AW131" i="6"/>
  <c r="AX191" i="6"/>
  <c r="O191" i="6"/>
  <c r="AU131" i="6"/>
  <c r="V191" i="6"/>
  <c r="L161" i="6"/>
  <c r="T131" i="6"/>
  <c r="N131" i="6"/>
  <c r="AR161" i="6"/>
  <c r="AZ131" i="6"/>
  <c r="Q161" i="6"/>
  <c r="AY161" i="6"/>
  <c r="G161" i="6"/>
  <c r="AB161" i="6"/>
  <c r="BC160" i="6"/>
  <c r="E36" i="7" s="1"/>
  <c r="BC190" i="6"/>
  <c r="H36" i="7" s="1"/>
  <c r="H191" i="6"/>
  <c r="AA161" i="6"/>
  <c r="AY191" i="6"/>
  <c r="AM161" i="6"/>
  <c r="O161" i="6"/>
  <c r="AB191" i="6"/>
  <c r="L191" i="6"/>
  <c r="E161" i="6"/>
  <c r="AV161" i="6"/>
  <c r="Z161" i="6"/>
  <c r="AP191" i="6"/>
  <c r="AS131" i="6"/>
  <c r="BC130" i="6"/>
  <c r="F36" i="7" s="1"/>
  <c r="AF161" i="6"/>
  <c r="AR191" i="6"/>
  <c r="AS191" i="6"/>
  <c r="Q191" i="6"/>
  <c r="G191" i="6"/>
  <c r="AT98" i="6"/>
  <c r="AT68" i="6"/>
  <c r="AK68" i="6"/>
  <c r="AK98" i="6"/>
  <c r="F98" i="6"/>
  <c r="F68" i="6"/>
  <c r="AO68" i="6"/>
  <c r="AO98" i="6"/>
  <c r="W68" i="6"/>
  <c r="W98" i="6"/>
  <c r="P98" i="6"/>
  <c r="P68" i="6"/>
  <c r="AE68" i="6"/>
  <c r="AE98" i="6"/>
  <c r="X68" i="6"/>
  <c r="X98" i="6"/>
  <c r="AI98" i="6"/>
  <c r="AI68" i="6"/>
  <c r="AG98" i="6"/>
  <c r="AG68" i="6"/>
  <c r="BA68" i="6"/>
  <c r="BA98" i="6"/>
  <c r="AF98" i="6"/>
  <c r="AF68" i="6"/>
  <c r="AR98" i="6"/>
  <c r="AR68" i="6"/>
  <c r="H68" i="6"/>
  <c r="H98" i="6"/>
  <c r="AS68" i="6"/>
  <c r="AS98" i="6"/>
  <c r="AT191" i="6"/>
  <c r="AK191" i="6"/>
  <c r="F161" i="6"/>
  <c r="AO191" i="6"/>
  <c r="W191" i="6"/>
  <c r="P191" i="6"/>
  <c r="AZ98" i="6"/>
  <c r="AZ68" i="6"/>
  <c r="BC97" i="6"/>
  <c r="D36" i="7" s="1"/>
  <c r="AE191" i="6"/>
  <c r="X161" i="6"/>
  <c r="AI191" i="6"/>
  <c r="AG191" i="6"/>
  <c r="Y68" i="6"/>
  <c r="Y98" i="6"/>
  <c r="U68" i="6"/>
  <c r="U98" i="6"/>
  <c r="AW68" i="6"/>
  <c r="AW98" i="6"/>
  <c r="AX98" i="6"/>
  <c r="AX68" i="6"/>
  <c r="AU68" i="6"/>
  <c r="AU98" i="6"/>
  <c r="V98" i="6"/>
  <c r="V68" i="6"/>
  <c r="T98" i="6"/>
  <c r="T68" i="6"/>
  <c r="BA161" i="6"/>
  <c r="M98" i="6"/>
  <c r="M68" i="6"/>
  <c r="AQ68" i="6"/>
  <c r="AQ98" i="6"/>
  <c r="AH68" i="6"/>
  <c r="AH98" i="6"/>
  <c r="AD68" i="6"/>
  <c r="AD98" i="6"/>
  <c r="J68" i="6"/>
  <c r="J98" i="6"/>
  <c r="AA98" i="6"/>
  <c r="AA68" i="6"/>
  <c r="BC67" i="6"/>
  <c r="C36" i="7" s="1"/>
  <c r="G36" i="7" s="1"/>
  <c r="E98" i="6"/>
  <c r="E68" i="6"/>
  <c r="AV68" i="6"/>
  <c r="AV98" i="6"/>
  <c r="Z98" i="6"/>
  <c r="Z68" i="6"/>
  <c r="AP98" i="6"/>
  <c r="AP68" i="6"/>
  <c r="AC68" i="6"/>
  <c r="AC98" i="6"/>
  <c r="K98" i="6"/>
  <c r="K68" i="6"/>
  <c r="AN98" i="6"/>
  <c r="AN68" i="6"/>
  <c r="AL98" i="6"/>
  <c r="AL68" i="6"/>
  <c r="R68" i="6"/>
  <c r="R98" i="6"/>
  <c r="I98" i="6"/>
  <c r="I68" i="6"/>
  <c r="AJ68" i="6"/>
  <c r="AJ98" i="6"/>
  <c r="S98" i="6"/>
  <c r="S68" i="6"/>
  <c r="M161" i="6"/>
  <c r="AT131" i="6"/>
  <c r="AC191" i="6"/>
  <c r="AK161" i="6"/>
  <c r="K191" i="6"/>
  <c r="F131" i="6"/>
  <c r="AQ191" i="6"/>
  <c r="AO131" i="6"/>
  <c r="AH191" i="6"/>
  <c r="W131" i="6"/>
  <c r="AD191" i="6"/>
  <c r="P131" i="6"/>
  <c r="J191" i="6"/>
  <c r="Q68" i="6"/>
  <c r="Q98" i="6"/>
  <c r="AA191" i="6"/>
  <c r="D98" i="6"/>
  <c r="D68" i="6"/>
  <c r="E191" i="6"/>
  <c r="AE131" i="6"/>
  <c r="AV191" i="6"/>
  <c r="X131" i="6"/>
  <c r="Z191" i="6"/>
  <c r="AI131" i="6"/>
  <c r="AP161" i="6"/>
  <c r="AG131" i="6"/>
  <c r="AY68" i="6"/>
  <c r="AY98" i="6"/>
  <c r="AM68" i="6"/>
  <c r="AM98" i="6"/>
  <c r="G98" i="6"/>
  <c r="G68" i="6"/>
  <c r="O98" i="6"/>
  <c r="O68" i="6"/>
  <c r="AB68" i="6"/>
  <c r="AB98" i="6"/>
  <c r="L68" i="6"/>
  <c r="L98" i="6"/>
  <c r="N98" i="6"/>
  <c r="N68" i="6"/>
  <c r="BC161" i="6" l="1"/>
  <c r="E37" i="7" s="1"/>
  <c r="BC191" i="6"/>
  <c r="H37" i="7" s="1"/>
  <c r="I36" i="7"/>
  <c r="BC131" i="6"/>
  <c r="F37" i="7" s="1"/>
  <c r="BC68" i="6"/>
  <c r="C37" i="7" s="1"/>
  <c r="BC98" i="6"/>
  <c r="D37" i="7" s="1"/>
  <c r="G37" i="7" l="1"/>
  <c r="I37" i="7" s="1"/>
</calcChain>
</file>

<file path=xl/comments1.xml><?xml version="1.0" encoding="utf-8"?>
<comments xmlns="http://schemas.openxmlformats.org/spreadsheetml/2006/main">
  <authors>
    <author>William Robert</author>
  </authors>
  <commentList>
    <comment ref="A19" authorId="0">
      <text>
        <r>
          <rPr>
            <sz val="8"/>
            <color indexed="81"/>
            <rFont val="Tahoma"/>
            <family val="2"/>
          </rPr>
          <t>Fuel Cost Per Mile = FuelC2 * exp ( FuelC1 * Lifetime Mileage )</t>
        </r>
      </text>
    </comment>
    <comment ref="A22" authorId="0">
      <text>
        <r>
          <rPr>
            <sz val="8"/>
            <color indexed="81"/>
            <rFont val="Tahoma"/>
            <family val="2"/>
          </rPr>
          <t>Maintenance Cost Per Mile = MaintC2 * exp ( MaintC1 * Lifetime Mileage )</t>
        </r>
      </text>
    </comment>
    <comment ref="A25" authorId="0">
      <text>
        <r>
          <rPr>
            <sz val="8"/>
            <color indexed="81"/>
            <rFont val="Tahoma"/>
            <family val="2"/>
          </rPr>
          <t>Delay Cost Per Mile = DelayC2 * exp ( DelayC1 * Lifetime Mileage )</t>
        </r>
      </text>
    </comment>
  </commentList>
</comments>
</file>

<file path=xl/sharedStrings.xml><?xml version="1.0" encoding="utf-8"?>
<sst xmlns="http://schemas.openxmlformats.org/spreadsheetml/2006/main" count="489" uniqueCount="350">
  <si>
    <t>Other Analysis Parameters</t>
  </si>
  <si>
    <t>from</t>
  </si>
  <si>
    <t>to</t>
  </si>
  <si>
    <t>Lifetime Mileage</t>
  </si>
  <si>
    <t>Annual Statistics for Base Year Fleet</t>
  </si>
  <si>
    <t>Year</t>
  </si>
  <si>
    <t>New Buses</t>
  </si>
  <si>
    <t>Rehab</t>
  </si>
  <si>
    <t>Maintenance</t>
  </si>
  <si>
    <t>Fuel</t>
  </si>
  <si>
    <t>Subtotal</t>
  </si>
  <si>
    <t>Passenger Delay Cost</t>
  </si>
  <si>
    <t>Total Cost</t>
  </si>
  <si>
    <t>Index</t>
  </si>
  <si>
    <t>LTDMiles</t>
  </si>
  <si>
    <t>New Bus Cost</t>
  </si>
  <si>
    <t>Rehab Cost</t>
  </si>
  <si>
    <t>Calibration</t>
  </si>
  <si>
    <t>Delay</t>
  </si>
  <si>
    <t>MaintC1</t>
  </si>
  <si>
    <t>MaintC2</t>
  </si>
  <si>
    <t>DelayC1</t>
  </si>
  <si>
    <t>DelayC2</t>
  </si>
  <si>
    <t>Fuel Cost</t>
  </si>
  <si>
    <t>Maintenance Cost</t>
  </si>
  <si>
    <t>Passenger Delay</t>
  </si>
  <si>
    <t>Annual Costs in Thousands of Dollars</t>
  </si>
  <si>
    <t>Life Cycle Cost Analysis</t>
  </si>
  <si>
    <t>Age</t>
  </si>
  <si>
    <t>Mid-Year</t>
  </si>
  <si>
    <t>Maint</t>
  </si>
  <si>
    <t>Annual Cost</t>
  </si>
  <si>
    <t>Replace</t>
  </si>
  <si>
    <t>Life Cycle Cost Per Year</t>
  </si>
  <si>
    <t>Discount Factor</t>
  </si>
  <si>
    <t>Annual-ization</t>
  </si>
  <si>
    <t>Lifetime Mileage Per Bus</t>
  </si>
  <si>
    <t>Total</t>
  </si>
  <si>
    <t>Annual Cost Per Bus</t>
  </si>
  <si>
    <t>Life Cycle Average Cost Per Bus Per Year</t>
  </si>
  <si>
    <t>Discount Rate</t>
  </si>
  <si>
    <t>Cost ($/mi)</t>
  </si>
  <si>
    <t>Vehicle Miles (000)</t>
  </si>
  <si>
    <t>Revenue Vehicle Miles (000)</t>
  </si>
  <si>
    <t>Revenue Vehicle Hours (000)</t>
  </si>
  <si>
    <t>Fuel Cost for Vehicle Operations (000)</t>
  </si>
  <si>
    <t>Vehicle Maintenance Cost (000)</t>
  </si>
  <si>
    <t>New Vehicle Cost ($ per vehicle)</t>
  </si>
  <si>
    <t>Passenger Delay Cost ($ per hour)</t>
  </si>
  <si>
    <t>Base Year</t>
  </si>
  <si>
    <t>Passenger Miles (000)</t>
  </si>
  <si>
    <t>Unlinked Trips (000)</t>
  </si>
  <si>
    <t>Input Parameters</t>
  </si>
  <si>
    <t>Description</t>
  </si>
  <si>
    <t>Value</t>
  </si>
  <si>
    <t>Maintenance Cost Model</t>
  </si>
  <si>
    <t>Delay Cost Model</t>
  </si>
  <si>
    <t>Group</t>
  </si>
  <si>
    <t>Lifetime Mileage at Which Vehicles are Replaced</t>
  </si>
  <si>
    <t>Agency Costs</t>
  </si>
  <si>
    <t>Maint.</t>
  </si>
  <si>
    <t>Rehab.</t>
  </si>
  <si>
    <t>Transit Asset Rehabilitation/Replacement Vehicle Model</t>
  </si>
  <si>
    <t>Predicted Costs by Year</t>
  </si>
  <si>
    <t>Year-by-Year Data</t>
  </si>
  <si>
    <t>Unit Rehabilitation Costs</t>
  </si>
  <si>
    <t>Inputs and Summary Results</t>
  </si>
  <si>
    <t>Cost Parameters</t>
  </si>
  <si>
    <t>Min Calc</t>
  </si>
  <si>
    <t>Optimal Repl. Calc</t>
  </si>
  <si>
    <t>Summary Results</t>
  </si>
  <si>
    <t>Agency</t>
  </si>
  <si>
    <t>User</t>
  </si>
  <si>
    <t>Priority Index</t>
  </si>
  <si>
    <t>Replacement Benefit</t>
  </si>
  <si>
    <t>Results by Replacement Age</t>
  </si>
  <si>
    <t>Approx Age at which Replaced</t>
  </si>
  <si>
    <t>Cost-Minimizing Replacement Mileage</t>
  </si>
  <si>
    <t>Inventory Description (base year)</t>
  </si>
  <si>
    <t>Number of Road Calls (buses) or Failures (rail)</t>
  </si>
  <si>
    <t>Typical Recovery Time After Road Call/Failure (min)</t>
  </si>
  <si>
    <t>Typical Schedule Headway (min)</t>
  </si>
  <si>
    <t>Calculations by Fleet Group and Year</t>
  </si>
  <si>
    <t>Vehicles</t>
  </si>
  <si>
    <t>Miles by Fleet Group and Year</t>
  </si>
  <si>
    <t>Annual Cost Accumulated and Disc.</t>
  </si>
  <si>
    <t>Approx. Cost-Minimizing Replacement Age</t>
  </si>
  <si>
    <t>Annulaized Agency Life Cycle Cost (replace at min)</t>
  </si>
  <si>
    <t>Annualized User Life Cycle Cost (replace at min)</t>
  </si>
  <si>
    <t>Annualized Life Cycle Cost (replace at min)</t>
  </si>
  <si>
    <t>Age^2</t>
  </si>
  <si>
    <t>C0</t>
  </si>
  <si>
    <t>C2</t>
  </si>
  <si>
    <t>C1</t>
  </si>
  <si>
    <t>Fitting Model Coefficients for Use in Prioritization Tool:  Priority Index = C2*Age^2 + C1*Age + C0</t>
  </si>
  <si>
    <t>Fitted Index</t>
  </si>
  <si>
    <t>Annual Miles Per Vehicle</t>
  </si>
  <si>
    <t>Other Benefits of Replacement Vehicles ($/vehicle mile)</t>
  </si>
  <si>
    <t>Other Benefits of New Vehicles</t>
  </si>
  <si>
    <t>TCRP E-09</t>
  </si>
  <si>
    <t>TRANSIT STATE OF GOOD REPAIR</t>
  </si>
  <si>
    <t>Guideway-Bridge</t>
  </si>
  <si>
    <t>Override</t>
  </si>
  <si>
    <t>Default</t>
  </si>
  <si>
    <t>Notes</t>
  </si>
  <si>
    <t>Asset List</t>
  </si>
  <si>
    <t>User-Specified</t>
  </si>
  <si>
    <t>Guideway-At Grade Ballasted or Expressway</t>
  </si>
  <si>
    <t>Guideway-Grade Crossing</t>
  </si>
  <si>
    <t xml:space="preserve">Guideway-Elevated Structure </t>
  </si>
  <si>
    <t>Guideway-Steel Viaduct</t>
  </si>
  <si>
    <t>Guideway-Foot Walk</t>
  </si>
  <si>
    <t>Guideway-Elevated Fill</t>
  </si>
  <si>
    <t>Guideway-Tunnel</t>
  </si>
  <si>
    <t>Guideway-Retained Cut</t>
  </si>
  <si>
    <t>Guideway-Tangent Direct Fixation Track</t>
  </si>
  <si>
    <t>Guideway-Curved Direct Fixation Track</t>
  </si>
  <si>
    <t>Guideway-Guarded Direct Fixation Track</t>
  </si>
  <si>
    <t>Guideway-Direct Fixation Tangent Platform Track</t>
  </si>
  <si>
    <t>Guideway-Direct Fixation Curved Platform Track</t>
  </si>
  <si>
    <t>Guideway-Guarded Curved Direct Fixation Track</t>
  </si>
  <si>
    <t>Guideway-Tangent Ballasted Track</t>
  </si>
  <si>
    <t>Guideway-Curved Ballasted Track</t>
  </si>
  <si>
    <t>Guideway-Guarded Ballasted Track</t>
  </si>
  <si>
    <t>Guideway-Ballasted Tangent Platform Track</t>
  </si>
  <si>
    <t>Guideway-Ballasted Curved Platform Track</t>
  </si>
  <si>
    <t>Guideway-Guarded Platform Ballasted Track</t>
  </si>
  <si>
    <t>Guideway-Tangent Embedded Track</t>
  </si>
  <si>
    <t>Guideway-Curved Embedded Track</t>
  </si>
  <si>
    <t>Guideway-At-Grade Crossing</t>
  </si>
  <si>
    <t>Guideway-Special Trackwork</t>
  </si>
  <si>
    <t>Guideway-Direct Fixation Diamond Crossover</t>
  </si>
  <si>
    <t>Guideway-Direct Fixation or Ballasted Turnout</t>
  </si>
  <si>
    <t>Guideway-Turntable</t>
  </si>
  <si>
    <t>Guideway-Yard Track</t>
  </si>
  <si>
    <t>Guideway-Wood Tie</t>
  </si>
  <si>
    <t>Guideway-Concrete Tie</t>
  </si>
  <si>
    <t>Guideway-Retaining Wall</t>
  </si>
  <si>
    <t>Guideway-At Grade Bus</t>
  </si>
  <si>
    <t>Guideway-Bus Turnaround</t>
  </si>
  <si>
    <t>Guideway-Elevated-Bus</t>
  </si>
  <si>
    <t>Guideway-Subway Bus</t>
  </si>
  <si>
    <t>Facilities-Administrative Building</t>
  </si>
  <si>
    <t>Facilities-Maintenance Building</t>
  </si>
  <si>
    <t>Facilities-Passenger Building</t>
  </si>
  <si>
    <t>Facilities-Building Utilities</t>
  </si>
  <si>
    <t>Facilities-Access and Parking</t>
  </si>
  <si>
    <t>Facilities-Building Utilities-Elevators and Conveying Systems</t>
  </si>
  <si>
    <t>Facilities-Building Utilities-Generator</t>
  </si>
  <si>
    <t>Facilities-Storage Yard</t>
  </si>
  <si>
    <t>Facilities-Storage Yard-Bus</t>
  </si>
  <si>
    <t>Facilities-Bus Turnaround Facility</t>
  </si>
  <si>
    <t>Facilities-Maintenance Equipment</t>
  </si>
  <si>
    <t>Facilities-Pollution Treatment</t>
  </si>
  <si>
    <t>Facilities-Bus Washer</t>
  </si>
  <si>
    <t>Facilities-Train Washer</t>
  </si>
  <si>
    <t>Facilities-Vehicle Paintbooth</t>
  </si>
  <si>
    <t>Facilities-Fuel Island</t>
  </si>
  <si>
    <t>Facilities-Dynamoneter</t>
  </si>
  <si>
    <t>Facilities-Portable Lift</t>
  </si>
  <si>
    <t>Facilities-Fixed Lift</t>
  </si>
  <si>
    <t>Facilities-Wheel Truing Machine</t>
  </si>
  <si>
    <t>Facilities-Brake Lathe</t>
  </si>
  <si>
    <t>Facilities-Major Rail Shop</t>
  </si>
  <si>
    <t>Facilities-Major Bus Shop</t>
  </si>
  <si>
    <t>Facilities-Train Control Center</t>
  </si>
  <si>
    <t>Systems-Train Control, Elec., Comm., Revenue Collect. &amp; Util.</t>
  </si>
  <si>
    <t>Systems-Train Control</t>
  </si>
  <si>
    <t>Systems-Signals &amp; Train Stops</t>
  </si>
  <si>
    <t>Systems-Train Control Cable</t>
  </si>
  <si>
    <t>Systems-Signal Bridge</t>
  </si>
  <si>
    <t>Systems-Centralized Train Control</t>
  </si>
  <si>
    <t>Systems-Gates, Flashers, Crossings</t>
  </si>
  <si>
    <t>Systems-Roadway Traffic Signals</t>
  </si>
  <si>
    <t>Systems-Interlocking</t>
  </si>
  <si>
    <t>Systems-Electrification</t>
  </si>
  <si>
    <t>Systems-Electrification Catenary/Pole</t>
  </si>
  <si>
    <t>Systems-Electrification Substation</t>
  </si>
  <si>
    <t>Systems-High Tension Towers</t>
  </si>
  <si>
    <t>Systems-Electrification Substation Building Components</t>
  </si>
  <si>
    <t>Systems-Electrification Breaker House</t>
  </si>
  <si>
    <t>Systems-Electrification Contact Rail/Protection Boards</t>
  </si>
  <si>
    <t>Systems-Heaters</t>
  </si>
  <si>
    <t>Systems-Power Cable</t>
  </si>
  <si>
    <t>Systems-Electrical Systems</t>
  </si>
  <si>
    <t>Systems-Trolley Wire</t>
  </si>
  <si>
    <t>Systems-Communications Cable</t>
  </si>
  <si>
    <t>Systems-Communciations</t>
  </si>
  <si>
    <t>Systems-MIS/IT/Network System</t>
  </si>
  <si>
    <t>Systems-Emergency Location System</t>
  </si>
  <si>
    <t>Systems-SCADA RTU</t>
  </si>
  <si>
    <t>Systems-Communications Hut or Room</t>
  </si>
  <si>
    <t>Systems-Bus On-Board Video System</t>
  </si>
  <si>
    <t>Systems-Central Revenue Collection</t>
  </si>
  <si>
    <t>Systems-Coin/Bill Counter</t>
  </si>
  <si>
    <t>Systems-Revenue Collection System-Rail</t>
  </si>
  <si>
    <t>Systems-Turnstile</t>
  </si>
  <si>
    <t>Systems-In Station Revenue Collection Equipment</t>
  </si>
  <si>
    <t>Systems-Parking Meter</t>
  </si>
  <si>
    <t>Systems-Change Machine</t>
  </si>
  <si>
    <t>Systems-Passenger Counter-Rail</t>
  </si>
  <si>
    <t>Systems-System Utilities</t>
  </si>
  <si>
    <t>Systems-Lighting</t>
  </si>
  <si>
    <t>Systems-Guideway Drainage</t>
  </si>
  <si>
    <t>Systems-Pump Room</t>
  </si>
  <si>
    <t>Systems-Deep Utility Well</t>
  </si>
  <si>
    <t>Systems-Sump Pump/Discharge Pipes</t>
  </si>
  <si>
    <t>Systems-Subway Ventilation</t>
  </si>
  <si>
    <t>Systems-Fan Plant</t>
  </si>
  <si>
    <t>Systems-Compressed Air Pipes</t>
  </si>
  <si>
    <t>Systems-Air Conditioning/HVAC-Subway</t>
  </si>
  <si>
    <t>Systems-Emergency Exit</t>
  </si>
  <si>
    <t>Systems-Tunnel Handrail</t>
  </si>
  <si>
    <t>Systems-ITS, APC, AVL, CAD, GPL</t>
  </si>
  <si>
    <t>Station-Building-Rail</t>
  </si>
  <si>
    <t>Stations-Building-Subway</t>
  </si>
  <si>
    <t>Stations-Shelter-Rail</t>
  </si>
  <si>
    <t>Stations-Token Booth</t>
  </si>
  <si>
    <t>Stations-Elevator/Escalator</t>
  </si>
  <si>
    <t>Stations-Parking Garage/Lot</t>
  </si>
  <si>
    <t>Stations-Parking Equipment</t>
  </si>
  <si>
    <t>Stations-Pedestrian Walkway/Elevated</t>
  </si>
  <si>
    <t>Stations-Pedestrian Walkway/Subway</t>
  </si>
  <si>
    <t>Stations-At-Grade Rail Platform</t>
  </si>
  <si>
    <t>Stations-Elevated Rail Platform</t>
  </si>
  <si>
    <t>Stations-Subway Rail Platform</t>
  </si>
  <si>
    <t>Stations-Building/Ground Access-Bus</t>
  </si>
  <si>
    <t>Stations-Bus Shelter</t>
  </si>
  <si>
    <t>Stations-Station Canopy</t>
  </si>
  <si>
    <t>Stations-Bus Station Platform</t>
  </si>
  <si>
    <t>Stations-Signage &amp; Graphics</t>
  </si>
  <si>
    <t>Stations-Ferry Terminal Building/Dock</t>
  </si>
  <si>
    <t>Vehicle Type:</t>
  </si>
  <si>
    <t>Bus</t>
  </si>
  <si>
    <t>Heavy Rail</t>
  </si>
  <si>
    <t>Light Rail</t>
  </si>
  <si>
    <t>Other Benefits of Replacement ($/vehicle mile)</t>
  </si>
  <si>
    <t>Vehicle List</t>
  </si>
  <si>
    <t>Other</t>
  </si>
  <si>
    <t>Accumulated</t>
  </si>
  <si>
    <t>Milegage</t>
  </si>
  <si>
    <t>Number of</t>
  </si>
  <si>
    <t>Inventory Description:</t>
  </si>
  <si>
    <t>Base Year Statistics:</t>
  </si>
  <si>
    <t>From</t>
  </si>
  <si>
    <t>To</t>
  </si>
  <si>
    <t>Energy Model Coefficient 1</t>
  </si>
  <si>
    <t>Energy Model Coefficient 2</t>
  </si>
  <si>
    <t>Maintenance Model Coefficient 1</t>
  </si>
  <si>
    <t>Maintenance Model Coefficient 2</t>
  </si>
  <si>
    <t>Delay Model Coefficient 1</t>
  </si>
  <si>
    <t>Delay Model Coefficient 2</t>
  </si>
  <si>
    <t>populated by vehicle type</t>
  </si>
  <si>
    <t>Rehab Cost ($/vehicle mile)</t>
  </si>
  <si>
    <t>calculated w/ base-year data</t>
  </si>
  <si>
    <t>Discount Rate (%)</t>
  </si>
  <si>
    <t>Vehicles/Consist (leave blank for bus)</t>
  </si>
  <si>
    <t>Energy (Fuel) Cost Model</t>
  </si>
  <si>
    <t>EnergyC1</t>
  </si>
  <si>
    <t>EnergyC2</t>
  </si>
  <si>
    <t>Number of Vehicles</t>
  </si>
  <si>
    <t>Action</t>
  </si>
  <si>
    <t>Objective Function</t>
  </si>
  <si>
    <t>Decision Variables</t>
  </si>
  <si>
    <t>Results by State and Action</t>
  </si>
  <si>
    <t>Optimal</t>
  </si>
  <si>
    <t>Benefit</t>
  </si>
  <si>
    <t>Constraints</t>
  </si>
  <si>
    <t>State</t>
  </si>
  <si>
    <t>Action?</t>
  </si>
  <si>
    <t>Cost</t>
  </si>
  <si>
    <t>LT Cost</t>
  </si>
  <si>
    <t>Y</t>
  </si>
  <si>
    <t>N/A</t>
  </si>
  <si>
    <t>Results by State</t>
  </si>
  <si>
    <t>TP</t>
  </si>
  <si>
    <t>SS</t>
  </si>
  <si>
    <t>Steady State Cost</t>
  </si>
  <si>
    <t>Opt. Action</t>
  </si>
  <si>
    <t>LT</t>
  </si>
  <si>
    <t>PI</t>
  </si>
  <si>
    <t>Distrib</t>
  </si>
  <si>
    <t>Misc. Parameters</t>
  </si>
  <si>
    <t>Disc. Rate</t>
  </si>
  <si>
    <t>Disc. Factor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</si>
  <si>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</si>
  <si>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</si>
  <si>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</si>
  <si>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</si>
  <si>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</si>
  <si>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</si>
  <si>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</si>
  <si>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</si>
  <si>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</si>
  <si>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</si>
  <si>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Note: PI = C0 + C1 * Age + C2 * Age^2</t>
  </si>
  <si>
    <t>Cost-Minimizing Replacement Age (years)</t>
  </si>
  <si>
    <t>Cost-Minimizing Replacement Mileage (miles)</t>
  </si>
  <si>
    <t>Energy</t>
  </si>
  <si>
    <t>results in higher benefit for replacement</t>
  </si>
  <si>
    <t>Vehicles per Consist</t>
  </si>
  <si>
    <t>leave blank for buses</t>
  </si>
  <si>
    <t>Sample PI Results</t>
  </si>
  <si>
    <t>State 5-Excellent</t>
  </si>
  <si>
    <t>State 4-Good</t>
  </si>
  <si>
    <t>State 3-Adequate</t>
  </si>
  <si>
    <t>State 2-Marginal</t>
  </si>
  <si>
    <t>State 1-Poor</t>
  </si>
  <si>
    <t>State 0-Failed</t>
  </si>
  <si>
    <t>5-Excellent</t>
  </si>
  <si>
    <t>0-Do Minimum</t>
  </si>
  <si>
    <t>1-Rehab</t>
  </si>
  <si>
    <t>2-Replace</t>
  </si>
  <si>
    <t>4-Good</t>
  </si>
  <si>
    <t>3-Adequate</t>
  </si>
  <si>
    <t>2-Marginal</t>
  </si>
  <si>
    <t>1-Poor</t>
  </si>
  <si>
    <t>0-Failed</t>
  </si>
  <si>
    <t>0-Replace</t>
  </si>
  <si>
    <t>Energy Cost for Vehicle Operations (000)</t>
  </si>
  <si>
    <t>Output Table and Chart Data</t>
  </si>
  <si>
    <t>Prioritization</t>
  </si>
  <si>
    <t>Replacement</t>
  </si>
  <si>
    <t>Benefits</t>
  </si>
  <si>
    <t>SUMMARY RESULTS</t>
  </si>
  <si>
    <t>VEHICLE REPLACEMENT MODEL - INPUTS</t>
  </si>
  <si>
    <t>PRIORITIZATION DATA</t>
  </si>
  <si>
    <t>Prioritization Index (PI) Coefficients (copy and paste into the prioritization model)</t>
  </si>
  <si>
    <t>VEHICLE REPLACEMENT MODEL - RESULTS</t>
  </si>
  <si>
    <t>INSTRUCTIONS</t>
  </si>
  <si>
    <t>1.  Open the spreadsheet with macros enabled</t>
  </si>
  <si>
    <t xml:space="preserve">  To use this model please follow these instructions, and see the TCRP E-09 report for more information.</t>
  </si>
  <si>
    <t xml:space="preserve">  replacement age, and prioritization data for transit vehicles. </t>
  </si>
  <si>
    <t>2.  Select an asset type from the dropdown or select "User-Specified" if developing a new model.</t>
  </si>
  <si>
    <t>3.  Enter accumulated mileage (per vehicle) and number of vehicles for up to 20 subfleets of the same vehicle type.</t>
  </si>
  <si>
    <t>4.  Enter the base year and base year fleet statistics.</t>
  </si>
  <si>
    <t>5.  Enter the cost of a new vehicle.</t>
  </si>
  <si>
    <t>Average Annual Agency Cost:</t>
  </si>
  <si>
    <t>Average Annual User Cost:</t>
  </si>
  <si>
    <t>Average Annual Total Cost:</t>
  </si>
  <si>
    <t xml:space="preserve">Note: this model is used to predict the average annual cost, the cost-minimizing </t>
  </si>
  <si>
    <t>6.  If desired enter an estimate of other replacement benefits per vehicle mile (e.g., reduced emissions).</t>
  </si>
  <si>
    <t>7.  If desired enter the delay cost, typical schedule headway, recovery time, vehicles per consist, and/or the discount rate.</t>
  </si>
  <si>
    <t>REQUIRED INPUTS</t>
  </si>
  <si>
    <t>OPTIONAL INPUTS</t>
  </si>
  <si>
    <t>8.  If desired click the "Click to Edit Details" button to edit additional details (necessary only for a new model).</t>
  </si>
  <si>
    <t>9.  To view results click the "Click for Results" button.</t>
  </si>
  <si>
    <t>VEHICLE REPLACEMENT MODEL - DETAILED INPUTS</t>
  </si>
  <si>
    <t>ADDITIONAL MODEL PARAMETERS</t>
  </si>
  <si>
    <t>REHABILITATION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</si>
</sst>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00"/>
    <numFmt numFmtId="168" formatCode="0.000"/>
    <numFmt numFmtId="169" formatCode="#,##0.0"/>
    <numFmt numFmtId="170" formatCode="#,##0.0000"/>
    <numFmt numFmtId="171" formatCode="0.0000E+00"/>
    <numFmt numFmtId="172" formatCode="0.000E+00"/>
    <numFmt numFmtId="173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 wrapText="1"/>
    </xf>
    <xf numFmtId="164" fontId="0" fillId="0" borderId="0" xfId="1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2" borderId="7" xfId="1" applyNumberFormat="1" applyFont="1" applyFill="1" applyBorder="1" applyAlignment="1" applyProtection="1">
      <alignment horizontal="right"/>
      <protection locked="0"/>
    </xf>
    <xf numFmtId="164" fontId="0" fillId="2" borderId="8" xfId="1" applyNumberFormat="1" applyFont="1" applyFill="1" applyBorder="1" applyAlignment="1" applyProtection="1">
      <alignment horizontal="right"/>
      <protection locked="0"/>
    </xf>
    <xf numFmtId="164" fontId="0" fillId="2" borderId="9" xfId="1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/>
    </xf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3" xfId="1" applyNumberFormat="1" applyFon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167" fontId="0" fillId="3" borderId="13" xfId="0" applyNumberFormat="1" applyFill="1" applyBorder="1"/>
    <xf numFmtId="167" fontId="0" fillId="3" borderId="14" xfId="0" applyNumberFormat="1" applyFill="1" applyBorder="1"/>
    <xf numFmtId="0" fontId="3" fillId="0" borderId="19" xfId="0" applyFont="1" applyBorder="1"/>
    <xf numFmtId="0" fontId="0" fillId="0" borderId="3" xfId="0" applyBorder="1" applyAlignment="1">
      <alignment horizontal="left"/>
    </xf>
    <xf numFmtId="164" fontId="0" fillId="2" borderId="20" xfId="1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21" xfId="0" applyFont="1" applyBorder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4" fontId="0" fillId="2" borderId="11" xfId="1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3" xfId="0" applyBorder="1"/>
    <xf numFmtId="1" fontId="0" fillId="3" borderId="20" xfId="1" applyNumberFormat="1" applyFont="1" applyFill="1" applyBorder="1"/>
    <xf numFmtId="164" fontId="0" fillId="3" borderId="20" xfId="1" applyNumberFormat="1" applyFont="1" applyFill="1" applyBorder="1"/>
    <xf numFmtId="43" fontId="0" fillId="3" borderId="20" xfId="1" applyNumberFormat="1" applyFont="1" applyFill="1" applyBorder="1"/>
    <xf numFmtId="164" fontId="0" fillId="0" borderId="20" xfId="1" applyNumberFormat="1" applyFont="1" applyBorder="1"/>
    <xf numFmtId="11" fontId="0" fillId="3" borderId="20" xfId="0" applyNumberFormat="1" applyFill="1" applyBorder="1"/>
    <xf numFmtId="167" fontId="0" fillId="0" borderId="20" xfId="0" applyNumberFormat="1" applyBorder="1"/>
    <xf numFmtId="10" fontId="0" fillId="3" borderId="20" xfId="2" applyNumberFormat="1" applyFont="1" applyFill="1" applyBorder="1"/>
    <xf numFmtId="0" fontId="0" fillId="0" borderId="4" xfId="0" applyBorder="1"/>
    <xf numFmtId="0" fontId="0" fillId="0" borderId="5" xfId="0" applyBorder="1"/>
    <xf numFmtId="0" fontId="3" fillId="0" borderId="24" xfId="0" applyFont="1" applyBorder="1"/>
    <xf numFmtId="0" fontId="3" fillId="0" borderId="22" xfId="0" applyFont="1" applyBorder="1" applyAlignment="1">
      <alignment horizontal="right"/>
    </xf>
    <xf numFmtId="0" fontId="3" fillId="0" borderId="25" xfId="0" applyFont="1" applyBorder="1"/>
    <xf numFmtId="0" fontId="0" fillId="0" borderId="26" xfId="0" applyBorder="1"/>
    <xf numFmtId="0" fontId="3" fillId="0" borderId="15" xfId="0" applyFont="1" applyBorder="1"/>
    <xf numFmtId="0" fontId="0" fillId="0" borderId="16" xfId="0" applyBorder="1"/>
    <xf numFmtId="0" fontId="0" fillId="0" borderId="26" xfId="0" applyFill="1" applyBorder="1"/>
    <xf numFmtId="164" fontId="0" fillId="0" borderId="26" xfId="1" applyNumberFormat="1" applyFont="1" applyFill="1" applyBorder="1"/>
    <xf numFmtId="164" fontId="0" fillId="0" borderId="20" xfId="0" applyNumberFormat="1" applyBorder="1"/>
    <xf numFmtId="0" fontId="3" fillId="0" borderId="22" xfId="0" applyFont="1" applyBorder="1"/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0" fillId="0" borderId="4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27" xfId="0" applyFont="1" applyFill="1" applyBorder="1" applyAlignment="1">
      <alignment horizontal="center"/>
    </xf>
    <xf numFmtId="168" fontId="0" fillId="0" borderId="13" xfId="0" applyNumberFormat="1" applyBorder="1"/>
    <xf numFmtId="3" fontId="0" fillId="0" borderId="0" xfId="0" applyNumberFormat="1" applyBorder="1"/>
    <xf numFmtId="3" fontId="0" fillId="0" borderId="20" xfId="0" applyNumberFormat="1" applyBorder="1"/>
    <xf numFmtId="0" fontId="0" fillId="0" borderId="24" xfId="0" applyBorder="1"/>
    <xf numFmtId="0" fontId="3" fillId="0" borderId="1" xfId="0" applyFont="1" applyBorder="1"/>
    <xf numFmtId="0" fontId="0" fillId="0" borderId="15" xfId="0" applyBorder="1"/>
    <xf numFmtId="3" fontId="0" fillId="0" borderId="16" xfId="0" applyNumberFormat="1" applyBorder="1"/>
    <xf numFmtId="3" fontId="0" fillId="0" borderId="28" xfId="0" applyNumberFormat="1" applyBorder="1"/>
    <xf numFmtId="0" fontId="7" fillId="0" borderId="3" xfId="0" applyFont="1" applyBorder="1"/>
    <xf numFmtId="167" fontId="0" fillId="0" borderId="8" xfId="0" applyNumberFormat="1" applyBorder="1"/>
    <xf numFmtId="167" fontId="0" fillId="0" borderId="9" xfId="0" applyNumberFormat="1" applyBorder="1"/>
    <xf numFmtId="0" fontId="3" fillId="0" borderId="29" xfId="0" applyFont="1" applyBorder="1"/>
    <xf numFmtId="0" fontId="3" fillId="0" borderId="30" xfId="0" applyFont="1" applyBorder="1"/>
    <xf numFmtId="0" fontId="3" fillId="0" borderId="2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3" fontId="0" fillId="0" borderId="11" xfId="0" applyNumberFormat="1" applyBorder="1"/>
    <xf numFmtId="3" fontId="0" fillId="0" borderId="32" xfId="0" applyNumberFormat="1" applyBorder="1"/>
    <xf numFmtId="3" fontId="0" fillId="0" borderId="12" xfId="0" applyNumberFormat="1" applyBorder="1"/>
    <xf numFmtId="3" fontId="0" fillId="0" borderId="5" xfId="0" applyNumberFormat="1" applyBorder="1"/>
    <xf numFmtId="3" fontId="0" fillId="0" borderId="33" xfId="0" applyNumberFormat="1" applyBorder="1"/>
    <xf numFmtId="3" fontId="0" fillId="0" borderId="6" xfId="0" applyNumberFormat="1" applyBorder="1"/>
    <xf numFmtId="3" fontId="4" fillId="0" borderId="1" xfId="0" applyNumberFormat="1" applyFont="1" applyBorder="1"/>
    <xf numFmtId="3" fontId="4" fillId="0" borderId="26" xfId="0" applyNumberFormat="1" applyFont="1" applyBorder="1"/>
    <xf numFmtId="3" fontId="0" fillId="0" borderId="1" xfId="0" applyNumberFormat="1" applyBorder="1"/>
    <xf numFmtId="3" fontId="0" fillId="0" borderId="26" xfId="0" applyNumberFormat="1" applyBorder="1"/>
    <xf numFmtId="0" fontId="7" fillId="0" borderId="0" xfId="0" applyFont="1" applyBorder="1"/>
    <xf numFmtId="166" fontId="3" fillId="0" borderId="2" xfId="0" applyNumberFormat="1" applyFont="1" applyBorder="1"/>
    <xf numFmtId="167" fontId="0" fillId="0" borderId="0" xfId="0" applyNumberFormat="1" applyBorder="1"/>
    <xf numFmtId="0" fontId="3" fillId="0" borderId="16" xfId="0" applyFont="1" applyFill="1" applyBorder="1" applyAlignment="1">
      <alignment horizontal="center" wrapText="1"/>
    </xf>
    <xf numFmtId="0" fontId="0" fillId="4" borderId="0" xfId="0" applyFill="1"/>
    <xf numFmtId="0" fontId="0" fillId="5" borderId="19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" xfId="0" applyFill="1" applyBorder="1"/>
    <xf numFmtId="0" fontId="0" fillId="5" borderId="20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3" fontId="0" fillId="4" borderId="36" xfId="0" applyNumberFormat="1" applyFill="1" applyBorder="1" applyAlignment="1" applyProtection="1">
      <alignment horizontal="right"/>
      <protection locked="0"/>
    </xf>
    <xf numFmtId="9" fontId="0" fillId="4" borderId="36" xfId="0" applyNumberFormat="1" applyFill="1" applyBorder="1" applyAlignment="1" applyProtection="1">
      <alignment horizontal="right"/>
      <protection locked="0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7" fillId="4" borderId="0" xfId="0" applyFont="1" applyFill="1"/>
    <xf numFmtId="4" fontId="0" fillId="4" borderId="36" xfId="0" applyNumberFormat="1" applyFill="1" applyBorder="1" applyAlignment="1" applyProtection="1">
      <alignment horizontal="right"/>
      <protection locked="0"/>
    </xf>
    <xf numFmtId="1" fontId="0" fillId="4" borderId="36" xfId="0" applyNumberFormat="1" applyFill="1" applyBorder="1" applyAlignment="1" applyProtection="1">
      <alignment horizontal="right"/>
      <protection locked="0"/>
    </xf>
    <xf numFmtId="170" fontId="0" fillId="4" borderId="36" xfId="0" applyNumberFormat="1" applyFill="1" applyBorder="1" applyAlignment="1" applyProtection="1">
      <alignment horizontal="right"/>
      <protection locked="0"/>
    </xf>
    <xf numFmtId="171" fontId="0" fillId="4" borderId="36" xfId="0" applyNumberFormat="1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Alignment="1" applyProtection="1"/>
    <xf numFmtId="4" fontId="0" fillId="5" borderId="0" xfId="0" applyNumberFormat="1" applyFill="1" applyBorder="1" applyAlignment="1" applyProtection="1"/>
    <xf numFmtId="0" fontId="0" fillId="4" borderId="0" xfId="0" applyFill="1" applyBorder="1"/>
    <xf numFmtId="169" fontId="0" fillId="0" borderId="37" xfId="0" applyNumberFormat="1" applyBorder="1" applyAlignment="1">
      <alignment horizontal="right"/>
    </xf>
    <xf numFmtId="169" fontId="0" fillId="0" borderId="0" xfId="0" applyNumberFormat="1" applyBorder="1"/>
    <xf numFmtId="0" fontId="3" fillId="4" borderId="21" xfId="0" applyFont="1" applyFill="1" applyBorder="1"/>
    <xf numFmtId="0" fontId="3" fillId="4" borderId="24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right"/>
    </xf>
    <xf numFmtId="0" fontId="0" fillId="4" borderId="3" xfId="0" applyFill="1" applyBorder="1"/>
    <xf numFmtId="169" fontId="0" fillId="4" borderId="0" xfId="0" applyNumberFormat="1" applyFill="1" applyBorder="1"/>
    <xf numFmtId="169" fontId="0" fillId="4" borderId="20" xfId="0" applyNumberFormat="1" applyFill="1" applyBorder="1"/>
    <xf numFmtId="165" fontId="0" fillId="4" borderId="0" xfId="0" applyNumberFormat="1" applyFill="1" applyBorder="1"/>
    <xf numFmtId="0" fontId="0" fillId="4" borderId="4" xfId="0" applyFill="1" applyBorder="1"/>
    <xf numFmtId="169" fontId="0" fillId="4" borderId="5" xfId="0" applyNumberFormat="1" applyFill="1" applyBorder="1"/>
    <xf numFmtId="169" fontId="0" fillId="4" borderId="6" xfId="0" applyNumberFormat="1" applyFill="1" applyBorder="1"/>
    <xf numFmtId="0" fontId="0" fillId="4" borderId="19" xfId="0" applyFill="1" applyBorder="1"/>
    <xf numFmtId="0" fontId="0" fillId="4" borderId="29" xfId="0" applyFill="1" applyBorder="1"/>
    <xf numFmtId="0" fontId="3" fillId="4" borderId="3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right"/>
    </xf>
    <xf numFmtId="0" fontId="0" fillId="4" borderId="38" xfId="0" applyFill="1" applyBorder="1"/>
    <xf numFmtId="0" fontId="3" fillId="4" borderId="38" xfId="0" applyFont="1" applyFill="1" applyBorder="1"/>
    <xf numFmtId="0" fontId="0" fillId="4" borderId="34" xfId="0" applyFill="1" applyBorder="1"/>
    <xf numFmtId="0" fontId="3" fillId="4" borderId="35" xfId="0" applyFont="1" applyFill="1" applyBorder="1"/>
    <xf numFmtId="0" fontId="3" fillId="4" borderId="15" xfId="0" applyFont="1" applyFill="1" applyBorder="1"/>
    <xf numFmtId="0" fontId="3" fillId="4" borderId="30" xfId="0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0" fillId="4" borderId="8" xfId="0" applyFill="1" applyBorder="1"/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/>
    <xf numFmtId="169" fontId="0" fillId="4" borderId="11" xfId="0" applyNumberFormat="1" applyFill="1" applyBorder="1"/>
    <xf numFmtId="169" fontId="0" fillId="4" borderId="11" xfId="2" applyNumberFormat="1" applyFont="1" applyFill="1" applyBorder="1"/>
    <xf numFmtId="169" fontId="0" fillId="4" borderId="0" xfId="2" applyNumberFormat="1" applyFont="1" applyFill="1" applyBorder="1"/>
    <xf numFmtId="0" fontId="0" fillId="4" borderId="15" xfId="0" applyFill="1" applyBorder="1"/>
    <xf numFmtId="0" fontId="0" fillId="4" borderId="30" xfId="0" applyFill="1" applyBorder="1"/>
    <xf numFmtId="0" fontId="0" fillId="4" borderId="27" xfId="0" applyFill="1" applyBorder="1" applyAlignment="1">
      <alignment horizontal="center"/>
    </xf>
    <xf numFmtId="3" fontId="0" fillId="4" borderId="27" xfId="0" applyNumberFormat="1" applyFill="1" applyBorder="1"/>
    <xf numFmtId="169" fontId="0" fillId="4" borderId="27" xfId="0" applyNumberFormat="1" applyFill="1" applyBorder="1"/>
    <xf numFmtId="169" fontId="0" fillId="4" borderId="27" xfId="2" applyNumberFormat="1" applyFont="1" applyFill="1" applyBorder="1"/>
    <xf numFmtId="169" fontId="0" fillId="4" borderId="16" xfId="2" applyNumberFormat="1" applyFont="1" applyFill="1" applyBorder="1"/>
    <xf numFmtId="169" fontId="0" fillId="4" borderId="28" xfId="0" applyNumberFormat="1" applyFill="1" applyBorder="1"/>
    <xf numFmtId="0" fontId="0" fillId="4" borderId="9" xfId="0" applyFill="1" applyBorder="1"/>
    <xf numFmtId="0" fontId="0" fillId="4" borderId="12" xfId="0" applyFill="1" applyBorder="1" applyAlignment="1">
      <alignment horizontal="center"/>
    </xf>
    <xf numFmtId="3" fontId="0" fillId="4" borderId="12" xfId="0" applyNumberFormat="1" applyFill="1" applyBorder="1"/>
    <xf numFmtId="169" fontId="0" fillId="4" borderId="12" xfId="0" applyNumberFormat="1" applyFill="1" applyBorder="1"/>
    <xf numFmtId="169" fontId="0" fillId="4" borderId="12" xfId="2" applyNumberFormat="1" applyFont="1" applyFill="1" applyBorder="1" applyAlignment="1">
      <alignment horizontal="right"/>
    </xf>
    <xf numFmtId="169" fontId="0" fillId="4" borderId="5" xfId="2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19" xfId="0" applyFont="1" applyFill="1" applyBorder="1"/>
    <xf numFmtId="0" fontId="3" fillId="4" borderId="34" xfId="0" applyFont="1" applyFill="1" applyBorder="1"/>
    <xf numFmtId="0" fontId="4" fillId="4" borderId="34" xfId="0" applyFont="1" applyFill="1" applyBorder="1"/>
    <xf numFmtId="0" fontId="3" fillId="4" borderId="16" xfId="0" applyFont="1" applyFill="1" applyBorder="1"/>
    <xf numFmtId="0" fontId="3" fillId="4" borderId="27" xfId="0" applyFont="1" applyFill="1" applyBorder="1"/>
    <xf numFmtId="169" fontId="0" fillId="4" borderId="11" xfId="0" applyNumberFormat="1" applyFill="1" applyBorder="1" applyAlignment="1">
      <alignment horizontal="right"/>
    </xf>
    <xf numFmtId="169" fontId="0" fillId="4" borderId="0" xfId="0" applyNumberForma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9" fontId="0" fillId="4" borderId="11" xfId="0" applyNumberFormat="1" applyFill="1" applyBorder="1"/>
    <xf numFmtId="9" fontId="0" fillId="4" borderId="0" xfId="0" applyNumberFormat="1" applyFill="1" applyBorder="1"/>
    <xf numFmtId="165" fontId="0" fillId="4" borderId="11" xfId="0" applyNumberFormat="1" applyFill="1" applyBorder="1"/>
    <xf numFmtId="4" fontId="0" fillId="4" borderId="11" xfId="0" applyNumberFormat="1" applyFill="1" applyBorder="1"/>
    <xf numFmtId="4" fontId="0" fillId="4" borderId="20" xfId="0" applyNumberFormat="1" applyFill="1" applyBorder="1"/>
    <xf numFmtId="0" fontId="0" fillId="4" borderId="16" xfId="0" applyFill="1" applyBorder="1"/>
    <xf numFmtId="169" fontId="0" fillId="4" borderId="27" xfId="0" applyNumberFormat="1" applyFill="1" applyBorder="1" applyAlignment="1">
      <alignment horizontal="right"/>
    </xf>
    <xf numFmtId="169" fontId="0" fillId="4" borderId="16" xfId="0" applyNumberFormat="1" applyFill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9" fontId="0" fillId="4" borderId="27" xfId="0" applyNumberFormat="1" applyFill="1" applyBorder="1"/>
    <xf numFmtId="9" fontId="0" fillId="4" borderId="16" xfId="0" applyNumberFormat="1" applyFill="1" applyBorder="1"/>
    <xf numFmtId="165" fontId="0" fillId="4" borderId="27" xfId="0" applyNumberFormat="1" applyFill="1" applyBorder="1"/>
    <xf numFmtId="4" fontId="0" fillId="4" borderId="27" xfId="0" applyNumberFormat="1" applyFill="1" applyBorder="1"/>
    <xf numFmtId="4" fontId="0" fillId="4" borderId="28" xfId="0" applyNumberFormat="1" applyFill="1" applyBorder="1"/>
    <xf numFmtId="0" fontId="0" fillId="4" borderId="5" xfId="0" applyFill="1" applyBorder="1"/>
    <xf numFmtId="169" fontId="0" fillId="4" borderId="12" xfId="0" applyNumberFormat="1" applyFill="1" applyBorder="1" applyAlignment="1">
      <alignment horizontal="right"/>
    </xf>
    <xf numFmtId="169" fontId="0" fillId="4" borderId="5" xfId="0" applyNumberFormat="1" applyFill="1" applyBorder="1" applyAlignment="1">
      <alignment horizontal="right"/>
    </xf>
    <xf numFmtId="169" fontId="4" fillId="4" borderId="5" xfId="0" applyNumberFormat="1" applyFont="1" applyFill="1" applyBorder="1" applyAlignment="1">
      <alignment horizontal="right"/>
    </xf>
    <xf numFmtId="9" fontId="0" fillId="4" borderId="12" xfId="0" applyNumberFormat="1" applyFill="1" applyBorder="1"/>
    <xf numFmtId="9" fontId="0" fillId="4" borderId="5" xfId="0" applyNumberFormat="1" applyFill="1" applyBorder="1"/>
    <xf numFmtId="165" fontId="0" fillId="4" borderId="12" xfId="0" applyNumberFormat="1" applyFill="1" applyBorder="1"/>
    <xf numFmtId="4" fontId="0" fillId="4" borderId="12" xfId="0" applyNumberFormat="1" applyFill="1" applyBorder="1"/>
    <xf numFmtId="4" fontId="0" fillId="4" borderId="6" xfId="0" applyNumberFormat="1" applyFill="1" applyBorder="1"/>
    <xf numFmtId="9" fontId="0" fillId="4" borderId="20" xfId="2" applyFont="1" applyFill="1" applyBorder="1"/>
    <xf numFmtId="165" fontId="0" fillId="4" borderId="0" xfId="0" applyNumberFormat="1" applyFill="1"/>
    <xf numFmtId="168" fontId="0" fillId="4" borderId="20" xfId="0" applyNumberFormat="1" applyFill="1" applyBorder="1"/>
    <xf numFmtId="168" fontId="0" fillId="4" borderId="6" xfId="0" applyNumberFormat="1" applyFill="1" applyBorder="1"/>
    <xf numFmtId="1" fontId="0" fillId="4" borderId="34" xfId="0" applyNumberFormat="1" applyFill="1" applyBorder="1"/>
    <xf numFmtId="2" fontId="0" fillId="4" borderId="35" xfId="0" applyNumberFormat="1" applyFill="1" applyBorder="1"/>
    <xf numFmtId="2" fontId="0" fillId="4" borderId="20" xfId="0" applyNumberFormat="1" applyFill="1" applyBorder="1"/>
    <xf numFmtId="0" fontId="0" fillId="4" borderId="6" xfId="0" applyFill="1" applyBorder="1"/>
    <xf numFmtId="172" fontId="0" fillId="5" borderId="0" xfId="0" applyNumberFormat="1" applyFill="1" applyBorder="1" applyAlignment="1">
      <alignment horizontal="center"/>
    </xf>
    <xf numFmtId="3" fontId="0" fillId="5" borderId="0" xfId="0" applyNumberFormat="1" applyFill="1" applyBorder="1" applyAlignment="1" applyProtection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32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0" fontId="0" fillId="4" borderId="0" xfId="0" applyFill="1" applyProtection="1"/>
    <xf numFmtId="0" fontId="0" fillId="5" borderId="19" xfId="0" applyFill="1" applyBorder="1" applyProtection="1"/>
    <xf numFmtId="0" fontId="0" fillId="5" borderId="34" xfId="0" applyFill="1" applyBorder="1" applyProtection="1"/>
    <xf numFmtId="0" fontId="0" fillId="5" borderId="35" xfId="0" applyFill="1" applyBorder="1" applyProtection="1"/>
    <xf numFmtId="0" fontId="0" fillId="5" borderId="3" xfId="0" applyFill="1" applyBorder="1" applyProtection="1"/>
    <xf numFmtId="0" fontId="0" fillId="5" borderId="20" xfId="0" applyFill="1" applyBorder="1" applyProtection="1"/>
    <xf numFmtId="0" fontId="0" fillId="5" borderId="0" xfId="0" applyFill="1" applyBorder="1" applyProtection="1"/>
    <xf numFmtId="0" fontId="3" fillId="5" borderId="0" xfId="0" applyFont="1" applyFill="1" applyBorder="1" applyProtection="1"/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center"/>
    </xf>
    <xf numFmtId="170" fontId="0" fillId="5" borderId="0" xfId="0" applyNumberFormat="1" applyFill="1" applyBorder="1" applyAlignment="1" applyProtection="1">
      <alignment horizontal="right"/>
    </xf>
    <xf numFmtId="9" fontId="0" fillId="5" borderId="0" xfId="0" applyNumberFormat="1" applyFill="1" applyBorder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171" fontId="0" fillId="5" borderId="0" xfId="0" applyNumberFormat="1" applyFill="1" applyBorder="1" applyAlignment="1" applyProtection="1">
      <alignment horizontal="right"/>
    </xf>
    <xf numFmtId="0" fontId="0" fillId="5" borderId="4" xfId="0" applyFill="1" applyBorder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7" fillId="4" borderId="0" xfId="0" applyFont="1" applyFill="1" applyProtection="1"/>
    <xf numFmtId="1" fontId="0" fillId="4" borderId="0" xfId="0" applyNumberFormat="1" applyFill="1" applyBorder="1" applyProtection="1"/>
    <xf numFmtId="2" fontId="0" fillId="4" borderId="0" xfId="0" applyNumberFormat="1" applyFill="1" applyProtection="1"/>
    <xf numFmtId="0" fontId="0" fillId="5" borderId="3" xfId="0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5" borderId="2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5" borderId="40" xfId="0" applyFill="1" applyBorder="1" applyProtection="1"/>
    <xf numFmtId="0" fontId="0" fillId="5" borderId="0" xfId="0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right"/>
    </xf>
    <xf numFmtId="168" fontId="0" fillId="0" borderId="14" xfId="0" applyNumberFormat="1" applyBorder="1"/>
    <xf numFmtId="164" fontId="0" fillId="0" borderId="27" xfId="1" applyNumberFormat="1" applyFont="1" applyBorder="1"/>
    <xf numFmtId="164" fontId="0" fillId="0" borderId="31" xfId="1" applyNumberFormat="1" applyFont="1" applyBorder="1"/>
    <xf numFmtId="0" fontId="0" fillId="0" borderId="0" xfId="0" applyAlignment="1">
      <alignment horizontal="center"/>
    </xf>
    <xf numFmtId="167" fontId="0" fillId="0" borderId="0" xfId="0" applyNumberFormat="1"/>
    <xf numFmtId="43" fontId="0" fillId="0" borderId="0" xfId="1" applyFont="1"/>
    <xf numFmtId="3" fontId="1" fillId="5" borderId="0" xfId="0" applyNumberFormat="1" applyFont="1" applyFill="1" applyBorder="1" applyAlignment="1" applyProtection="1">
      <alignment horizontal="left"/>
    </xf>
    <xf numFmtId="3" fontId="1" fillId="5" borderId="44" xfId="0" applyNumberFormat="1" applyFont="1" applyFill="1" applyBorder="1" applyAlignment="1" applyProtection="1">
      <alignment horizontal="left"/>
    </xf>
    <xf numFmtId="3" fontId="1" fillId="5" borderId="0" xfId="0" applyNumberFormat="1" applyFont="1" applyFill="1" applyBorder="1" applyAlignment="1" applyProtection="1">
      <alignment horizontal="left"/>
    </xf>
    <xf numFmtId="3" fontId="1" fillId="5" borderId="44" xfId="0" applyNumberFormat="1" applyFont="1" applyFill="1" applyBorder="1" applyAlignment="1" applyProtection="1">
      <alignment horizontal="left"/>
      <protection locked="0"/>
    </xf>
    <xf numFmtId="3" fontId="1" fillId="5" borderId="0" xfId="0" applyNumberFormat="1" applyFont="1" applyFill="1" applyBorder="1" applyAlignment="1" applyProtection="1">
      <alignment horizontal="left"/>
      <protection locked="0"/>
    </xf>
    <xf numFmtId="0" fontId="3" fillId="5" borderId="16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wrapText="1"/>
    </xf>
    <xf numFmtId="0" fontId="0" fillId="4" borderId="41" xfId="0" applyFill="1" applyBorder="1" applyAlignment="1" applyProtection="1">
      <protection locked="0"/>
    </xf>
    <xf numFmtId="0" fontId="0" fillId="4" borderId="42" xfId="0" applyFill="1" applyBorder="1" applyAlignment="1" applyProtection="1">
      <protection locked="0"/>
    </xf>
    <xf numFmtId="0" fontId="0" fillId="4" borderId="43" xfId="0" applyFill="1" applyBorder="1" applyAlignment="1" applyProtection="1">
      <protection locked="0"/>
    </xf>
    <xf numFmtId="0" fontId="8" fillId="5" borderId="0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 applyBorder="1" applyAlignment="1" applyProtection="1">
      <alignment horizontal="right"/>
    </xf>
    <xf numFmtId="173" fontId="0" fillId="5" borderId="0" xfId="0" applyNumberFormat="1" applyFill="1" applyBorder="1" applyAlignment="1" applyProtection="1">
      <alignment horizontal="right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Prioritization Index (PI) vs. Age</a:t>
            </a:r>
          </a:p>
        </c:rich>
      </c:tx>
      <c:layout>
        <c:manualLayout>
          <c:xMode val="edge"/>
          <c:yMode val="edge"/>
          <c:x val="0.3428571428571428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25"/>
          <c:w val="0.8392857142857143"/>
          <c:h val="0.65489130434782605"/>
        </c:manualLayout>
      </c:layout>
      <c:scatterChart>
        <c:scatterStyle val="smoothMarker"/>
        <c:varyColors val="0"/>
        <c:ser>
          <c:idx val="0"/>
          <c:order val="0"/>
          <c:tx>
            <c:v>Prioritization Index (PI)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Inputs_Results!$A$171:$A$191</c:f>
              <c:numCache>
                <c:formatCode>_(* #,##0_);_(* \(#,##0\);_(* "-"??_);_(@_)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</c:numCache>
            </c:numRef>
          </c:xVal>
          <c:yVal>
            <c:numRef>
              <c:f>Inputs_Results!$B$171:$B$191</c:f>
              <c:numCache>
                <c:formatCode>0.0000</c:formatCode>
                <c:ptCount val="21"/>
                <c:pt idx="0">
                  <c:v>-0.12337768941853297</c:v>
                </c:pt>
                <c:pt idx="1">
                  <c:v>-0.11311212713424758</c:v>
                </c:pt>
                <c:pt idx="2">
                  <c:v>-0.10312956112715779</c:v>
                </c:pt>
                <c:pt idx="3">
                  <c:v>-9.2960446556879059E-2</c:v>
                </c:pt>
                <c:pt idx="4">
                  <c:v>-8.2422262720791756E-2</c:v>
                </c:pt>
                <c:pt idx="5">
                  <c:v>-7.1448262640818577E-2</c:v>
                </c:pt>
                <c:pt idx="6">
                  <c:v>-5.999775208579413E-2</c:v>
                </c:pt>
                <c:pt idx="7">
                  <c:v>-4.8020738401660025E-2</c:v>
                </c:pt>
                <c:pt idx="8">
                  <c:v>-3.5453105800433531E-2</c:v>
                </c:pt>
                <c:pt idx="9">
                  <c:v>-2.2223563826288921E-2</c:v>
                </c:pt>
                <c:pt idx="10">
                  <c:v>-8.261701915040583E-3</c:v>
                </c:pt>
                <c:pt idx="11">
                  <c:v>6.4962641766586754E-3</c:v>
                </c:pt>
                <c:pt idx="12">
                  <c:v>2.2103581337260054E-2</c:v>
                </c:pt>
                <c:pt idx="13">
                  <c:v>3.8599547234495081E-2</c:v>
                </c:pt>
                <c:pt idx="14">
                  <c:v>5.6005826411980882E-2</c:v>
                </c:pt>
                <c:pt idx="15">
                  <c:v>7.4322504177703266E-2</c:v>
                </c:pt>
                <c:pt idx="16">
                  <c:v>9.3524460996262604E-2</c:v>
                </c:pt>
                <c:pt idx="17">
                  <c:v>0.11355904393662847</c:v>
                </c:pt>
                <c:pt idx="18">
                  <c:v>0.13434629931358472</c:v>
                </c:pt>
                <c:pt idx="19">
                  <c:v>0.15578312735614966</c:v>
                </c:pt>
                <c:pt idx="20">
                  <c:v>0.17775241288985888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02944"/>
        <c:axId val="161204864"/>
      </c:scatterChart>
      <c:valAx>
        <c:axId val="16120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3214285714285714"/>
              <c:y val="0.86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204864"/>
        <c:crosses val="autoZero"/>
        <c:crossBetween val="midCat"/>
        <c:minorUnit val="1"/>
      </c:valAx>
      <c:valAx>
        <c:axId val="16120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Prioritization Index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202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249999999999998"/>
          <c:y val="0.91847826086956519"/>
          <c:w val="0.28392857142857142"/>
          <c:h val="6.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Costs by Year</a:t>
            </a:r>
          </a:p>
        </c:rich>
      </c:tx>
      <c:layout>
        <c:manualLayout>
          <c:xMode val="edge"/>
          <c:yMode val="edge"/>
          <c:x val="0.35159235668789807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4522292993631"/>
          <c:y val="0.12021879308044647"/>
          <c:w val="0.7222929936305732"/>
          <c:h val="0.73406323653666561"/>
        </c:manualLayout>
      </c:layout>
      <c:barChart>
        <c:barDir val="col"/>
        <c:grouping val="stacked"/>
        <c:varyColors val="0"/>
        <c:ser>
          <c:idx val="2"/>
          <c:order val="0"/>
          <c:tx>
            <c:v>Replacement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Cost_by_Year!$C$8:$C$17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46449</c:v>
                </c:pt>
                <c:pt idx="3">
                  <c:v>63123</c:v>
                </c:pt>
                <c:pt idx="4">
                  <c:v>0</c:v>
                </c:pt>
                <c:pt idx="5">
                  <c:v>0</c:v>
                </c:pt>
                <c:pt idx="6">
                  <c:v>75430</c:v>
                </c:pt>
                <c:pt idx="7">
                  <c:v>3970</c:v>
                </c:pt>
                <c:pt idx="8">
                  <c:v>63520</c:v>
                </c:pt>
                <c:pt idx="9">
                  <c:v>15483</c:v>
                </c:pt>
              </c:numCache>
            </c:numRef>
          </c:val>
        </c:ser>
        <c:ser>
          <c:idx val="3"/>
          <c:order val="1"/>
          <c:tx>
            <c:v>Rehab.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Cost_by_Year!$D$8:$D$17</c:f>
              <c:numCache>
                <c:formatCode>_(* #,##0_);_(* \(#,##0\);_(* "-"??_);_(@_)</c:formatCode>
                <c:ptCount val="10"/>
                <c:pt idx="0">
                  <c:v>19667.179524966785</c:v>
                </c:pt>
                <c:pt idx="1">
                  <c:v>20238.936081844819</c:v>
                </c:pt>
                <c:pt idx="2">
                  <c:v>18347.587217798104</c:v>
                </c:pt>
                <c:pt idx="3">
                  <c:v>16447.070887942831</c:v>
                </c:pt>
                <c:pt idx="4">
                  <c:v>18385.659392240737</c:v>
                </c:pt>
                <c:pt idx="5">
                  <c:v>19639.64118552587</c:v>
                </c:pt>
                <c:pt idx="6">
                  <c:v>16736.130451226993</c:v>
                </c:pt>
                <c:pt idx="7">
                  <c:v>18317.707410738072</c:v>
                </c:pt>
                <c:pt idx="8">
                  <c:v>16534.549916622138</c:v>
                </c:pt>
                <c:pt idx="9">
                  <c:v>17666.549858845199</c:v>
                </c:pt>
              </c:numCache>
            </c:numRef>
          </c:val>
        </c:ser>
        <c:ser>
          <c:idx val="4"/>
          <c:order val="2"/>
          <c:tx>
            <c:v>Maint.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Cost_by_Year!$E$8:$E$17</c:f>
              <c:numCache>
                <c:formatCode>_(* #,##0_);_(* \(#,##0\);_(* "-"??_);_(@_)</c:formatCode>
                <c:ptCount val="10"/>
                <c:pt idx="0">
                  <c:v>61249.645560818164</c:v>
                </c:pt>
                <c:pt idx="1">
                  <c:v>64043.039151520687</c:v>
                </c:pt>
                <c:pt idx="2">
                  <c:v>64116.822226593431</c:v>
                </c:pt>
                <c:pt idx="3">
                  <c:v>60284.681656984591</c:v>
                </c:pt>
                <c:pt idx="4">
                  <c:v>59102.271900362568</c:v>
                </c:pt>
                <c:pt idx="5">
                  <c:v>61797.73088646392</c:v>
                </c:pt>
                <c:pt idx="6">
                  <c:v>60304.573520277554</c:v>
                </c:pt>
                <c:pt idx="7">
                  <c:v>58407.095079402367</c:v>
                </c:pt>
                <c:pt idx="8">
                  <c:v>57032.515189990925</c:v>
                </c:pt>
                <c:pt idx="9">
                  <c:v>54843.880547067864</c:v>
                </c:pt>
              </c:numCache>
            </c:numRef>
          </c:val>
        </c:ser>
        <c:ser>
          <c:idx val="5"/>
          <c:order val="3"/>
          <c:tx>
            <c:v>Energy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Cost_by_Year!$F$8:$F$17</c:f>
              <c:numCache>
                <c:formatCode>_(* #,##0_);_(* \(#,##0\);_(* "-"??_);_(@_)</c:formatCode>
                <c:ptCount val="10"/>
                <c:pt idx="0">
                  <c:v>23471.82837515631</c:v>
                </c:pt>
                <c:pt idx="1">
                  <c:v>23998.548904145682</c:v>
                </c:pt>
                <c:pt idx="2">
                  <c:v>23990.210305743411</c:v>
                </c:pt>
                <c:pt idx="3">
                  <c:v>23236.297078059324</c:v>
                </c:pt>
                <c:pt idx="4">
                  <c:v>23010.197776264984</c:v>
                </c:pt>
                <c:pt idx="5">
                  <c:v>23526.559064833906</c:v>
                </c:pt>
                <c:pt idx="6">
                  <c:v>23217.783420738218</c:v>
                </c:pt>
                <c:pt idx="7">
                  <c:v>22846.709803961465</c:v>
                </c:pt>
                <c:pt idx="8">
                  <c:v>22581.39994824403</c:v>
                </c:pt>
                <c:pt idx="9">
                  <c:v>22172.597047660776</c:v>
                </c:pt>
              </c:numCache>
            </c:numRef>
          </c:val>
        </c:ser>
        <c:ser>
          <c:idx val="7"/>
          <c:order val="4"/>
          <c:tx>
            <c:v>Delay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Cost_by_Year!$H$8:$H$17</c:f>
              <c:numCache>
                <c:formatCode>_(* #,##0_);_(* \(#,##0\);_(* "-"??_);_(@_)</c:formatCode>
                <c:ptCount val="10"/>
                <c:pt idx="0">
                  <c:v>4955.4698874473961</c:v>
                </c:pt>
                <c:pt idx="1">
                  <c:v>5315.2148617314151</c:v>
                </c:pt>
                <c:pt idx="2">
                  <c:v>5340.4732063352967</c:v>
                </c:pt>
                <c:pt idx="3">
                  <c:v>4868.2515986983763</c:v>
                </c:pt>
                <c:pt idx="4">
                  <c:v>4717.8632247048618</c:v>
                </c:pt>
                <c:pt idx="5">
                  <c:v>5060.3590168286682</c:v>
                </c:pt>
                <c:pt idx="6">
                  <c:v>4888.5690330245916</c:v>
                </c:pt>
                <c:pt idx="7">
                  <c:v>4654.9102327117726</c:v>
                </c:pt>
                <c:pt idx="8">
                  <c:v>4483.2270240905727</c:v>
                </c:pt>
                <c:pt idx="9">
                  <c:v>4198.8694388619942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31776"/>
        <c:axId val="167142144"/>
      </c:barChart>
      <c:catAx>
        <c:axId val="16713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477707006369428"/>
              <c:y val="0.919855916751901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4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1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($ 000)</a:t>
                </a:r>
              </a:p>
            </c:rich>
          </c:tx>
          <c:layout>
            <c:manualLayout>
              <c:xMode val="edge"/>
              <c:yMode val="edge"/>
              <c:x val="2.038216560509554E-2"/>
              <c:y val="0.3989078134032996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317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32484076433124"/>
          <c:y val="0.13843376172899899"/>
          <c:w val="0.12229299363057325"/>
          <c:h val="0.19307866767465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</xdr:row>
          <xdr:rowOff>38100</xdr:rowOff>
        </xdr:from>
        <xdr:to>
          <xdr:col>11</xdr:col>
          <xdr:colOff>733425</xdr:colOff>
          <xdr:row>14</xdr:row>
          <xdr:rowOff>76200</xdr:rowOff>
        </xdr:to>
        <xdr:sp macro="" textlink="">
          <xdr:nvSpPr>
            <xdr:cNvPr id="5123" name="CommandButton1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</xdr:row>
          <xdr:rowOff>95250</xdr:rowOff>
        </xdr:from>
        <xdr:to>
          <xdr:col>11</xdr:col>
          <xdr:colOff>733425</xdr:colOff>
          <xdr:row>10</xdr:row>
          <xdr:rowOff>76200</xdr:rowOff>
        </xdr:to>
        <xdr:sp macro="" textlink="">
          <xdr:nvSpPr>
            <xdr:cNvPr id="5135" name="CommandButton2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95250</xdr:rowOff>
        </xdr:from>
        <xdr:to>
          <xdr:col>12</xdr:col>
          <xdr:colOff>685800</xdr:colOff>
          <xdr:row>11</xdr:row>
          <xdr:rowOff>19050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11</xdr:row>
          <xdr:rowOff>142875</xdr:rowOff>
        </xdr:from>
        <xdr:to>
          <xdr:col>12</xdr:col>
          <xdr:colOff>685800</xdr:colOff>
          <xdr:row>15</xdr:row>
          <xdr:rowOff>19050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95250</xdr:rowOff>
        </xdr:from>
        <xdr:to>
          <xdr:col>8</xdr:col>
          <xdr:colOff>742950</xdr:colOff>
          <xdr:row>10</xdr:row>
          <xdr:rowOff>76200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76200</xdr:colOff>
      <xdr:row>24</xdr:row>
      <xdr:rowOff>142875</xdr:rowOff>
    </xdr:from>
    <xdr:to>
      <xdr:col>8</xdr:col>
      <xdr:colOff>819150</xdr:colOff>
      <xdr:row>46</xdr:row>
      <xdr:rowOff>85725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38100</xdr:rowOff>
        </xdr:from>
        <xdr:to>
          <xdr:col>8</xdr:col>
          <xdr:colOff>742950</xdr:colOff>
          <xdr:row>14</xdr:row>
          <xdr:rowOff>76200</xdr:rowOff>
        </xdr:to>
        <xdr:sp macro="" textlink="">
          <xdr:nvSpPr>
            <xdr:cNvPr id="7176" name="CommandButton2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4</xdr:row>
      <xdr:rowOff>0</xdr:rowOff>
    </xdr:from>
    <xdr:to>
      <xdr:col>21</xdr:col>
      <xdr:colOff>285750</xdr:colOff>
      <xdr:row>36</xdr:row>
      <xdr:rowOff>47625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5" Type="http://schemas.openxmlformats.org/officeDocument/2006/relationships/control" Target="../activeX/activeX4.xml"/><Relationship Id="rId4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Q198"/>
  <sheetViews>
    <sheetView showRowColHeaders="0" tabSelected="1" workbookViewId="0">
      <selection activeCell="B2" sqref="B2"/>
    </sheetView>
  </sheetViews>
  <sheetFormatPr defaultRowHeight="12.75" x14ac:dyDescent="0.2"/>
  <cols>
    <col min="1" max="2" width="1.7109375" style="233" customWidth="1"/>
    <col min="3" max="3" width="2.7109375" style="233" customWidth="1"/>
    <col min="4" max="6" width="12.7109375" style="233" customWidth="1"/>
    <col min="7" max="7" width="6.7109375" style="233" customWidth="1"/>
    <col min="8" max="10" width="12.7109375" style="233" customWidth="1"/>
    <col min="11" max="11" width="20.7109375" style="233" customWidth="1"/>
    <col min="12" max="12" width="12.7109375" style="233" customWidth="1"/>
    <col min="13" max="13" width="1.7109375" style="233" customWidth="1"/>
    <col min="14" max="16384" width="9.140625" style="233"/>
  </cols>
  <sheetData>
    <row r="1" spans="2:13" ht="5.0999999999999996" customHeight="1" thickBot="1" x14ac:dyDescent="0.25"/>
    <row r="2" spans="2:13" ht="5.0999999999999996" customHeight="1" x14ac:dyDescent="0.2"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2:13" ht="15.75" x14ac:dyDescent="0.25">
      <c r="B3" s="237"/>
      <c r="C3" s="280" t="s">
        <v>99</v>
      </c>
      <c r="D3" s="281"/>
      <c r="E3" s="281"/>
      <c r="F3" s="281"/>
      <c r="G3" s="281"/>
      <c r="H3" s="280"/>
      <c r="I3" s="280"/>
      <c r="J3" s="280"/>
      <c r="K3" s="280"/>
      <c r="L3" s="280"/>
      <c r="M3" s="238"/>
    </row>
    <row r="4" spans="2:13" ht="15.75" x14ac:dyDescent="0.25">
      <c r="B4" s="237"/>
      <c r="C4" s="280" t="s">
        <v>100</v>
      </c>
      <c r="D4" s="281"/>
      <c r="E4" s="281"/>
      <c r="F4" s="281"/>
      <c r="G4" s="281"/>
      <c r="H4" s="280"/>
      <c r="I4" s="280"/>
      <c r="J4" s="280"/>
      <c r="K4" s="280"/>
      <c r="L4" s="280"/>
      <c r="M4" s="238"/>
    </row>
    <row r="5" spans="2:13" ht="15.75" x14ac:dyDescent="0.25">
      <c r="B5" s="237"/>
      <c r="C5" s="280" t="s">
        <v>325</v>
      </c>
      <c r="D5" s="281"/>
      <c r="E5" s="281"/>
      <c r="F5" s="281"/>
      <c r="G5" s="281"/>
      <c r="H5" s="280"/>
      <c r="I5" s="280"/>
      <c r="J5" s="280"/>
      <c r="K5" s="280"/>
      <c r="L5" s="280"/>
      <c r="M5" s="238"/>
    </row>
    <row r="6" spans="2:13" x14ac:dyDescent="0.2">
      <c r="B6" s="23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8"/>
    </row>
    <row r="7" spans="2:13" x14ac:dyDescent="0.2">
      <c r="B7" s="237"/>
      <c r="C7" s="240" t="s">
        <v>329</v>
      </c>
      <c r="D7" s="239"/>
      <c r="E7" s="239"/>
      <c r="F7" s="239"/>
      <c r="G7" s="239"/>
      <c r="H7" s="239"/>
      <c r="I7" s="239"/>
      <c r="J7" s="239"/>
      <c r="K7" s="239"/>
      <c r="L7" s="239"/>
      <c r="M7" s="238"/>
    </row>
    <row r="8" spans="2:13" ht="5.0999999999999996" customHeight="1" x14ac:dyDescent="0.2">
      <c r="B8" s="237"/>
      <c r="C8" s="240"/>
      <c r="D8" s="239"/>
      <c r="E8" s="239"/>
      <c r="F8" s="239"/>
      <c r="G8" s="239"/>
      <c r="H8" s="239"/>
      <c r="I8" s="239"/>
      <c r="J8" s="239"/>
      <c r="K8" s="239"/>
      <c r="L8" s="239"/>
      <c r="M8" s="238"/>
    </row>
    <row r="9" spans="2:13" x14ac:dyDescent="0.2">
      <c r="B9" s="237"/>
      <c r="C9" s="121" t="s">
        <v>340</v>
      </c>
      <c r="D9" s="120"/>
      <c r="E9" s="239"/>
      <c r="F9" s="239"/>
      <c r="G9" s="239"/>
      <c r="H9" s="239"/>
      <c r="I9" s="239"/>
      <c r="J9" s="239"/>
      <c r="K9" s="239"/>
      <c r="L9" s="239"/>
      <c r="M9" s="238"/>
    </row>
    <row r="10" spans="2:13" x14ac:dyDescent="0.2">
      <c r="B10" s="237"/>
      <c r="C10" s="121" t="s">
        <v>332</v>
      </c>
      <c r="D10" s="120"/>
      <c r="E10" s="239"/>
      <c r="F10" s="239"/>
      <c r="G10" s="239"/>
      <c r="H10" s="239"/>
      <c r="I10" s="239"/>
      <c r="J10" s="239"/>
      <c r="K10" s="239"/>
      <c r="L10" s="239"/>
      <c r="M10" s="238"/>
    </row>
    <row r="11" spans="2:13" x14ac:dyDescent="0.2">
      <c r="B11" s="237"/>
      <c r="C11" s="121" t="s">
        <v>331</v>
      </c>
      <c r="D11" s="120"/>
      <c r="E11" s="239"/>
      <c r="F11" s="239"/>
      <c r="G11" s="239"/>
      <c r="H11" s="239"/>
      <c r="I11" s="239"/>
      <c r="J11" s="239"/>
      <c r="K11" s="239"/>
      <c r="L11" s="239"/>
      <c r="M11" s="238"/>
    </row>
    <row r="12" spans="2:13" s="259" customFormat="1" x14ac:dyDescent="0.2">
      <c r="B12" s="256"/>
      <c r="C12" s="257"/>
      <c r="D12" s="276" t="s">
        <v>330</v>
      </c>
      <c r="E12" s="276"/>
      <c r="F12" s="276"/>
      <c r="G12" s="276"/>
      <c r="H12" s="276"/>
      <c r="I12" s="276"/>
      <c r="J12" s="276"/>
      <c r="K12" s="276"/>
      <c r="L12" s="257"/>
      <c r="M12" s="258"/>
    </row>
    <row r="13" spans="2:13" s="259" customFormat="1" ht="12.75" customHeight="1" x14ac:dyDescent="0.2">
      <c r="B13" s="256"/>
      <c r="C13" s="257"/>
      <c r="D13" s="276" t="s">
        <v>333</v>
      </c>
      <c r="E13" s="276"/>
      <c r="F13" s="276"/>
      <c r="G13" s="276"/>
      <c r="H13" s="276"/>
      <c r="I13" s="276"/>
      <c r="J13" s="276"/>
      <c r="K13" s="276"/>
      <c r="L13" s="257"/>
      <c r="M13" s="258"/>
    </row>
    <row r="14" spans="2:13" s="259" customFormat="1" ht="12.75" customHeight="1" x14ac:dyDescent="0.2">
      <c r="B14" s="256"/>
      <c r="C14" s="257"/>
      <c r="D14" s="275" t="s">
        <v>334</v>
      </c>
      <c r="E14" s="275"/>
      <c r="F14" s="275"/>
      <c r="G14" s="275"/>
      <c r="H14" s="275"/>
      <c r="I14" s="275"/>
      <c r="J14" s="275"/>
      <c r="K14" s="275"/>
      <c r="L14" s="257"/>
      <c r="M14" s="258"/>
    </row>
    <row r="15" spans="2:13" s="259" customFormat="1" ht="12.75" customHeight="1" x14ac:dyDescent="0.2">
      <c r="B15" s="256"/>
      <c r="C15" s="257"/>
      <c r="D15" s="275" t="s">
        <v>335</v>
      </c>
      <c r="E15" s="275"/>
      <c r="F15" s="275"/>
      <c r="G15" s="275"/>
      <c r="H15" s="275"/>
      <c r="I15" s="275"/>
      <c r="J15" s="275"/>
      <c r="K15" s="275"/>
      <c r="L15" s="257"/>
      <c r="M15" s="258"/>
    </row>
    <row r="16" spans="2:13" s="259" customFormat="1" ht="12.75" customHeight="1" x14ac:dyDescent="0.2">
      <c r="B16" s="256"/>
      <c r="C16" s="257"/>
      <c r="D16" s="275" t="s">
        <v>336</v>
      </c>
      <c r="E16" s="275"/>
      <c r="F16" s="275"/>
      <c r="G16" s="275"/>
      <c r="H16" s="275"/>
      <c r="I16" s="275"/>
      <c r="J16" s="275"/>
      <c r="K16" s="275"/>
      <c r="L16" s="257"/>
      <c r="M16" s="258"/>
    </row>
    <row r="17" spans="2:13" s="259" customFormat="1" ht="12.75" customHeight="1" x14ac:dyDescent="0.2">
      <c r="B17" s="256"/>
      <c r="C17" s="257"/>
      <c r="D17" s="275" t="s">
        <v>341</v>
      </c>
      <c r="E17" s="275"/>
      <c r="F17" s="275"/>
      <c r="G17" s="275"/>
      <c r="H17" s="275"/>
      <c r="I17" s="275"/>
      <c r="J17" s="275"/>
      <c r="K17" s="275"/>
      <c r="L17" s="257"/>
      <c r="M17" s="258"/>
    </row>
    <row r="18" spans="2:13" s="259" customFormat="1" ht="12.75" customHeight="1" x14ac:dyDescent="0.2">
      <c r="B18" s="256"/>
      <c r="C18" s="257"/>
      <c r="D18" s="275" t="s">
        <v>342</v>
      </c>
      <c r="E18" s="275"/>
      <c r="F18" s="275"/>
      <c r="G18" s="275"/>
      <c r="H18" s="275"/>
      <c r="I18" s="275"/>
      <c r="J18" s="275"/>
      <c r="K18" s="275"/>
      <c r="L18" s="257"/>
      <c r="M18" s="258"/>
    </row>
    <row r="19" spans="2:13" s="259" customFormat="1" ht="12.75" customHeight="1" x14ac:dyDescent="0.2">
      <c r="B19" s="256"/>
      <c r="C19" s="257"/>
      <c r="D19" s="275" t="s">
        <v>345</v>
      </c>
      <c r="E19" s="275"/>
      <c r="F19" s="275"/>
      <c r="G19" s="275"/>
      <c r="H19" s="275"/>
      <c r="I19" s="275"/>
      <c r="J19" s="275"/>
      <c r="K19" s="275"/>
      <c r="L19" s="257"/>
      <c r="M19" s="258"/>
    </row>
    <row r="20" spans="2:13" s="259" customFormat="1" x14ac:dyDescent="0.2">
      <c r="B20" s="256"/>
      <c r="C20" s="257"/>
      <c r="D20" s="276" t="s">
        <v>346</v>
      </c>
      <c r="E20" s="276"/>
      <c r="F20" s="276"/>
      <c r="G20" s="276"/>
      <c r="H20" s="276"/>
      <c r="I20" s="276"/>
      <c r="J20" s="276"/>
      <c r="K20" s="276"/>
      <c r="L20" s="257"/>
      <c r="M20" s="258"/>
    </row>
    <row r="21" spans="2:13" x14ac:dyDescent="0.2">
      <c r="B21" s="237"/>
      <c r="C21" s="239"/>
      <c r="D21" s="239"/>
      <c r="E21" s="239"/>
      <c r="F21" s="239"/>
      <c r="G21" s="239"/>
      <c r="H21" s="241"/>
      <c r="I21" s="241"/>
      <c r="J21" s="241"/>
      <c r="K21" s="241"/>
      <c r="L21" s="239"/>
      <c r="M21" s="238"/>
    </row>
    <row r="22" spans="2:13" x14ac:dyDescent="0.2">
      <c r="B22" s="237"/>
      <c r="C22" s="240" t="s">
        <v>343</v>
      </c>
      <c r="D22" s="239"/>
      <c r="E22" s="239"/>
      <c r="F22" s="239"/>
      <c r="G22" s="239"/>
      <c r="H22" s="241"/>
      <c r="I22" s="241"/>
      <c r="J22" s="241"/>
      <c r="K22" s="241"/>
      <c r="L22" s="239"/>
      <c r="M22" s="238"/>
    </row>
    <row r="23" spans="2:13" ht="5.0999999999999996" customHeight="1" x14ac:dyDescent="0.2">
      <c r="B23" s="237"/>
      <c r="C23" s="239"/>
      <c r="D23" s="239"/>
      <c r="E23" s="239"/>
      <c r="F23" s="239"/>
      <c r="G23" s="239"/>
      <c r="H23" s="241"/>
      <c r="I23" s="241"/>
      <c r="J23" s="241"/>
      <c r="K23" s="241"/>
      <c r="L23" s="239"/>
      <c r="M23" s="238"/>
    </row>
    <row r="24" spans="2:13" x14ac:dyDescent="0.2">
      <c r="B24" s="237"/>
      <c r="C24" s="240" t="s">
        <v>232</v>
      </c>
      <c r="D24" s="239"/>
      <c r="E24" s="239"/>
      <c r="F24" s="239"/>
      <c r="G24" s="277" t="s">
        <v>233</v>
      </c>
      <c r="H24" s="278"/>
      <c r="I24" s="278"/>
      <c r="J24" s="279"/>
      <c r="K24" s="241"/>
      <c r="L24" s="239"/>
      <c r="M24" s="238"/>
    </row>
    <row r="25" spans="2:13" ht="5.0999999999999996" customHeight="1" x14ac:dyDescent="0.2">
      <c r="B25" s="237"/>
      <c r="C25" s="240"/>
      <c r="D25" s="239"/>
      <c r="E25" s="239"/>
      <c r="F25" s="239"/>
      <c r="G25" s="239"/>
      <c r="H25" s="239"/>
      <c r="I25" s="260"/>
      <c r="J25" s="239"/>
      <c r="K25" s="239"/>
      <c r="L25" s="239"/>
      <c r="M25" s="238"/>
    </row>
    <row r="26" spans="2:13" ht="5.0999999999999996" customHeight="1" x14ac:dyDescent="0.2">
      <c r="B26" s="237"/>
      <c r="C26" s="240"/>
      <c r="D26" s="239"/>
      <c r="E26" s="239"/>
      <c r="F26" s="239"/>
      <c r="G26" s="239"/>
      <c r="H26" s="239"/>
      <c r="I26" s="239"/>
      <c r="J26" s="239"/>
      <c r="K26" s="241"/>
      <c r="L26" s="239"/>
      <c r="M26" s="238"/>
    </row>
    <row r="27" spans="2:13" ht="12.75" customHeight="1" x14ac:dyDescent="0.2">
      <c r="B27" s="237"/>
      <c r="C27" s="240" t="s">
        <v>242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8"/>
    </row>
    <row r="28" spans="2:13" ht="12.75" customHeight="1" x14ac:dyDescent="0.2">
      <c r="B28" s="237"/>
      <c r="C28" s="240"/>
      <c r="D28" s="261"/>
      <c r="E28" s="242" t="s">
        <v>239</v>
      </c>
      <c r="F28" s="242" t="s">
        <v>241</v>
      </c>
      <c r="G28" s="242"/>
      <c r="H28" s="261"/>
      <c r="I28" s="242" t="s">
        <v>239</v>
      </c>
      <c r="J28" s="242" t="s">
        <v>241</v>
      </c>
      <c r="K28" s="239"/>
      <c r="L28" s="239"/>
      <c r="M28" s="238"/>
    </row>
    <row r="29" spans="2:13" x14ac:dyDescent="0.2">
      <c r="B29" s="237"/>
      <c r="C29" s="239"/>
      <c r="D29" s="243" t="s">
        <v>57</v>
      </c>
      <c r="E29" s="243" t="s">
        <v>240</v>
      </c>
      <c r="F29" s="243" t="s">
        <v>83</v>
      </c>
      <c r="G29" s="242"/>
      <c r="H29" s="243" t="s">
        <v>57</v>
      </c>
      <c r="I29" s="243" t="s">
        <v>240</v>
      </c>
      <c r="J29" s="243" t="s">
        <v>83</v>
      </c>
      <c r="K29" s="242"/>
      <c r="L29" s="239"/>
      <c r="M29" s="238"/>
    </row>
    <row r="30" spans="2:13" ht="5.0999999999999996" customHeight="1" x14ac:dyDescent="0.2">
      <c r="B30" s="237"/>
      <c r="C30" s="239"/>
      <c r="D30" s="242"/>
      <c r="E30" s="244"/>
      <c r="F30" s="244"/>
      <c r="G30" s="242"/>
      <c r="H30" s="242"/>
      <c r="I30" s="244"/>
      <c r="J30" s="244"/>
      <c r="K30" s="240"/>
      <c r="L30" s="239"/>
      <c r="M30" s="238"/>
    </row>
    <row r="31" spans="2:13" x14ac:dyDescent="0.2">
      <c r="B31" s="237"/>
      <c r="C31" s="240"/>
      <c r="D31" s="245">
        <v>1</v>
      </c>
      <c r="E31" s="124">
        <v>147882</v>
      </c>
      <c r="F31" s="124">
        <v>90</v>
      </c>
      <c r="G31" s="242"/>
      <c r="H31" s="245">
        <v>11</v>
      </c>
      <c r="I31" s="124">
        <v>162325</v>
      </c>
      <c r="J31" s="124">
        <v>6</v>
      </c>
      <c r="K31" s="239"/>
      <c r="L31" s="239"/>
      <c r="M31" s="238"/>
    </row>
    <row r="32" spans="2:13" x14ac:dyDescent="0.2">
      <c r="B32" s="237"/>
      <c r="C32" s="240"/>
      <c r="D32" s="245">
        <v>2</v>
      </c>
      <c r="E32" s="124">
        <v>114252</v>
      </c>
      <c r="F32" s="124">
        <v>25</v>
      </c>
      <c r="G32" s="242"/>
      <c r="H32" s="245">
        <v>12</v>
      </c>
      <c r="I32" s="124">
        <v>212726</v>
      </c>
      <c r="J32" s="124">
        <v>60</v>
      </c>
      <c r="K32" s="239"/>
      <c r="L32" s="239"/>
      <c r="M32" s="238"/>
    </row>
    <row r="33" spans="2:13" x14ac:dyDescent="0.2">
      <c r="B33" s="237"/>
      <c r="C33" s="240"/>
      <c r="D33" s="245">
        <v>3</v>
      </c>
      <c r="E33" s="124">
        <v>456352</v>
      </c>
      <c r="F33" s="124">
        <v>117</v>
      </c>
      <c r="G33" s="242"/>
      <c r="H33" s="245">
        <v>13</v>
      </c>
      <c r="I33" s="124">
        <v>25063</v>
      </c>
      <c r="J33" s="124">
        <v>26</v>
      </c>
      <c r="K33" s="239"/>
      <c r="L33" s="239"/>
      <c r="M33" s="238"/>
    </row>
    <row r="34" spans="2:13" x14ac:dyDescent="0.2">
      <c r="B34" s="237"/>
      <c r="C34" s="240"/>
      <c r="D34" s="245">
        <v>4</v>
      </c>
      <c r="E34" s="124">
        <v>296374</v>
      </c>
      <c r="F34" s="124">
        <v>25</v>
      </c>
      <c r="G34" s="242"/>
      <c r="H34" s="245">
        <v>14</v>
      </c>
      <c r="I34" s="124">
        <v>18970</v>
      </c>
      <c r="J34" s="124">
        <v>54</v>
      </c>
      <c r="K34" s="239"/>
      <c r="L34" s="239"/>
      <c r="M34" s="238"/>
    </row>
    <row r="35" spans="2:13" x14ac:dyDescent="0.2">
      <c r="B35" s="237"/>
      <c r="C35" s="240"/>
      <c r="D35" s="245">
        <v>5</v>
      </c>
      <c r="E35" s="124">
        <v>418462</v>
      </c>
      <c r="F35" s="124">
        <v>159</v>
      </c>
      <c r="G35" s="242"/>
      <c r="H35" s="245">
        <v>15</v>
      </c>
      <c r="I35" s="124"/>
      <c r="J35" s="124"/>
      <c r="K35" s="239"/>
      <c r="L35" s="239"/>
      <c r="M35" s="238"/>
    </row>
    <row r="36" spans="2:13" x14ac:dyDescent="0.2">
      <c r="B36" s="237"/>
      <c r="C36" s="240"/>
      <c r="D36" s="245">
        <v>6</v>
      </c>
      <c r="E36" s="124">
        <v>246390</v>
      </c>
      <c r="F36" s="124">
        <v>40</v>
      </c>
      <c r="G36" s="242"/>
      <c r="H36" s="245">
        <v>16</v>
      </c>
      <c r="I36" s="124"/>
      <c r="J36" s="124"/>
      <c r="K36" s="239"/>
      <c r="L36" s="239"/>
      <c r="M36" s="238"/>
    </row>
    <row r="37" spans="2:13" x14ac:dyDescent="0.2">
      <c r="B37" s="237"/>
      <c r="C37" s="240"/>
      <c r="D37" s="245">
        <v>7</v>
      </c>
      <c r="E37" s="124">
        <v>245590</v>
      </c>
      <c r="F37" s="124">
        <v>60</v>
      </c>
      <c r="G37" s="242"/>
      <c r="H37" s="245">
        <v>17</v>
      </c>
      <c r="I37" s="124"/>
      <c r="J37" s="124"/>
      <c r="K37" s="239"/>
      <c r="L37" s="239"/>
      <c r="M37" s="238"/>
    </row>
    <row r="38" spans="2:13" x14ac:dyDescent="0.2">
      <c r="B38" s="237"/>
      <c r="C38" s="240"/>
      <c r="D38" s="245">
        <v>8</v>
      </c>
      <c r="E38" s="124">
        <v>285708</v>
      </c>
      <c r="F38" s="124">
        <v>165</v>
      </c>
      <c r="G38" s="242"/>
      <c r="H38" s="245">
        <v>18</v>
      </c>
      <c r="I38" s="124"/>
      <c r="J38" s="124"/>
      <c r="K38" s="239"/>
      <c r="L38" s="239"/>
      <c r="M38" s="238"/>
    </row>
    <row r="39" spans="2:13" x14ac:dyDescent="0.2">
      <c r="B39" s="237"/>
      <c r="C39" s="240"/>
      <c r="D39" s="245">
        <v>9</v>
      </c>
      <c r="E39" s="124">
        <v>272171</v>
      </c>
      <c r="F39" s="124">
        <v>10</v>
      </c>
      <c r="G39" s="242"/>
      <c r="H39" s="245">
        <v>19</v>
      </c>
      <c r="I39" s="124"/>
      <c r="J39" s="124"/>
      <c r="K39" s="239"/>
      <c r="L39" s="239"/>
      <c r="M39" s="238"/>
    </row>
    <row r="40" spans="2:13" x14ac:dyDescent="0.2">
      <c r="B40" s="237"/>
      <c r="C40" s="240"/>
      <c r="D40" s="245">
        <v>10</v>
      </c>
      <c r="E40" s="124">
        <v>191941</v>
      </c>
      <c r="F40" s="124">
        <v>39</v>
      </c>
      <c r="G40" s="242"/>
      <c r="H40" s="245">
        <v>20</v>
      </c>
      <c r="I40" s="124"/>
      <c r="J40" s="124"/>
      <c r="K40" s="239"/>
      <c r="L40" s="239"/>
      <c r="M40" s="238"/>
    </row>
    <row r="41" spans="2:13" ht="12.75" customHeight="1" x14ac:dyDescent="0.2">
      <c r="B41" s="237"/>
      <c r="C41" s="240"/>
      <c r="D41" s="239"/>
      <c r="E41" s="239"/>
      <c r="F41" s="239"/>
      <c r="G41" s="239"/>
      <c r="H41" s="239"/>
      <c r="I41" s="239"/>
      <c r="J41" s="239"/>
      <c r="K41" s="239"/>
      <c r="L41" s="239"/>
      <c r="M41" s="238"/>
    </row>
    <row r="42" spans="2:13" ht="12.75" customHeight="1" x14ac:dyDescent="0.2">
      <c r="B42" s="237"/>
      <c r="C42" s="240" t="s">
        <v>243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8"/>
    </row>
    <row r="43" spans="2:13" ht="12.75" customHeight="1" x14ac:dyDescent="0.2">
      <c r="B43" s="237"/>
      <c r="C43" s="240"/>
      <c r="D43" s="239"/>
      <c r="E43" s="239"/>
      <c r="F43" s="239"/>
      <c r="G43" s="239"/>
      <c r="H43" s="239"/>
      <c r="I43" s="242" t="s">
        <v>102</v>
      </c>
      <c r="J43" s="242"/>
      <c r="K43" s="239"/>
      <c r="L43" s="239"/>
      <c r="M43" s="238"/>
    </row>
    <row r="44" spans="2:13" x14ac:dyDescent="0.2">
      <c r="B44" s="237"/>
      <c r="C44" s="239"/>
      <c r="D44" s="239"/>
      <c r="E44" s="239"/>
      <c r="F44" s="239"/>
      <c r="G44" s="239"/>
      <c r="H44" s="243" t="s">
        <v>103</v>
      </c>
      <c r="I44" s="243" t="s">
        <v>54</v>
      </c>
      <c r="J44" s="274" t="s">
        <v>104</v>
      </c>
      <c r="K44" s="274"/>
      <c r="L44" s="239"/>
      <c r="M44" s="238"/>
    </row>
    <row r="45" spans="2:13" ht="5.0999999999999996" customHeight="1" x14ac:dyDescent="0.2">
      <c r="B45" s="237"/>
      <c r="C45" s="239"/>
      <c r="D45" s="239"/>
      <c r="E45" s="239"/>
      <c r="F45" s="239"/>
      <c r="G45" s="239"/>
      <c r="H45" s="244"/>
      <c r="I45" s="244"/>
      <c r="J45" s="244"/>
      <c r="K45" s="240"/>
      <c r="L45" s="239"/>
      <c r="M45" s="238"/>
    </row>
    <row r="46" spans="2:13" x14ac:dyDescent="0.2">
      <c r="B46" s="237"/>
      <c r="C46" s="240" t="s">
        <v>49</v>
      </c>
      <c r="D46" s="240"/>
      <c r="E46" s="240"/>
      <c r="F46" s="240"/>
      <c r="G46" s="240"/>
      <c r="H46" s="262">
        <v>2009</v>
      </c>
      <c r="I46" s="131">
        <v>2009</v>
      </c>
      <c r="J46" s="272"/>
      <c r="K46" s="273"/>
      <c r="L46" s="239"/>
      <c r="M46" s="238"/>
    </row>
    <row r="47" spans="2:13" x14ac:dyDescent="0.2">
      <c r="B47" s="237"/>
      <c r="C47" s="240" t="s">
        <v>50</v>
      </c>
      <c r="D47" s="240"/>
      <c r="E47" s="240"/>
      <c r="F47" s="240"/>
      <c r="G47" s="240"/>
      <c r="H47" s="226">
        <v>1</v>
      </c>
      <c r="I47" s="124">
        <v>259207.64300000001</v>
      </c>
      <c r="J47" s="272"/>
      <c r="K47" s="273"/>
      <c r="L47" s="239"/>
      <c r="M47" s="238"/>
    </row>
    <row r="48" spans="2:13" x14ac:dyDescent="0.2">
      <c r="B48" s="237"/>
      <c r="C48" s="240" t="s">
        <v>51</v>
      </c>
      <c r="D48" s="240"/>
      <c r="E48" s="240"/>
      <c r="F48" s="240"/>
      <c r="G48" s="240"/>
      <c r="H48" s="226">
        <v>1</v>
      </c>
      <c r="I48" s="124">
        <v>58485.434000000001</v>
      </c>
      <c r="J48" s="272"/>
      <c r="K48" s="273"/>
      <c r="L48" s="239"/>
      <c r="M48" s="238"/>
    </row>
    <row r="49" spans="2:13" x14ac:dyDescent="0.2">
      <c r="B49" s="237"/>
      <c r="C49" s="240" t="s">
        <v>42</v>
      </c>
      <c r="D49" s="240"/>
      <c r="E49" s="240"/>
      <c r="F49" s="240"/>
      <c r="G49" s="240"/>
      <c r="H49" s="226">
        <v>1</v>
      </c>
      <c r="I49" s="124">
        <v>31005.728999999999</v>
      </c>
      <c r="J49" s="272"/>
      <c r="K49" s="273"/>
      <c r="L49" s="239"/>
      <c r="M49" s="238"/>
    </row>
    <row r="50" spans="2:13" x14ac:dyDescent="0.2">
      <c r="B50" s="237"/>
      <c r="C50" s="240" t="s">
        <v>43</v>
      </c>
      <c r="D50" s="240"/>
      <c r="E50" s="240"/>
      <c r="F50" s="240"/>
      <c r="G50" s="240"/>
      <c r="H50" s="226">
        <v>1</v>
      </c>
      <c r="I50" s="124">
        <v>23747.017</v>
      </c>
      <c r="J50" s="272"/>
      <c r="K50" s="273"/>
      <c r="L50" s="239"/>
      <c r="M50" s="238"/>
    </row>
    <row r="51" spans="2:13" x14ac:dyDescent="0.2">
      <c r="B51" s="237"/>
      <c r="C51" s="240" t="s">
        <v>44</v>
      </c>
      <c r="D51" s="240"/>
      <c r="E51" s="240"/>
      <c r="F51" s="240"/>
      <c r="G51" s="240"/>
      <c r="H51" s="226">
        <v>1</v>
      </c>
      <c r="I51" s="124">
        <v>1746.548</v>
      </c>
      <c r="J51" s="272"/>
      <c r="K51" s="273"/>
      <c r="L51" s="239"/>
      <c r="M51" s="238"/>
    </row>
    <row r="52" spans="2:13" x14ac:dyDescent="0.2">
      <c r="B52" s="237"/>
      <c r="C52" s="240" t="s">
        <v>79</v>
      </c>
      <c r="D52" s="240"/>
      <c r="E52" s="240"/>
      <c r="F52" s="240"/>
      <c r="G52" s="240"/>
      <c r="H52" s="226">
        <v>1</v>
      </c>
      <c r="I52" s="124">
        <v>4299</v>
      </c>
      <c r="J52" s="272"/>
      <c r="K52" s="273"/>
      <c r="L52" s="239"/>
      <c r="M52" s="238"/>
    </row>
    <row r="53" spans="2:13" x14ac:dyDescent="0.2">
      <c r="B53" s="237"/>
      <c r="C53" s="240" t="s">
        <v>319</v>
      </c>
      <c r="D53" s="240"/>
      <c r="E53" s="240"/>
      <c r="F53" s="240"/>
      <c r="G53" s="240"/>
      <c r="H53" s="226">
        <v>1</v>
      </c>
      <c r="I53" s="124">
        <v>22956.314999999999</v>
      </c>
      <c r="J53" s="272"/>
      <c r="K53" s="273"/>
      <c r="L53" s="239"/>
      <c r="M53" s="238"/>
    </row>
    <row r="54" spans="2:13" x14ac:dyDescent="0.2">
      <c r="B54" s="237"/>
      <c r="C54" s="240" t="s">
        <v>46</v>
      </c>
      <c r="D54" s="240"/>
      <c r="E54" s="240"/>
      <c r="F54" s="240"/>
      <c r="G54" s="240"/>
      <c r="H54" s="226">
        <v>1</v>
      </c>
      <c r="I54" s="124">
        <v>58574.451999999997</v>
      </c>
      <c r="J54" s="272"/>
      <c r="K54" s="273"/>
      <c r="L54" s="239"/>
      <c r="M54" s="238"/>
    </row>
    <row r="55" spans="2:13" ht="12.75" customHeight="1" x14ac:dyDescent="0.2">
      <c r="B55" s="237"/>
      <c r="C55" s="240"/>
      <c r="D55" s="239"/>
      <c r="E55" s="239"/>
      <c r="F55" s="239"/>
      <c r="G55" s="239"/>
      <c r="H55" s="239"/>
      <c r="I55" s="239"/>
      <c r="J55" s="239"/>
      <c r="K55" s="239"/>
      <c r="L55" s="239"/>
      <c r="M55" s="238"/>
    </row>
    <row r="56" spans="2:13" ht="12.75" customHeight="1" x14ac:dyDescent="0.2">
      <c r="B56" s="237"/>
      <c r="C56" s="240" t="s">
        <v>344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8"/>
    </row>
    <row r="57" spans="2:13" ht="5.0999999999999996" customHeight="1" x14ac:dyDescent="0.2">
      <c r="B57" s="237"/>
      <c r="C57" s="240"/>
      <c r="D57" s="239"/>
      <c r="E57" s="239"/>
      <c r="F57" s="239"/>
      <c r="G57" s="239"/>
      <c r="H57" s="239"/>
      <c r="I57" s="239"/>
      <c r="J57" s="239"/>
      <c r="K57" s="239"/>
      <c r="L57" s="239"/>
      <c r="M57" s="238"/>
    </row>
    <row r="58" spans="2:13" ht="12.75" customHeight="1" x14ac:dyDescent="0.2">
      <c r="B58" s="237"/>
      <c r="C58" s="240"/>
      <c r="D58" s="239"/>
      <c r="E58" s="239"/>
      <c r="F58" s="239"/>
      <c r="G58" s="239"/>
      <c r="H58" s="239"/>
      <c r="I58" s="242" t="s">
        <v>102</v>
      </c>
      <c r="J58" s="242"/>
      <c r="K58" s="239"/>
      <c r="L58" s="239"/>
      <c r="M58" s="238"/>
    </row>
    <row r="59" spans="2:13" x14ac:dyDescent="0.2">
      <c r="B59" s="237"/>
      <c r="C59" s="239"/>
      <c r="D59" s="239"/>
      <c r="E59" s="239"/>
      <c r="F59" s="239"/>
      <c r="G59" s="239"/>
      <c r="H59" s="243" t="s">
        <v>103</v>
      </c>
      <c r="I59" s="243" t="s">
        <v>54</v>
      </c>
      <c r="J59" s="274" t="s">
        <v>104</v>
      </c>
      <c r="K59" s="274"/>
      <c r="L59" s="239"/>
      <c r="M59" s="238"/>
    </row>
    <row r="60" spans="2:13" ht="5.0999999999999996" customHeight="1" x14ac:dyDescent="0.2">
      <c r="B60" s="237"/>
      <c r="C60" s="239"/>
      <c r="D60" s="239"/>
      <c r="E60" s="239"/>
      <c r="F60" s="239"/>
      <c r="G60" s="239"/>
      <c r="H60" s="244"/>
      <c r="I60" s="244"/>
      <c r="J60" s="244"/>
      <c r="K60" s="240"/>
      <c r="L60" s="239"/>
      <c r="M60" s="238"/>
    </row>
    <row r="61" spans="2:13" x14ac:dyDescent="0.2">
      <c r="B61" s="237"/>
      <c r="C61" s="240" t="s">
        <v>47</v>
      </c>
      <c r="D61" s="240"/>
      <c r="E61" s="240"/>
      <c r="F61" s="240"/>
      <c r="G61" s="240"/>
      <c r="H61" s="226">
        <v>397000</v>
      </c>
      <c r="I61" s="124"/>
      <c r="J61" s="270"/>
      <c r="K61" s="271"/>
      <c r="L61" s="239"/>
      <c r="M61" s="238"/>
    </row>
    <row r="62" spans="2:13" x14ac:dyDescent="0.2">
      <c r="B62" s="237"/>
      <c r="C62" s="240" t="s">
        <v>236</v>
      </c>
      <c r="D62" s="240"/>
      <c r="E62" s="240"/>
      <c r="F62" s="240"/>
      <c r="G62" s="240"/>
      <c r="H62" s="248">
        <v>0</v>
      </c>
      <c r="I62" s="130"/>
      <c r="J62" s="270" t="s">
        <v>299</v>
      </c>
      <c r="K62" s="271"/>
      <c r="L62" s="239"/>
      <c r="M62" s="238"/>
    </row>
    <row r="63" spans="2:13" x14ac:dyDescent="0.2">
      <c r="B63" s="237"/>
      <c r="C63" s="240" t="s">
        <v>48</v>
      </c>
      <c r="D63" s="240"/>
      <c r="E63" s="240"/>
      <c r="F63" s="240"/>
      <c r="G63" s="240"/>
      <c r="H63" s="248">
        <v>48.4</v>
      </c>
      <c r="I63" s="130"/>
      <c r="J63" s="244"/>
      <c r="K63" s="269"/>
      <c r="L63" s="239"/>
      <c r="M63" s="238"/>
    </row>
    <row r="64" spans="2:13" x14ac:dyDescent="0.2">
      <c r="B64" s="237"/>
      <c r="C64" s="240" t="s">
        <v>81</v>
      </c>
      <c r="D64" s="240"/>
      <c r="E64" s="240"/>
      <c r="F64" s="240"/>
      <c r="G64" s="240"/>
      <c r="H64" s="226">
        <v>30</v>
      </c>
      <c r="I64" s="124"/>
      <c r="J64" s="270"/>
      <c r="K64" s="271"/>
      <c r="L64" s="239"/>
      <c r="M64" s="238"/>
    </row>
    <row r="65" spans="2:13" x14ac:dyDescent="0.2">
      <c r="B65" s="237"/>
      <c r="C65" s="240" t="s">
        <v>80</v>
      </c>
      <c r="D65" s="240"/>
      <c r="E65" s="240"/>
      <c r="F65" s="240"/>
      <c r="G65" s="240"/>
      <c r="H65" s="226">
        <v>60</v>
      </c>
      <c r="I65" s="124"/>
      <c r="J65" s="270"/>
      <c r="K65" s="271"/>
      <c r="L65" s="239"/>
      <c r="M65" s="238"/>
    </row>
    <row r="66" spans="2:13" x14ac:dyDescent="0.2">
      <c r="B66" s="237"/>
      <c r="C66" s="240" t="s">
        <v>300</v>
      </c>
      <c r="D66" s="240"/>
      <c r="E66" s="240"/>
      <c r="F66" s="240"/>
      <c r="G66" s="240"/>
      <c r="H66" s="226">
        <v>1</v>
      </c>
      <c r="I66" s="124"/>
      <c r="J66" s="270" t="s">
        <v>301</v>
      </c>
      <c r="K66" s="271"/>
      <c r="L66" s="239"/>
      <c r="M66" s="238"/>
    </row>
    <row r="67" spans="2:13" x14ac:dyDescent="0.2">
      <c r="B67" s="237"/>
      <c r="C67" s="240" t="s">
        <v>255</v>
      </c>
      <c r="D67" s="240"/>
      <c r="E67" s="240"/>
      <c r="F67" s="240"/>
      <c r="G67" s="240"/>
      <c r="H67" s="247">
        <v>7.0000000000000007E-2</v>
      </c>
      <c r="I67" s="125"/>
      <c r="J67" s="244"/>
      <c r="K67" s="269"/>
      <c r="L67" s="239"/>
      <c r="M67" s="238"/>
    </row>
    <row r="68" spans="2:13" ht="5.0999999999999996" customHeight="1" thickBot="1" x14ac:dyDescent="0.25">
      <c r="B68" s="250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</row>
    <row r="69" spans="2:13" hidden="1" x14ac:dyDescent="0.2">
      <c r="C69" s="253" t="s">
        <v>237</v>
      </c>
    </row>
    <row r="70" spans="2:13" hidden="1" x14ac:dyDescent="0.2">
      <c r="C70" s="233" t="s">
        <v>233</v>
      </c>
      <c r="D70" s="254"/>
      <c r="E70" s="254"/>
      <c r="F70" s="254"/>
      <c r="G70" s="254"/>
      <c r="H70" s="255"/>
    </row>
    <row r="71" spans="2:13" hidden="1" x14ac:dyDescent="0.2">
      <c r="C71" s="233" t="s">
        <v>234</v>
      </c>
      <c r="H71" s="255"/>
    </row>
    <row r="72" spans="2:13" hidden="1" x14ac:dyDescent="0.2">
      <c r="C72" s="233" t="s">
        <v>235</v>
      </c>
      <c r="H72" s="255"/>
    </row>
    <row r="73" spans="2:13" hidden="1" x14ac:dyDescent="0.2">
      <c r="C73" s="233" t="s">
        <v>106</v>
      </c>
      <c r="H73" s="255"/>
    </row>
    <row r="74" spans="2:13" x14ac:dyDescent="0.2">
      <c r="H74" s="255"/>
    </row>
    <row r="75" spans="2:13" x14ac:dyDescent="0.2">
      <c r="H75" s="255"/>
    </row>
    <row r="76" spans="2:13" x14ac:dyDescent="0.2">
      <c r="H76" s="255"/>
    </row>
    <row r="77" spans="2:13" x14ac:dyDescent="0.2">
      <c r="H77" s="255"/>
    </row>
    <row r="78" spans="2:13" x14ac:dyDescent="0.2">
      <c r="H78" s="255"/>
    </row>
    <row r="79" spans="2:13" x14ac:dyDescent="0.2">
      <c r="H79" s="255"/>
    </row>
    <row r="80" spans="2:13" x14ac:dyDescent="0.2">
      <c r="H80" s="255"/>
    </row>
    <row r="81" spans="8:8" x14ac:dyDescent="0.2">
      <c r="H81" s="255"/>
    </row>
    <row r="82" spans="8:8" x14ac:dyDescent="0.2">
      <c r="H82" s="255"/>
    </row>
    <row r="83" spans="8:8" x14ac:dyDescent="0.2">
      <c r="H83" s="255"/>
    </row>
    <row r="84" spans="8:8" x14ac:dyDescent="0.2">
      <c r="H84" s="255"/>
    </row>
    <row r="85" spans="8:8" x14ac:dyDescent="0.2">
      <c r="H85" s="255"/>
    </row>
    <row r="86" spans="8:8" x14ac:dyDescent="0.2">
      <c r="H86" s="255"/>
    </row>
    <row r="87" spans="8:8" x14ac:dyDescent="0.2">
      <c r="H87" s="255"/>
    </row>
    <row r="88" spans="8:8" x14ac:dyDescent="0.2">
      <c r="H88" s="255"/>
    </row>
    <row r="89" spans="8:8" x14ac:dyDescent="0.2">
      <c r="H89" s="255"/>
    </row>
    <row r="90" spans="8:8" x14ac:dyDescent="0.2">
      <c r="H90" s="255"/>
    </row>
    <row r="91" spans="8:8" x14ac:dyDescent="0.2">
      <c r="H91" s="255"/>
    </row>
    <row r="92" spans="8:8" x14ac:dyDescent="0.2">
      <c r="H92" s="255"/>
    </row>
    <row r="93" spans="8:8" x14ac:dyDescent="0.2">
      <c r="H93" s="255"/>
    </row>
    <row r="94" spans="8:8" x14ac:dyDescent="0.2">
      <c r="H94" s="255"/>
    </row>
    <row r="95" spans="8:8" x14ac:dyDescent="0.2">
      <c r="H95" s="255"/>
    </row>
    <row r="96" spans="8:8" x14ac:dyDescent="0.2">
      <c r="H96" s="255"/>
    </row>
    <row r="97" spans="8:8" x14ac:dyDescent="0.2">
      <c r="H97" s="255"/>
    </row>
    <row r="98" spans="8:8" x14ac:dyDescent="0.2">
      <c r="H98" s="255"/>
    </row>
    <row r="99" spans="8:8" x14ac:dyDescent="0.2">
      <c r="H99" s="255"/>
    </row>
    <row r="100" spans="8:8" x14ac:dyDescent="0.2">
      <c r="H100" s="255"/>
    </row>
    <row r="101" spans="8:8" x14ac:dyDescent="0.2">
      <c r="H101" s="255"/>
    </row>
    <row r="102" spans="8:8" x14ac:dyDescent="0.2">
      <c r="H102" s="255"/>
    </row>
    <row r="103" spans="8:8" x14ac:dyDescent="0.2">
      <c r="H103" s="255"/>
    </row>
    <row r="104" spans="8:8" x14ac:dyDescent="0.2">
      <c r="H104" s="255"/>
    </row>
    <row r="105" spans="8:8" x14ac:dyDescent="0.2">
      <c r="H105" s="255"/>
    </row>
    <row r="106" spans="8:8" x14ac:dyDescent="0.2">
      <c r="H106" s="255"/>
    </row>
    <row r="107" spans="8:8" x14ac:dyDescent="0.2">
      <c r="H107" s="255"/>
    </row>
    <row r="108" spans="8:8" x14ac:dyDescent="0.2">
      <c r="H108" s="255"/>
    </row>
    <row r="109" spans="8:8" x14ac:dyDescent="0.2">
      <c r="H109" s="255"/>
    </row>
    <row r="110" spans="8:8" x14ac:dyDescent="0.2">
      <c r="H110" s="255"/>
    </row>
    <row r="111" spans="8:8" x14ac:dyDescent="0.2">
      <c r="H111" s="255"/>
    </row>
    <row r="112" spans="8:8" x14ac:dyDescent="0.2">
      <c r="H112" s="255"/>
    </row>
    <row r="113" spans="8:8" x14ac:dyDescent="0.2">
      <c r="H113" s="255"/>
    </row>
    <row r="114" spans="8:8" x14ac:dyDescent="0.2">
      <c r="H114" s="255"/>
    </row>
    <row r="115" spans="8:8" x14ac:dyDescent="0.2">
      <c r="H115" s="255"/>
    </row>
    <row r="116" spans="8:8" x14ac:dyDescent="0.2">
      <c r="H116" s="255"/>
    </row>
    <row r="117" spans="8:8" x14ac:dyDescent="0.2">
      <c r="H117" s="255"/>
    </row>
    <row r="118" spans="8:8" x14ac:dyDescent="0.2">
      <c r="H118" s="255"/>
    </row>
    <row r="119" spans="8:8" x14ac:dyDescent="0.2">
      <c r="H119" s="255"/>
    </row>
    <row r="120" spans="8:8" x14ac:dyDescent="0.2">
      <c r="H120" s="255"/>
    </row>
    <row r="121" spans="8:8" x14ac:dyDescent="0.2">
      <c r="H121" s="255"/>
    </row>
    <row r="122" spans="8:8" x14ac:dyDescent="0.2">
      <c r="H122" s="255"/>
    </row>
    <row r="123" spans="8:8" x14ac:dyDescent="0.2">
      <c r="H123" s="255"/>
    </row>
    <row r="124" spans="8:8" x14ac:dyDescent="0.2">
      <c r="H124" s="255"/>
    </row>
    <row r="125" spans="8:8" x14ac:dyDescent="0.2">
      <c r="H125" s="255"/>
    </row>
    <row r="126" spans="8:8" x14ac:dyDescent="0.2">
      <c r="H126" s="255"/>
    </row>
    <row r="127" spans="8:8" x14ac:dyDescent="0.2">
      <c r="H127" s="255"/>
    </row>
    <row r="128" spans="8:8" x14ac:dyDescent="0.2">
      <c r="H128" s="255"/>
    </row>
    <row r="129" spans="8:8" x14ac:dyDescent="0.2">
      <c r="H129" s="255"/>
    </row>
    <row r="130" spans="8:8" x14ac:dyDescent="0.2">
      <c r="H130" s="255"/>
    </row>
    <row r="131" spans="8:8" x14ac:dyDescent="0.2">
      <c r="H131" s="255"/>
    </row>
    <row r="132" spans="8:8" x14ac:dyDescent="0.2">
      <c r="H132" s="255"/>
    </row>
    <row r="133" spans="8:8" x14ac:dyDescent="0.2">
      <c r="H133" s="255"/>
    </row>
    <row r="134" spans="8:8" x14ac:dyDescent="0.2">
      <c r="H134" s="255"/>
    </row>
    <row r="135" spans="8:8" x14ac:dyDescent="0.2">
      <c r="H135" s="255"/>
    </row>
    <row r="136" spans="8:8" x14ac:dyDescent="0.2">
      <c r="H136" s="255"/>
    </row>
    <row r="137" spans="8:8" x14ac:dyDescent="0.2">
      <c r="H137" s="255"/>
    </row>
    <row r="138" spans="8:8" x14ac:dyDescent="0.2">
      <c r="H138" s="255"/>
    </row>
    <row r="139" spans="8:8" x14ac:dyDescent="0.2">
      <c r="H139" s="255"/>
    </row>
    <row r="140" spans="8:8" x14ac:dyDescent="0.2">
      <c r="H140" s="255"/>
    </row>
    <row r="141" spans="8:8" x14ac:dyDescent="0.2">
      <c r="H141" s="255"/>
    </row>
    <row r="142" spans="8:8" x14ac:dyDescent="0.2">
      <c r="H142" s="255"/>
    </row>
    <row r="143" spans="8:8" x14ac:dyDescent="0.2">
      <c r="H143" s="255"/>
    </row>
    <row r="144" spans="8:8" x14ac:dyDescent="0.2">
      <c r="H144" s="255"/>
    </row>
    <row r="145" spans="8:8" x14ac:dyDescent="0.2">
      <c r="H145" s="255"/>
    </row>
    <row r="146" spans="8:8" x14ac:dyDescent="0.2">
      <c r="H146" s="255"/>
    </row>
    <row r="147" spans="8:8" x14ac:dyDescent="0.2">
      <c r="H147" s="255"/>
    </row>
    <row r="148" spans="8:8" x14ac:dyDescent="0.2">
      <c r="H148" s="255"/>
    </row>
    <row r="149" spans="8:8" x14ac:dyDescent="0.2">
      <c r="H149" s="255"/>
    </row>
    <row r="150" spans="8:8" x14ac:dyDescent="0.2">
      <c r="H150" s="255"/>
    </row>
    <row r="151" spans="8:8" x14ac:dyDescent="0.2">
      <c r="H151" s="255"/>
    </row>
    <row r="152" spans="8:8" x14ac:dyDescent="0.2">
      <c r="H152" s="255"/>
    </row>
    <row r="153" spans="8:8" x14ac:dyDescent="0.2">
      <c r="H153" s="255"/>
    </row>
    <row r="154" spans="8:8" x14ac:dyDescent="0.2">
      <c r="H154" s="255"/>
    </row>
    <row r="155" spans="8:8" x14ac:dyDescent="0.2">
      <c r="H155" s="255"/>
    </row>
    <row r="156" spans="8:8" x14ac:dyDescent="0.2">
      <c r="H156" s="255"/>
    </row>
    <row r="157" spans="8:8" x14ac:dyDescent="0.2">
      <c r="H157" s="255"/>
    </row>
    <row r="158" spans="8:8" x14ac:dyDescent="0.2">
      <c r="H158" s="255"/>
    </row>
    <row r="159" spans="8:8" x14ac:dyDescent="0.2">
      <c r="H159" s="255"/>
    </row>
    <row r="160" spans="8:8" x14ac:dyDescent="0.2">
      <c r="H160" s="255"/>
    </row>
    <row r="161" spans="8:8" x14ac:dyDescent="0.2">
      <c r="H161" s="255"/>
    </row>
    <row r="162" spans="8:8" x14ac:dyDescent="0.2">
      <c r="H162" s="255"/>
    </row>
    <row r="163" spans="8:8" x14ac:dyDescent="0.2">
      <c r="H163" s="255"/>
    </row>
    <row r="164" spans="8:8" x14ac:dyDescent="0.2">
      <c r="H164" s="255"/>
    </row>
    <row r="165" spans="8:8" x14ac:dyDescent="0.2">
      <c r="H165" s="255"/>
    </row>
    <row r="166" spans="8:8" x14ac:dyDescent="0.2">
      <c r="H166" s="255"/>
    </row>
    <row r="167" spans="8:8" x14ac:dyDescent="0.2">
      <c r="H167" s="255"/>
    </row>
    <row r="168" spans="8:8" x14ac:dyDescent="0.2">
      <c r="H168" s="255"/>
    </row>
    <row r="169" spans="8:8" x14ac:dyDescent="0.2">
      <c r="H169" s="255"/>
    </row>
    <row r="170" spans="8:8" x14ac:dyDescent="0.2">
      <c r="H170" s="255"/>
    </row>
    <row r="171" spans="8:8" x14ac:dyDescent="0.2">
      <c r="H171" s="255"/>
    </row>
    <row r="172" spans="8:8" x14ac:dyDescent="0.2">
      <c r="H172" s="255"/>
    </row>
    <row r="173" spans="8:8" x14ac:dyDescent="0.2">
      <c r="H173" s="255"/>
    </row>
    <row r="174" spans="8:8" x14ac:dyDescent="0.2">
      <c r="H174" s="255"/>
    </row>
    <row r="175" spans="8:8" x14ac:dyDescent="0.2">
      <c r="H175" s="255"/>
    </row>
    <row r="176" spans="8:8" x14ac:dyDescent="0.2">
      <c r="H176" s="255"/>
    </row>
    <row r="177" spans="8:8" x14ac:dyDescent="0.2">
      <c r="H177" s="255"/>
    </row>
    <row r="178" spans="8:8" x14ac:dyDescent="0.2">
      <c r="H178" s="255"/>
    </row>
    <row r="179" spans="8:8" x14ac:dyDescent="0.2">
      <c r="H179" s="255"/>
    </row>
    <row r="180" spans="8:8" x14ac:dyDescent="0.2">
      <c r="H180" s="255"/>
    </row>
    <row r="181" spans="8:8" x14ac:dyDescent="0.2">
      <c r="H181" s="255"/>
    </row>
    <row r="182" spans="8:8" x14ac:dyDescent="0.2">
      <c r="H182" s="255"/>
    </row>
    <row r="183" spans="8:8" x14ac:dyDescent="0.2">
      <c r="H183" s="255"/>
    </row>
    <row r="184" spans="8:8" x14ac:dyDescent="0.2">
      <c r="H184" s="255"/>
    </row>
    <row r="185" spans="8:8" x14ac:dyDescent="0.2">
      <c r="H185" s="255"/>
    </row>
    <row r="186" spans="8:8" x14ac:dyDescent="0.2">
      <c r="H186" s="255"/>
    </row>
    <row r="187" spans="8:8" x14ac:dyDescent="0.2">
      <c r="H187" s="255"/>
    </row>
    <row r="188" spans="8:8" x14ac:dyDescent="0.2">
      <c r="H188" s="255"/>
    </row>
    <row r="189" spans="8:8" x14ac:dyDescent="0.2">
      <c r="H189" s="255"/>
    </row>
    <row r="190" spans="8:8" x14ac:dyDescent="0.2">
      <c r="H190" s="255"/>
    </row>
    <row r="191" spans="8:8" x14ac:dyDescent="0.2">
      <c r="H191" s="255"/>
    </row>
    <row r="192" spans="8:8" x14ac:dyDescent="0.2">
      <c r="H192" s="255"/>
    </row>
    <row r="193" spans="8:17" x14ac:dyDescent="0.2">
      <c r="H193" s="255"/>
    </row>
    <row r="194" spans="8:17" x14ac:dyDescent="0.2">
      <c r="H194" s="255"/>
    </row>
    <row r="195" spans="8:17" x14ac:dyDescent="0.2">
      <c r="H195" s="255"/>
    </row>
    <row r="196" spans="8:17" x14ac:dyDescent="0.2">
      <c r="H196" s="255"/>
    </row>
    <row r="198" spans="8:17" x14ac:dyDescent="0.2">
      <c r="Q198" s="254"/>
    </row>
  </sheetData>
  <sheetProtection sheet="1" objects="1" scenarios="1"/>
  <mergeCells count="29">
    <mergeCell ref="C3:L3"/>
    <mergeCell ref="C4:L4"/>
    <mergeCell ref="C5:L5"/>
    <mergeCell ref="D12:K12"/>
    <mergeCell ref="D17:K17"/>
    <mergeCell ref="D18:K18"/>
    <mergeCell ref="D20:K20"/>
    <mergeCell ref="G24:J24"/>
    <mergeCell ref="D19:K19"/>
    <mergeCell ref="D13:K13"/>
    <mergeCell ref="D14:K14"/>
    <mergeCell ref="D15:K15"/>
    <mergeCell ref="D16:K16"/>
    <mergeCell ref="J44:K44"/>
    <mergeCell ref="J59:K59"/>
    <mergeCell ref="J46:K46"/>
    <mergeCell ref="J47:K47"/>
    <mergeCell ref="J48:K48"/>
    <mergeCell ref="J49:K49"/>
    <mergeCell ref="J50:K50"/>
    <mergeCell ref="J51:K51"/>
    <mergeCell ref="J52:K52"/>
    <mergeCell ref="J53:K53"/>
    <mergeCell ref="J65:K65"/>
    <mergeCell ref="J66:K66"/>
    <mergeCell ref="J54:K54"/>
    <mergeCell ref="J61:K61"/>
    <mergeCell ref="J62:K62"/>
    <mergeCell ref="J64:K64"/>
  </mergeCells>
  <phoneticPr fontId="2" type="noConversion"/>
  <dataValidations count="1">
    <dataValidation type="list" allowBlank="1" showInputMessage="1" showErrorMessage="1" sqref="G24:J24">
      <formula1>$C70:$C73</formula1>
    </dataValidation>
  </dataValidations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35" r:id="rId4" name="CommandButton2">
          <controlPr defaultSize="0" autoLine="0" r:id="rId5">
            <anchor moveWithCells="1">
              <from>
                <xdr:col>11</xdr:col>
                <xdr:colOff>180975</xdr:colOff>
                <xdr:row>6</xdr:row>
                <xdr:rowOff>95250</xdr:rowOff>
              </from>
              <to>
                <xdr:col>11</xdr:col>
                <xdr:colOff>733425</xdr:colOff>
                <xdr:row>10</xdr:row>
                <xdr:rowOff>76200</xdr:rowOff>
              </to>
            </anchor>
          </controlPr>
        </control>
      </mc:Choice>
      <mc:Fallback>
        <control shapeId="5135" r:id="rId4" name="CommandButton2"/>
      </mc:Fallback>
    </mc:AlternateContent>
    <mc:AlternateContent xmlns:mc="http://schemas.openxmlformats.org/markup-compatibility/2006">
      <mc:Choice Requires="x14">
        <control shapeId="5123" r:id="rId6" name="CommandButton1">
          <controlPr defaultSize="0" autoLine="0" r:id="rId7">
            <anchor moveWithCells="1">
              <from>
                <xdr:col>11</xdr:col>
                <xdr:colOff>180975</xdr:colOff>
                <xdr:row>11</xdr:row>
                <xdr:rowOff>38100</xdr:rowOff>
              </from>
              <to>
                <xdr:col>11</xdr:col>
                <xdr:colOff>733425</xdr:colOff>
                <xdr:row>14</xdr:row>
                <xdr:rowOff>76200</xdr:rowOff>
              </to>
            </anchor>
          </controlPr>
        </control>
      </mc:Choice>
      <mc:Fallback>
        <control shapeId="5123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R169"/>
  <sheetViews>
    <sheetView showRowColHeaders="0" workbookViewId="0">
      <selection activeCell="B2" sqref="B2"/>
    </sheetView>
  </sheetViews>
  <sheetFormatPr defaultRowHeight="12.75" x14ac:dyDescent="0.2"/>
  <cols>
    <col min="1" max="2" width="1.7109375" style="233" customWidth="1"/>
    <col min="3" max="3" width="6.7109375" style="233" customWidth="1"/>
    <col min="4" max="5" width="10.7109375" style="233" customWidth="1"/>
    <col min="6" max="7" width="12.7109375" style="233" customWidth="1"/>
    <col min="8" max="8" width="6.7109375" style="233" customWidth="1"/>
    <col min="9" max="10" width="10.7109375" style="233" customWidth="1"/>
    <col min="11" max="12" width="12.7109375" style="233" customWidth="1"/>
    <col min="13" max="13" width="12" style="233" customWidth="1"/>
    <col min="14" max="14" width="1.7109375" style="233" customWidth="1"/>
    <col min="15" max="16384" width="9.140625" style="233"/>
  </cols>
  <sheetData>
    <row r="1" spans="2:14" ht="5.0999999999999996" customHeight="1" thickBot="1" x14ac:dyDescent="0.25"/>
    <row r="2" spans="2:14" ht="5.0999999999999996" customHeight="1" x14ac:dyDescent="0.2"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2:14" ht="15.75" x14ac:dyDescent="0.25">
      <c r="B3" s="237"/>
      <c r="C3" s="280" t="s">
        <v>99</v>
      </c>
      <c r="D3" s="281"/>
      <c r="E3" s="281"/>
      <c r="F3" s="281"/>
      <c r="G3" s="281"/>
      <c r="H3" s="281"/>
      <c r="I3" s="280"/>
      <c r="J3" s="280"/>
      <c r="K3" s="280"/>
      <c r="L3" s="280"/>
      <c r="M3" s="280"/>
      <c r="N3" s="238"/>
    </row>
    <row r="4" spans="2:14" ht="15.75" x14ac:dyDescent="0.25">
      <c r="B4" s="237"/>
      <c r="C4" s="280" t="s">
        <v>100</v>
      </c>
      <c r="D4" s="281"/>
      <c r="E4" s="281"/>
      <c r="F4" s="281"/>
      <c r="G4" s="281"/>
      <c r="H4" s="281"/>
      <c r="I4" s="280"/>
      <c r="J4" s="280"/>
      <c r="K4" s="280"/>
      <c r="L4" s="280"/>
      <c r="M4" s="280"/>
      <c r="N4" s="238"/>
    </row>
    <row r="5" spans="2:14" ht="15.75" x14ac:dyDescent="0.25">
      <c r="B5" s="237"/>
      <c r="C5" s="280" t="s">
        <v>347</v>
      </c>
      <c r="D5" s="281"/>
      <c r="E5" s="281"/>
      <c r="F5" s="281"/>
      <c r="G5" s="281"/>
      <c r="H5" s="281"/>
      <c r="I5" s="280"/>
      <c r="J5" s="280"/>
      <c r="K5" s="280"/>
      <c r="L5" s="280"/>
      <c r="M5" s="280"/>
      <c r="N5" s="238"/>
    </row>
    <row r="6" spans="2:14" x14ac:dyDescent="0.2">
      <c r="B6" s="23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8"/>
    </row>
    <row r="7" spans="2:14" x14ac:dyDescent="0.2">
      <c r="B7" s="237"/>
      <c r="C7" s="240" t="s">
        <v>349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8"/>
    </row>
    <row r="8" spans="2:14" ht="5.0999999999999996" customHeight="1" x14ac:dyDescent="0.2">
      <c r="B8" s="237"/>
      <c r="C8" s="240"/>
      <c r="D8" s="239"/>
      <c r="E8" s="239"/>
      <c r="F8" s="239"/>
      <c r="G8" s="239"/>
      <c r="H8" s="239"/>
      <c r="I8" s="239"/>
      <c r="J8" s="239"/>
      <c r="K8" s="239"/>
      <c r="L8" s="241"/>
      <c r="M8" s="239"/>
      <c r="N8" s="238"/>
    </row>
    <row r="9" spans="2:14" ht="12.75" customHeight="1" x14ac:dyDescent="0.2">
      <c r="B9" s="237"/>
      <c r="C9" s="240"/>
      <c r="D9" s="282" t="s">
        <v>3</v>
      </c>
      <c r="E9" s="282"/>
      <c r="F9" s="282" t="s">
        <v>253</v>
      </c>
      <c r="G9" s="282"/>
      <c r="H9" s="242"/>
      <c r="I9" s="282" t="s">
        <v>3</v>
      </c>
      <c r="J9" s="282"/>
      <c r="K9" s="282" t="s">
        <v>253</v>
      </c>
      <c r="L9" s="282"/>
      <c r="M9" s="239"/>
      <c r="N9" s="238"/>
    </row>
    <row r="10" spans="2:14" x14ac:dyDescent="0.2">
      <c r="B10" s="237"/>
      <c r="C10" s="239"/>
      <c r="D10" s="243" t="s">
        <v>244</v>
      </c>
      <c r="E10" s="243" t="s">
        <v>245</v>
      </c>
      <c r="F10" s="243" t="s">
        <v>103</v>
      </c>
      <c r="G10" s="243" t="s">
        <v>102</v>
      </c>
      <c r="H10" s="242"/>
      <c r="I10" s="243" t="s">
        <v>244</v>
      </c>
      <c r="J10" s="243" t="s">
        <v>245</v>
      </c>
      <c r="K10" s="243" t="s">
        <v>103</v>
      </c>
      <c r="L10" s="243" t="s">
        <v>102</v>
      </c>
      <c r="M10" s="239"/>
      <c r="N10" s="238"/>
    </row>
    <row r="11" spans="2:14" ht="5.0999999999999996" customHeight="1" x14ac:dyDescent="0.2">
      <c r="B11" s="237"/>
      <c r="C11" s="239"/>
      <c r="D11" s="242"/>
      <c r="E11" s="244"/>
      <c r="F11" s="244"/>
      <c r="G11" s="244"/>
      <c r="H11" s="242"/>
      <c r="I11" s="242"/>
      <c r="J11" s="244"/>
      <c r="K11" s="244"/>
      <c r="L11" s="244"/>
      <c r="M11" s="239"/>
      <c r="N11" s="238"/>
    </row>
    <row r="12" spans="2:14" x14ac:dyDescent="0.2">
      <c r="B12" s="237"/>
      <c r="C12" s="240"/>
      <c r="D12" s="245">
        <v>0</v>
      </c>
      <c r="E12" s="245">
        <v>35000</v>
      </c>
      <c r="F12" s="246">
        <f>IF(Inputs!$G$24="Bus",0.158991722811707,0)</f>
        <v>0.15899172281170701</v>
      </c>
      <c r="G12" s="132"/>
      <c r="H12" s="242"/>
      <c r="I12" s="245">
        <f>E26</f>
        <v>525000</v>
      </c>
      <c r="J12" s="245">
        <v>560000</v>
      </c>
      <c r="K12" s="246">
        <f>IF(Inputs!$G$24="Bus",0.692589096171615,0)</f>
        <v>0.69258909617161502</v>
      </c>
      <c r="L12" s="132"/>
      <c r="M12" s="239"/>
      <c r="N12" s="238"/>
    </row>
    <row r="13" spans="2:14" x14ac:dyDescent="0.2">
      <c r="B13" s="237"/>
      <c r="C13" s="240"/>
      <c r="D13" s="245">
        <f>E12</f>
        <v>35000</v>
      </c>
      <c r="E13" s="245">
        <v>70000</v>
      </c>
      <c r="F13" s="246">
        <f>IF(Inputs!$G$24="Bus",0.373327315373453,0)</f>
        <v>0.37332731537345298</v>
      </c>
      <c r="G13" s="132"/>
      <c r="H13" s="242"/>
      <c r="I13" s="245">
        <f>J12</f>
        <v>560000</v>
      </c>
      <c r="J13" s="245">
        <v>595000</v>
      </c>
      <c r="K13" s="246">
        <f>IF(Inputs!$G$24="Bus",0.704166159551995,0)</f>
        <v>0.70416615955199502</v>
      </c>
      <c r="L13" s="132"/>
      <c r="M13" s="239"/>
      <c r="N13" s="238"/>
    </row>
    <row r="14" spans="2:14" x14ac:dyDescent="0.2">
      <c r="B14" s="237"/>
      <c r="C14" s="240"/>
      <c r="D14" s="245">
        <f t="shared" ref="D14:D26" si="0">E13</f>
        <v>70000</v>
      </c>
      <c r="E14" s="245">
        <v>105000</v>
      </c>
      <c r="F14" s="246">
        <f>IF(Inputs!$G$24="Bus",0.521139233863795,0)</f>
        <v>0.52113923386379502</v>
      </c>
      <c r="G14" s="132"/>
      <c r="H14" s="242"/>
      <c r="I14" s="245">
        <f t="shared" ref="I14:I26" si="1">J13</f>
        <v>595000</v>
      </c>
      <c r="J14" s="245">
        <v>630000</v>
      </c>
      <c r="K14" s="246">
        <f>IF(Inputs!$G$24="Bus",0.718158673708854,0)</f>
        <v>0.718158673708854</v>
      </c>
      <c r="L14" s="132"/>
      <c r="M14" s="239"/>
      <c r="N14" s="238"/>
    </row>
    <row r="15" spans="2:14" x14ac:dyDescent="0.2">
      <c r="B15" s="237"/>
      <c r="C15" s="240"/>
      <c r="D15" s="245">
        <f t="shared" si="0"/>
        <v>105000</v>
      </c>
      <c r="E15" s="245">
        <v>140000</v>
      </c>
      <c r="F15" s="246">
        <f>IF(Inputs!$G$24="Bus",0.594814011812456,0)</f>
        <v>0.59481401181245597</v>
      </c>
      <c r="G15" s="132"/>
      <c r="H15" s="242"/>
      <c r="I15" s="245">
        <f t="shared" si="1"/>
        <v>630000</v>
      </c>
      <c r="J15" s="245">
        <v>665000</v>
      </c>
      <c r="K15" s="246">
        <f>IF(Inputs!$G$24="Bus",0.734447221511808,0)</f>
        <v>0.73444722151180797</v>
      </c>
      <c r="L15" s="132"/>
      <c r="M15" s="239"/>
      <c r="N15" s="238"/>
    </row>
    <row r="16" spans="2:14" x14ac:dyDescent="0.2">
      <c r="B16" s="237"/>
      <c r="C16" s="240"/>
      <c r="D16" s="245">
        <f t="shared" si="0"/>
        <v>140000</v>
      </c>
      <c r="E16" s="245">
        <v>175000</v>
      </c>
      <c r="F16" s="246">
        <f>IF(Inputs!$G$24="Bus",0.627501332157651,0)</f>
        <v>0.62750133215765103</v>
      </c>
      <c r="G16" s="132"/>
      <c r="H16" s="242"/>
      <c r="I16" s="245">
        <f t="shared" si="1"/>
        <v>665000</v>
      </c>
      <c r="J16" s="245">
        <v>700000</v>
      </c>
      <c r="K16" s="246">
        <f>IF(Inputs!$G$24="Bus",0.752659906353446,0)</f>
        <v>0.75265990635344604</v>
      </c>
      <c r="L16" s="132"/>
      <c r="M16" s="239"/>
      <c r="N16" s="238"/>
    </row>
    <row r="17" spans="2:14" x14ac:dyDescent="0.2">
      <c r="B17" s="237"/>
      <c r="C17" s="240"/>
      <c r="D17" s="245">
        <f t="shared" si="0"/>
        <v>175000</v>
      </c>
      <c r="E17" s="245">
        <v>210000</v>
      </c>
      <c r="F17" s="246">
        <f>IF(Inputs!$G$24="Bus",0.641612770295223,0)</f>
        <v>0.64161277029522301</v>
      </c>
      <c r="G17" s="132"/>
      <c r="H17" s="242"/>
      <c r="I17" s="245">
        <f t="shared" si="1"/>
        <v>700000</v>
      </c>
      <c r="J17" s="245">
        <v>735000</v>
      </c>
      <c r="K17" s="246">
        <f>IF(Inputs!$G$24="Bus",0.772132014767538,0)</f>
        <v>0.77213201476753801</v>
      </c>
      <c r="L17" s="132"/>
      <c r="M17" s="239"/>
      <c r="N17" s="238"/>
    </row>
    <row r="18" spans="2:14" x14ac:dyDescent="0.2">
      <c r="B18" s="237"/>
      <c r="C18" s="240"/>
      <c r="D18" s="245">
        <f t="shared" si="0"/>
        <v>210000</v>
      </c>
      <c r="E18" s="245">
        <v>245000</v>
      </c>
      <c r="F18" s="246">
        <f>IF(Inputs!$G$24="Bus",0.648354720004888,0)</f>
        <v>0.64835472000488803</v>
      </c>
      <c r="G18" s="132"/>
      <c r="H18" s="242"/>
      <c r="I18" s="245">
        <f t="shared" si="1"/>
        <v>735000</v>
      </c>
      <c r="J18" s="245">
        <v>770000</v>
      </c>
      <c r="K18" s="246">
        <f>IF(Inputs!$G$24="Bus",0.79187968331879,0)</f>
        <v>0.79187968331879</v>
      </c>
      <c r="L18" s="132"/>
      <c r="M18" s="239"/>
      <c r="N18" s="238"/>
    </row>
    <row r="19" spans="2:14" x14ac:dyDescent="0.2">
      <c r="B19" s="237"/>
      <c r="C19" s="240"/>
      <c r="D19" s="245">
        <f t="shared" si="0"/>
        <v>245000</v>
      </c>
      <c r="E19" s="245">
        <v>280000</v>
      </c>
      <c r="F19" s="246">
        <f>IF(Inputs!$G$24="Bus",0.652614138282429,0)</f>
        <v>0.65261413828242898</v>
      </c>
      <c r="G19" s="132"/>
      <c r="H19" s="242"/>
      <c r="I19" s="245">
        <f t="shared" si="1"/>
        <v>770000</v>
      </c>
      <c r="J19" s="245">
        <v>805000</v>
      </c>
      <c r="K19" s="246">
        <f>IF(Inputs!$G$24="Bus",0.81060127345571,0)</f>
        <v>0.81060127345570998</v>
      </c>
      <c r="L19" s="132"/>
      <c r="M19" s="239"/>
      <c r="N19" s="238"/>
    </row>
    <row r="20" spans="2:14" x14ac:dyDescent="0.2">
      <c r="B20" s="237"/>
      <c r="C20" s="240"/>
      <c r="D20" s="245">
        <f t="shared" si="0"/>
        <v>280000</v>
      </c>
      <c r="E20" s="245">
        <v>315000</v>
      </c>
      <c r="F20" s="246">
        <f>IF(Inputs!$G$24="Bus",0.656155369772874,0)</f>
        <v>0.65615536977287403</v>
      </c>
      <c r="G20" s="132"/>
      <c r="H20" s="242"/>
      <c r="I20" s="245">
        <f t="shared" si="1"/>
        <v>805000</v>
      </c>
      <c r="J20" s="245">
        <v>840000</v>
      </c>
      <c r="K20" s="246">
        <f>IF(Inputs!$G$24="Bus",0.82672120626999,0)</f>
        <v>0.82672120626999002</v>
      </c>
      <c r="L20" s="132"/>
      <c r="M20" s="239"/>
      <c r="N20" s="238"/>
    </row>
    <row r="21" spans="2:14" x14ac:dyDescent="0.2">
      <c r="B21" s="237"/>
      <c r="C21" s="240"/>
      <c r="D21" s="245">
        <f t="shared" si="0"/>
        <v>315000</v>
      </c>
      <c r="E21" s="245">
        <v>350000</v>
      </c>
      <c r="F21" s="246">
        <f>IF(Inputs!$G$24="Bus",0.659476510438738,0)</f>
        <v>0.65947651043873801</v>
      </c>
      <c r="G21" s="132"/>
      <c r="H21" s="242"/>
      <c r="I21" s="245">
        <f t="shared" si="1"/>
        <v>840000</v>
      </c>
      <c r="J21" s="245">
        <v>875000</v>
      </c>
      <c r="K21" s="246">
        <f>IF(Inputs!$G$24="Bus",0.838487681626975,0)</f>
        <v>0.83848768162697496</v>
      </c>
      <c r="L21" s="132"/>
      <c r="M21" s="239"/>
      <c r="N21" s="238"/>
    </row>
    <row r="22" spans="2:14" x14ac:dyDescent="0.2">
      <c r="B22" s="237"/>
      <c r="C22" s="240"/>
      <c r="D22" s="245">
        <f t="shared" si="0"/>
        <v>350000</v>
      </c>
      <c r="E22" s="245">
        <v>385000</v>
      </c>
      <c r="F22" s="246">
        <f>IF(Inputs!$G$24="Bus",0.662781693149278,0)</f>
        <v>0.66278169314927804</v>
      </c>
      <c r="G22" s="132"/>
      <c r="H22" s="242"/>
      <c r="I22" s="245">
        <f t="shared" si="1"/>
        <v>875000</v>
      </c>
      <c r="J22" s="245">
        <v>910000</v>
      </c>
      <c r="K22" s="246">
        <f>IF(Inputs!$G$24="Bus",0.838487681626975,0)</f>
        <v>0.83848768162697496</v>
      </c>
      <c r="L22" s="132"/>
      <c r="M22" s="239"/>
      <c r="N22" s="238"/>
    </row>
    <row r="23" spans="2:14" x14ac:dyDescent="0.2">
      <c r="B23" s="237"/>
      <c r="C23" s="240"/>
      <c r="D23" s="245">
        <f t="shared" si="0"/>
        <v>385000</v>
      </c>
      <c r="E23" s="245">
        <v>420000</v>
      </c>
      <c r="F23" s="246">
        <f>IF(Inputs!$G$24="Bus",0.666363792828946,0)</f>
        <v>0.66636379282894598</v>
      </c>
      <c r="G23" s="132"/>
      <c r="H23" s="242"/>
      <c r="I23" s="245">
        <f t="shared" si="1"/>
        <v>910000</v>
      </c>
      <c r="J23" s="245">
        <v>945000</v>
      </c>
      <c r="K23" s="246">
        <f>IF(Inputs!$G$24="Bus",0.838487681626975,0)</f>
        <v>0.83848768162697496</v>
      </c>
      <c r="L23" s="132"/>
      <c r="M23" s="239"/>
      <c r="N23" s="238"/>
    </row>
    <row r="24" spans="2:14" x14ac:dyDescent="0.2">
      <c r="B24" s="237"/>
      <c r="C24" s="240"/>
      <c r="D24" s="245">
        <f t="shared" si="0"/>
        <v>420000</v>
      </c>
      <c r="E24" s="245">
        <v>455000</v>
      </c>
      <c r="F24" s="246">
        <f>IF(Inputs!$G$24="Bus",0.670656089337205,0)</f>
        <v>0.670656089337205</v>
      </c>
      <c r="G24" s="132"/>
      <c r="H24" s="242"/>
      <c r="I24" s="245">
        <f t="shared" si="1"/>
        <v>945000</v>
      </c>
      <c r="J24" s="245">
        <v>980000</v>
      </c>
      <c r="K24" s="246">
        <f>IF(Inputs!$G$24="Bus",0.838487681626975,0)</f>
        <v>0.83848768162697496</v>
      </c>
      <c r="L24" s="132"/>
      <c r="M24" s="239"/>
      <c r="N24" s="238"/>
    </row>
    <row r="25" spans="2:14" x14ac:dyDescent="0.2">
      <c r="B25" s="237"/>
      <c r="C25" s="240"/>
      <c r="D25" s="245">
        <f t="shared" si="0"/>
        <v>455000</v>
      </c>
      <c r="E25" s="245">
        <v>490000</v>
      </c>
      <c r="F25" s="246">
        <f>IF(Inputs!$G$24="Bus",0.676156233086216,0)</f>
        <v>0.67615623308621597</v>
      </c>
      <c r="G25" s="132"/>
      <c r="H25" s="242"/>
      <c r="I25" s="245">
        <f t="shared" si="1"/>
        <v>980000</v>
      </c>
      <c r="J25" s="245">
        <v>1015000</v>
      </c>
      <c r="K25" s="246">
        <f>IF(Inputs!$G$24="Bus",0.838487681626975,0)</f>
        <v>0.83848768162697496</v>
      </c>
      <c r="L25" s="132"/>
      <c r="M25" s="239"/>
      <c r="N25" s="238"/>
    </row>
    <row r="26" spans="2:14" x14ac:dyDescent="0.2">
      <c r="B26" s="237"/>
      <c r="C26" s="240"/>
      <c r="D26" s="245">
        <f t="shared" si="0"/>
        <v>490000</v>
      </c>
      <c r="E26" s="245">
        <v>525000</v>
      </c>
      <c r="F26" s="246">
        <f>IF(Inputs!$G$24="Bus",0.683338177338452,0)</f>
        <v>0.68333817733845204</v>
      </c>
      <c r="G26" s="132"/>
      <c r="H26" s="242"/>
      <c r="I26" s="245">
        <f t="shared" si="1"/>
        <v>1015000</v>
      </c>
      <c r="J26" s="245">
        <v>1050000</v>
      </c>
      <c r="K26" s="246">
        <f>IF(Inputs!$G$24="Bus",0.838487681626975,0)</f>
        <v>0.83848768162697496</v>
      </c>
      <c r="L26" s="132"/>
      <c r="M26" s="239"/>
      <c r="N26" s="238"/>
    </row>
    <row r="27" spans="2:14" ht="12.75" customHeight="1" x14ac:dyDescent="0.2">
      <c r="B27" s="237"/>
      <c r="C27" s="24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8"/>
    </row>
    <row r="28" spans="2:14" ht="12.75" customHeight="1" x14ac:dyDescent="0.2">
      <c r="B28" s="237"/>
      <c r="C28" s="240" t="s">
        <v>348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8"/>
    </row>
    <row r="29" spans="2:14" ht="5.0999999999999996" customHeight="1" x14ac:dyDescent="0.2">
      <c r="B29" s="237"/>
      <c r="C29" s="240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8"/>
    </row>
    <row r="30" spans="2:14" ht="12.75" customHeight="1" x14ac:dyDescent="0.2">
      <c r="B30" s="237"/>
      <c r="C30" s="240"/>
      <c r="D30" s="239"/>
      <c r="E30" s="239"/>
      <c r="F30" s="239"/>
      <c r="G30" s="239"/>
      <c r="H30" s="239"/>
      <c r="I30" s="239"/>
      <c r="J30" s="242" t="s">
        <v>102</v>
      </c>
      <c r="K30" s="242"/>
      <c r="L30" s="239"/>
      <c r="M30" s="239"/>
      <c r="N30" s="238"/>
    </row>
    <row r="31" spans="2:14" x14ac:dyDescent="0.2">
      <c r="B31" s="237"/>
      <c r="C31" s="239"/>
      <c r="D31" s="239"/>
      <c r="E31" s="239"/>
      <c r="F31" s="239"/>
      <c r="G31" s="239"/>
      <c r="H31" s="239"/>
      <c r="I31" s="243" t="s">
        <v>103</v>
      </c>
      <c r="J31" s="243" t="s">
        <v>54</v>
      </c>
      <c r="K31" s="274" t="s">
        <v>104</v>
      </c>
      <c r="L31" s="274"/>
      <c r="M31" s="239"/>
      <c r="N31" s="238"/>
    </row>
    <row r="32" spans="2:14" ht="5.0999999999999996" customHeight="1" x14ac:dyDescent="0.2">
      <c r="B32" s="237"/>
      <c r="C32" s="239"/>
      <c r="D32" s="239"/>
      <c r="E32" s="239"/>
      <c r="F32" s="239"/>
      <c r="G32" s="239"/>
      <c r="H32" s="239"/>
      <c r="I32" s="244"/>
      <c r="J32" s="244"/>
      <c r="K32" s="244"/>
      <c r="L32" s="240"/>
      <c r="M32" s="239"/>
      <c r="N32" s="238"/>
    </row>
    <row r="33" spans="2:14" x14ac:dyDescent="0.2">
      <c r="B33" s="237"/>
      <c r="C33" s="240" t="s">
        <v>246</v>
      </c>
      <c r="D33" s="240"/>
      <c r="E33" s="240"/>
      <c r="F33" s="240"/>
      <c r="G33" s="240"/>
      <c r="H33" s="240"/>
      <c r="I33" s="249">
        <f>IF(Inputs!$G$24="Bus",0.000000627,IF(Inputs!$G$24="Heavy Rail",0.0000004,IF(Inputs!$G$24="Light Rail",0.0000004,0)))</f>
        <v>6.2699999999999999E-7</v>
      </c>
      <c r="J33" s="133"/>
      <c r="K33" s="270" t="s">
        <v>252</v>
      </c>
      <c r="L33" s="271"/>
      <c r="M33" s="239"/>
      <c r="N33" s="238"/>
    </row>
    <row r="34" spans="2:14" x14ac:dyDescent="0.2">
      <c r="B34" s="237"/>
      <c r="C34" s="240" t="s">
        <v>247</v>
      </c>
      <c r="D34" s="240"/>
      <c r="E34" s="240"/>
      <c r="F34" s="240"/>
      <c r="G34" s="240"/>
      <c r="H34" s="240"/>
      <c r="I34" s="249">
        <f>IF(FuelC1=0,0,(FuelCost/BusMiles)/(Calculations!BC99/Calculations!BC6))</f>
        <v>0.62105679019828941</v>
      </c>
      <c r="J34" s="133"/>
      <c r="K34" s="270" t="s">
        <v>254</v>
      </c>
      <c r="L34" s="271"/>
      <c r="M34" s="239"/>
      <c r="N34" s="238"/>
    </row>
    <row r="35" spans="2:14" x14ac:dyDescent="0.2">
      <c r="B35" s="237"/>
      <c r="C35" s="240" t="s">
        <v>248</v>
      </c>
      <c r="D35" s="240"/>
      <c r="E35" s="240"/>
      <c r="F35" s="240"/>
      <c r="G35" s="240"/>
      <c r="H35" s="240"/>
      <c r="I35" s="249">
        <f>IF(Inputs!$G$24="Bus",0.00000126,IF(Inputs!$G$24="Heavy Rail",0.0000004,IF(Inputs!$G$24="Light Rail",0.0000005,0)))</f>
        <v>1.26E-6</v>
      </c>
      <c r="J35" s="133"/>
      <c r="K35" s="270" t="s">
        <v>252</v>
      </c>
      <c r="L35" s="271"/>
      <c r="M35" s="239"/>
      <c r="N35" s="238"/>
    </row>
    <row r="36" spans="2:14" x14ac:dyDescent="0.2">
      <c r="B36" s="237"/>
      <c r="C36" s="240" t="s">
        <v>249</v>
      </c>
      <c r="D36" s="240"/>
      <c r="E36" s="240"/>
      <c r="F36" s="240"/>
      <c r="G36" s="240"/>
      <c r="H36" s="240"/>
      <c r="I36" s="249">
        <f>IF(MaintC1=0,0,(MaintCost/BusMiles)/(Calculations!BC100/Calculations!BC6))</f>
        <v>1.3181527883133404</v>
      </c>
      <c r="J36" s="133"/>
      <c r="K36" s="270" t="s">
        <v>254</v>
      </c>
      <c r="L36" s="271"/>
      <c r="M36" s="239"/>
      <c r="N36" s="238"/>
    </row>
    <row r="37" spans="2:14" x14ac:dyDescent="0.2">
      <c r="B37" s="237"/>
      <c r="C37" s="240" t="s">
        <v>250</v>
      </c>
      <c r="D37" s="240"/>
      <c r="E37" s="240"/>
      <c r="F37" s="240"/>
      <c r="G37" s="240"/>
      <c r="H37" s="240"/>
      <c r="I37" s="249">
        <f>IF(Inputs!$G$24="Heavy Rail",0.0000007,IF(Inputs!$G$24="Light Rail",0.000001,0.00000198))</f>
        <v>1.9800000000000001E-6</v>
      </c>
      <c r="J37" s="133"/>
      <c r="K37" s="270" t="s">
        <v>252</v>
      </c>
      <c r="L37" s="271"/>
      <c r="M37" s="239"/>
      <c r="N37" s="238"/>
    </row>
    <row r="38" spans="2:14" x14ac:dyDescent="0.2">
      <c r="B38" s="237"/>
      <c r="C38" s="240" t="s">
        <v>251</v>
      </c>
      <c r="D38" s="240"/>
      <c r="E38" s="240"/>
      <c r="F38" s="240"/>
      <c r="G38" s="240"/>
      <c r="H38" s="240"/>
      <c r="I38" s="249">
        <f>IF(DelayC1=0,0,IF(CarsPerTrain="",1,CarsPerTrain)*DelayUnitCost*Headway/60*(PaxMiles/RevBusMiles+RecoverTime/60*PaxTrips/RevBusHours)*(RoadCalls/BusMiles/1000)/(Calculations!BC101/Calculations!BC6))</f>
        <v>8.3642222079406858E-2</v>
      </c>
      <c r="J38" s="133"/>
      <c r="K38" s="270" t="s">
        <v>254</v>
      </c>
      <c r="L38" s="271"/>
      <c r="M38" s="239"/>
      <c r="N38" s="238"/>
    </row>
    <row r="39" spans="2:14" ht="5.0999999999999996" customHeight="1" thickBot="1" x14ac:dyDescent="0.25"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2"/>
    </row>
    <row r="40" spans="2:14" hidden="1" x14ac:dyDescent="0.2">
      <c r="C40" s="253" t="s">
        <v>237</v>
      </c>
    </row>
    <row r="41" spans="2:14" hidden="1" x14ac:dyDescent="0.2">
      <c r="C41" s="233" t="s">
        <v>233</v>
      </c>
      <c r="D41" s="254"/>
      <c r="E41" s="254"/>
      <c r="F41" s="254"/>
      <c r="G41" s="254"/>
      <c r="H41" s="254"/>
      <c r="I41" s="255"/>
    </row>
    <row r="42" spans="2:14" hidden="1" x14ac:dyDescent="0.2">
      <c r="C42" s="233" t="s">
        <v>234</v>
      </c>
      <c r="I42" s="255"/>
    </row>
    <row r="43" spans="2:14" hidden="1" x14ac:dyDescent="0.2">
      <c r="C43" s="233" t="s">
        <v>235</v>
      </c>
      <c r="I43" s="255"/>
    </row>
    <row r="44" spans="2:14" hidden="1" x14ac:dyDescent="0.2">
      <c r="C44" s="233" t="s">
        <v>238</v>
      </c>
      <c r="I44" s="255"/>
    </row>
    <row r="45" spans="2:14" x14ac:dyDescent="0.2">
      <c r="I45" s="255"/>
    </row>
    <row r="46" spans="2:14" x14ac:dyDescent="0.2">
      <c r="I46" s="255"/>
    </row>
    <row r="47" spans="2:14" x14ac:dyDescent="0.2">
      <c r="I47" s="255"/>
    </row>
    <row r="48" spans="2:14" x14ac:dyDescent="0.2">
      <c r="I48" s="255"/>
    </row>
    <row r="49" spans="9:9" x14ac:dyDescent="0.2">
      <c r="I49" s="255"/>
    </row>
    <row r="50" spans="9:9" x14ac:dyDescent="0.2">
      <c r="I50" s="255"/>
    </row>
    <row r="51" spans="9:9" x14ac:dyDescent="0.2">
      <c r="I51" s="255"/>
    </row>
    <row r="52" spans="9:9" x14ac:dyDescent="0.2">
      <c r="I52" s="255"/>
    </row>
    <row r="53" spans="9:9" x14ac:dyDescent="0.2">
      <c r="I53" s="255"/>
    </row>
    <row r="54" spans="9:9" x14ac:dyDescent="0.2">
      <c r="I54" s="255"/>
    </row>
    <row r="55" spans="9:9" x14ac:dyDescent="0.2">
      <c r="I55" s="255"/>
    </row>
    <row r="56" spans="9:9" x14ac:dyDescent="0.2">
      <c r="I56" s="255"/>
    </row>
    <row r="57" spans="9:9" x14ac:dyDescent="0.2">
      <c r="I57" s="255"/>
    </row>
    <row r="58" spans="9:9" x14ac:dyDescent="0.2">
      <c r="I58" s="255"/>
    </row>
    <row r="59" spans="9:9" x14ac:dyDescent="0.2">
      <c r="I59" s="255"/>
    </row>
    <row r="60" spans="9:9" x14ac:dyDescent="0.2">
      <c r="I60" s="255"/>
    </row>
    <row r="61" spans="9:9" x14ac:dyDescent="0.2">
      <c r="I61" s="255"/>
    </row>
    <row r="62" spans="9:9" x14ac:dyDescent="0.2">
      <c r="I62" s="255"/>
    </row>
    <row r="63" spans="9:9" x14ac:dyDescent="0.2">
      <c r="I63" s="255"/>
    </row>
    <row r="64" spans="9:9" x14ac:dyDescent="0.2">
      <c r="I64" s="255"/>
    </row>
    <row r="65" spans="9:9" x14ac:dyDescent="0.2">
      <c r="I65" s="255"/>
    </row>
    <row r="66" spans="9:9" x14ac:dyDescent="0.2">
      <c r="I66" s="255"/>
    </row>
    <row r="67" spans="9:9" x14ac:dyDescent="0.2">
      <c r="I67" s="255"/>
    </row>
    <row r="68" spans="9:9" x14ac:dyDescent="0.2">
      <c r="I68" s="255"/>
    </row>
    <row r="69" spans="9:9" x14ac:dyDescent="0.2">
      <c r="I69" s="255"/>
    </row>
    <row r="70" spans="9:9" x14ac:dyDescent="0.2">
      <c r="I70" s="255"/>
    </row>
    <row r="71" spans="9:9" x14ac:dyDescent="0.2">
      <c r="I71" s="255"/>
    </row>
    <row r="72" spans="9:9" x14ac:dyDescent="0.2">
      <c r="I72" s="255"/>
    </row>
    <row r="73" spans="9:9" x14ac:dyDescent="0.2">
      <c r="I73" s="255"/>
    </row>
    <row r="74" spans="9:9" x14ac:dyDescent="0.2">
      <c r="I74" s="255"/>
    </row>
    <row r="75" spans="9:9" x14ac:dyDescent="0.2">
      <c r="I75" s="255"/>
    </row>
    <row r="76" spans="9:9" x14ac:dyDescent="0.2">
      <c r="I76" s="255"/>
    </row>
    <row r="77" spans="9:9" x14ac:dyDescent="0.2">
      <c r="I77" s="255"/>
    </row>
    <row r="78" spans="9:9" x14ac:dyDescent="0.2">
      <c r="I78" s="255"/>
    </row>
    <row r="79" spans="9:9" x14ac:dyDescent="0.2">
      <c r="I79" s="255"/>
    </row>
    <row r="80" spans="9:9" x14ac:dyDescent="0.2">
      <c r="I80" s="255"/>
    </row>
    <row r="81" spans="9:9" x14ac:dyDescent="0.2">
      <c r="I81" s="255"/>
    </row>
    <row r="82" spans="9:9" x14ac:dyDescent="0.2">
      <c r="I82" s="255"/>
    </row>
    <row r="83" spans="9:9" x14ac:dyDescent="0.2">
      <c r="I83" s="255"/>
    </row>
    <row r="84" spans="9:9" x14ac:dyDescent="0.2">
      <c r="I84" s="255"/>
    </row>
    <row r="85" spans="9:9" x14ac:dyDescent="0.2">
      <c r="I85" s="255"/>
    </row>
    <row r="86" spans="9:9" x14ac:dyDescent="0.2">
      <c r="I86" s="255"/>
    </row>
    <row r="87" spans="9:9" x14ac:dyDescent="0.2">
      <c r="I87" s="255"/>
    </row>
    <row r="88" spans="9:9" x14ac:dyDescent="0.2">
      <c r="I88" s="255"/>
    </row>
    <row r="89" spans="9:9" x14ac:dyDescent="0.2">
      <c r="I89" s="255"/>
    </row>
    <row r="90" spans="9:9" x14ac:dyDescent="0.2">
      <c r="I90" s="255"/>
    </row>
    <row r="91" spans="9:9" x14ac:dyDescent="0.2">
      <c r="I91" s="255"/>
    </row>
    <row r="92" spans="9:9" x14ac:dyDescent="0.2">
      <c r="I92" s="255"/>
    </row>
    <row r="93" spans="9:9" x14ac:dyDescent="0.2">
      <c r="I93" s="255"/>
    </row>
    <row r="94" spans="9:9" x14ac:dyDescent="0.2">
      <c r="I94" s="255"/>
    </row>
    <row r="95" spans="9:9" x14ac:dyDescent="0.2">
      <c r="I95" s="255"/>
    </row>
    <row r="96" spans="9:9" x14ac:dyDescent="0.2">
      <c r="I96" s="255"/>
    </row>
    <row r="97" spans="9:9" x14ac:dyDescent="0.2">
      <c r="I97" s="255"/>
    </row>
    <row r="98" spans="9:9" x14ac:dyDescent="0.2">
      <c r="I98" s="255"/>
    </row>
    <row r="99" spans="9:9" x14ac:dyDescent="0.2">
      <c r="I99" s="255"/>
    </row>
    <row r="100" spans="9:9" x14ac:dyDescent="0.2">
      <c r="I100" s="255"/>
    </row>
    <row r="101" spans="9:9" x14ac:dyDescent="0.2">
      <c r="I101" s="255"/>
    </row>
    <row r="102" spans="9:9" x14ac:dyDescent="0.2">
      <c r="I102" s="255"/>
    </row>
    <row r="103" spans="9:9" x14ac:dyDescent="0.2">
      <c r="I103" s="255"/>
    </row>
    <row r="104" spans="9:9" x14ac:dyDescent="0.2">
      <c r="I104" s="255"/>
    </row>
    <row r="105" spans="9:9" x14ac:dyDescent="0.2">
      <c r="I105" s="255"/>
    </row>
    <row r="106" spans="9:9" x14ac:dyDescent="0.2">
      <c r="I106" s="255"/>
    </row>
    <row r="107" spans="9:9" x14ac:dyDescent="0.2">
      <c r="I107" s="255"/>
    </row>
    <row r="108" spans="9:9" x14ac:dyDescent="0.2">
      <c r="I108" s="255"/>
    </row>
    <row r="109" spans="9:9" x14ac:dyDescent="0.2">
      <c r="I109" s="255"/>
    </row>
    <row r="110" spans="9:9" x14ac:dyDescent="0.2">
      <c r="I110" s="255"/>
    </row>
    <row r="111" spans="9:9" x14ac:dyDescent="0.2">
      <c r="I111" s="255"/>
    </row>
    <row r="112" spans="9:9" x14ac:dyDescent="0.2">
      <c r="I112" s="255"/>
    </row>
    <row r="113" spans="9:9" x14ac:dyDescent="0.2">
      <c r="I113" s="255"/>
    </row>
    <row r="114" spans="9:9" x14ac:dyDescent="0.2">
      <c r="I114" s="255"/>
    </row>
    <row r="115" spans="9:9" x14ac:dyDescent="0.2">
      <c r="I115" s="255"/>
    </row>
    <row r="116" spans="9:9" x14ac:dyDescent="0.2">
      <c r="I116" s="255"/>
    </row>
    <row r="117" spans="9:9" x14ac:dyDescent="0.2">
      <c r="I117" s="255"/>
    </row>
    <row r="118" spans="9:9" x14ac:dyDescent="0.2">
      <c r="I118" s="255"/>
    </row>
    <row r="119" spans="9:9" x14ac:dyDescent="0.2">
      <c r="I119" s="255"/>
    </row>
    <row r="120" spans="9:9" x14ac:dyDescent="0.2">
      <c r="I120" s="255"/>
    </row>
    <row r="121" spans="9:9" x14ac:dyDescent="0.2">
      <c r="I121" s="255"/>
    </row>
    <row r="122" spans="9:9" x14ac:dyDescent="0.2">
      <c r="I122" s="255"/>
    </row>
    <row r="123" spans="9:9" x14ac:dyDescent="0.2">
      <c r="I123" s="255"/>
    </row>
    <row r="124" spans="9:9" x14ac:dyDescent="0.2">
      <c r="I124" s="255"/>
    </row>
    <row r="125" spans="9:9" x14ac:dyDescent="0.2">
      <c r="I125" s="255"/>
    </row>
    <row r="126" spans="9:9" x14ac:dyDescent="0.2">
      <c r="I126" s="255"/>
    </row>
    <row r="127" spans="9:9" x14ac:dyDescent="0.2">
      <c r="I127" s="255"/>
    </row>
    <row r="128" spans="9:9" x14ac:dyDescent="0.2">
      <c r="I128" s="255"/>
    </row>
    <row r="129" spans="9:9" x14ac:dyDescent="0.2">
      <c r="I129" s="255"/>
    </row>
    <row r="130" spans="9:9" x14ac:dyDescent="0.2">
      <c r="I130" s="255"/>
    </row>
    <row r="131" spans="9:9" x14ac:dyDescent="0.2">
      <c r="I131" s="255"/>
    </row>
    <row r="132" spans="9:9" x14ac:dyDescent="0.2">
      <c r="I132" s="255"/>
    </row>
    <row r="133" spans="9:9" x14ac:dyDescent="0.2">
      <c r="I133" s="255"/>
    </row>
    <row r="134" spans="9:9" x14ac:dyDescent="0.2">
      <c r="I134" s="255"/>
    </row>
    <row r="135" spans="9:9" x14ac:dyDescent="0.2">
      <c r="I135" s="255"/>
    </row>
    <row r="136" spans="9:9" x14ac:dyDescent="0.2">
      <c r="I136" s="255"/>
    </row>
    <row r="137" spans="9:9" x14ac:dyDescent="0.2">
      <c r="I137" s="255"/>
    </row>
    <row r="138" spans="9:9" x14ac:dyDescent="0.2">
      <c r="I138" s="255"/>
    </row>
    <row r="139" spans="9:9" x14ac:dyDescent="0.2">
      <c r="I139" s="255"/>
    </row>
    <row r="140" spans="9:9" x14ac:dyDescent="0.2">
      <c r="I140" s="255"/>
    </row>
    <row r="141" spans="9:9" x14ac:dyDescent="0.2">
      <c r="I141" s="255"/>
    </row>
    <row r="142" spans="9:9" x14ac:dyDescent="0.2">
      <c r="I142" s="255"/>
    </row>
    <row r="143" spans="9:9" x14ac:dyDescent="0.2">
      <c r="I143" s="255"/>
    </row>
    <row r="144" spans="9:9" x14ac:dyDescent="0.2">
      <c r="I144" s="255"/>
    </row>
    <row r="145" spans="9:9" x14ac:dyDescent="0.2">
      <c r="I145" s="255"/>
    </row>
    <row r="146" spans="9:9" x14ac:dyDescent="0.2">
      <c r="I146" s="255"/>
    </row>
    <row r="147" spans="9:9" x14ac:dyDescent="0.2">
      <c r="I147" s="255"/>
    </row>
    <row r="148" spans="9:9" x14ac:dyDescent="0.2">
      <c r="I148" s="255"/>
    </row>
    <row r="149" spans="9:9" x14ac:dyDescent="0.2">
      <c r="I149" s="255"/>
    </row>
    <row r="150" spans="9:9" x14ac:dyDescent="0.2">
      <c r="I150" s="255"/>
    </row>
    <row r="151" spans="9:9" x14ac:dyDescent="0.2">
      <c r="I151" s="255"/>
    </row>
    <row r="152" spans="9:9" x14ac:dyDescent="0.2">
      <c r="I152" s="255"/>
    </row>
    <row r="153" spans="9:9" x14ac:dyDescent="0.2">
      <c r="I153" s="255"/>
    </row>
    <row r="154" spans="9:9" x14ac:dyDescent="0.2">
      <c r="I154" s="255"/>
    </row>
    <row r="155" spans="9:9" x14ac:dyDescent="0.2">
      <c r="I155" s="255"/>
    </row>
    <row r="156" spans="9:9" x14ac:dyDescent="0.2">
      <c r="I156" s="255"/>
    </row>
    <row r="157" spans="9:9" x14ac:dyDescent="0.2">
      <c r="I157" s="255"/>
    </row>
    <row r="158" spans="9:9" x14ac:dyDescent="0.2">
      <c r="I158" s="255"/>
    </row>
    <row r="159" spans="9:9" x14ac:dyDescent="0.2">
      <c r="I159" s="255"/>
    </row>
    <row r="160" spans="9:9" x14ac:dyDescent="0.2">
      <c r="I160" s="255"/>
    </row>
    <row r="161" spans="9:18" x14ac:dyDescent="0.2">
      <c r="I161" s="255"/>
    </row>
    <row r="162" spans="9:18" x14ac:dyDescent="0.2">
      <c r="I162" s="255"/>
    </row>
    <row r="163" spans="9:18" x14ac:dyDescent="0.2">
      <c r="I163" s="255"/>
    </row>
    <row r="164" spans="9:18" x14ac:dyDescent="0.2">
      <c r="I164" s="255"/>
    </row>
    <row r="165" spans="9:18" x14ac:dyDescent="0.2">
      <c r="I165" s="255"/>
    </row>
    <row r="166" spans="9:18" x14ac:dyDescent="0.2">
      <c r="I166" s="255"/>
    </row>
    <row r="167" spans="9:18" x14ac:dyDescent="0.2">
      <c r="I167" s="255"/>
    </row>
    <row r="169" spans="9:18" x14ac:dyDescent="0.2">
      <c r="R169" s="254"/>
    </row>
  </sheetData>
  <sheetProtection sheet="1" objects="1" scenarios="1"/>
  <mergeCells count="14">
    <mergeCell ref="K33:L33"/>
    <mergeCell ref="C3:M3"/>
    <mergeCell ref="C4:M4"/>
    <mergeCell ref="C5:M5"/>
    <mergeCell ref="K38:L38"/>
    <mergeCell ref="D9:E9"/>
    <mergeCell ref="I9:J9"/>
    <mergeCell ref="F9:G9"/>
    <mergeCell ref="K9:L9"/>
    <mergeCell ref="K34:L34"/>
    <mergeCell ref="K35:L35"/>
    <mergeCell ref="K36:L36"/>
    <mergeCell ref="K37:L37"/>
    <mergeCell ref="K31:L31"/>
  </mergeCells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6146" r:id="rId3" name="CommandButton2">
          <controlPr defaultSize="0" autoLine="0" r:id="rId4">
            <anchor moveWithCells="1">
              <from>
                <xdr:col>12</xdr:col>
                <xdr:colOff>133350</xdr:colOff>
                <xdr:row>11</xdr:row>
                <xdr:rowOff>142875</xdr:rowOff>
              </from>
              <to>
                <xdr:col>12</xdr:col>
                <xdr:colOff>685800</xdr:colOff>
                <xdr:row>15</xdr:row>
                <xdr:rowOff>19050</xdr:rowOff>
              </to>
            </anchor>
          </controlPr>
        </control>
      </mc:Choice>
      <mc:Fallback>
        <control shapeId="6146" r:id="rId3" name="CommandButton2"/>
      </mc:Fallback>
    </mc:AlternateContent>
    <mc:AlternateContent xmlns:mc="http://schemas.openxmlformats.org/markup-compatibility/2006">
      <mc:Choice Requires="x14">
        <control shapeId="6145" r:id="rId5" name="CommandButton1">
          <controlPr defaultSize="0" autoLine="0" r:id="rId6">
            <anchor moveWithCells="1">
              <from>
                <xdr:col>12</xdr:col>
                <xdr:colOff>133350</xdr:colOff>
                <xdr:row>6</xdr:row>
                <xdr:rowOff>95250</xdr:rowOff>
              </from>
              <to>
                <xdr:col>12</xdr:col>
                <xdr:colOff>685800</xdr:colOff>
                <xdr:row>11</xdr:row>
                <xdr:rowOff>19050</xdr:rowOff>
              </to>
            </anchor>
          </controlPr>
        </control>
      </mc:Choice>
      <mc:Fallback>
        <control shapeId="6145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V237"/>
  <sheetViews>
    <sheetView showRowColHeaders="0" workbookViewId="0">
      <selection activeCell="B2" sqref="B2"/>
    </sheetView>
  </sheetViews>
  <sheetFormatPr defaultRowHeight="12.75" x14ac:dyDescent="0.2"/>
  <cols>
    <col min="1" max="2" width="1.7109375" style="114" customWidth="1"/>
    <col min="3" max="3" width="12.7109375" style="114" customWidth="1"/>
    <col min="4" max="4" width="24.7109375" style="114" customWidth="1"/>
    <col min="5" max="5" width="18.7109375" style="114" customWidth="1"/>
    <col min="6" max="6" width="10.7109375" style="114" customWidth="1"/>
    <col min="7" max="7" width="20.7109375" style="114" customWidth="1"/>
    <col min="8" max="8" width="18.7109375" style="114" customWidth="1"/>
    <col min="9" max="9" width="12.85546875" style="114" customWidth="1"/>
    <col min="10" max="10" width="1.7109375" style="114" customWidth="1"/>
    <col min="11" max="14" width="12.7109375" style="114" customWidth="1"/>
    <col min="15" max="20" width="9.140625" style="114"/>
    <col min="21" max="21" width="20.5703125" style="114" bestFit="1" customWidth="1"/>
    <col min="22" max="16384" width="9.140625" style="114"/>
  </cols>
  <sheetData>
    <row r="1" spans="2:10" ht="5.0999999999999996" customHeight="1" thickBot="1" x14ac:dyDescent="0.25"/>
    <row r="2" spans="2:10" ht="5.0999999999999996" customHeight="1" x14ac:dyDescent="0.2">
      <c r="B2" s="115"/>
      <c r="C2" s="116"/>
      <c r="D2" s="116"/>
      <c r="E2" s="116"/>
      <c r="F2" s="116"/>
      <c r="G2" s="116"/>
      <c r="H2" s="116"/>
      <c r="I2" s="116"/>
      <c r="J2" s="117"/>
    </row>
    <row r="3" spans="2:10" ht="15.75" x14ac:dyDescent="0.25">
      <c r="B3" s="118"/>
      <c r="C3" s="284" t="s">
        <v>99</v>
      </c>
      <c r="D3" s="285"/>
      <c r="E3" s="284"/>
      <c r="F3" s="284"/>
      <c r="G3" s="284"/>
      <c r="H3" s="284"/>
      <c r="I3" s="284"/>
      <c r="J3" s="119"/>
    </row>
    <row r="4" spans="2:10" ht="15.75" x14ac:dyDescent="0.25">
      <c r="B4" s="118"/>
      <c r="C4" s="284" t="s">
        <v>100</v>
      </c>
      <c r="D4" s="285"/>
      <c r="E4" s="284"/>
      <c r="F4" s="284"/>
      <c r="G4" s="284"/>
      <c r="H4" s="284"/>
      <c r="I4" s="284"/>
      <c r="J4" s="119"/>
    </row>
    <row r="5" spans="2:10" ht="15.75" x14ac:dyDescent="0.25">
      <c r="B5" s="118"/>
      <c r="C5" s="284" t="s">
        <v>328</v>
      </c>
      <c r="D5" s="285"/>
      <c r="E5" s="284"/>
      <c r="F5" s="284"/>
      <c r="G5" s="284"/>
      <c r="H5" s="284"/>
      <c r="I5" s="284"/>
      <c r="J5" s="119"/>
    </row>
    <row r="6" spans="2:10" x14ac:dyDescent="0.2">
      <c r="B6" s="118"/>
      <c r="C6" s="120"/>
      <c r="D6" s="120"/>
      <c r="E6" s="120"/>
      <c r="F6" s="120"/>
      <c r="G6" s="120"/>
      <c r="H6" s="120"/>
      <c r="I6" s="120"/>
      <c r="J6" s="119"/>
    </row>
    <row r="7" spans="2:10" x14ac:dyDescent="0.2">
      <c r="B7" s="118"/>
      <c r="C7" s="121" t="s">
        <v>324</v>
      </c>
      <c r="D7" s="120"/>
      <c r="E7" s="120"/>
      <c r="F7" s="120"/>
      <c r="G7" s="120"/>
      <c r="H7" s="120"/>
      <c r="I7" s="120"/>
      <c r="J7" s="119"/>
    </row>
    <row r="8" spans="2:10" ht="5.0999999999999996" customHeight="1" x14ac:dyDescent="0.2">
      <c r="B8" s="118"/>
      <c r="C8" s="121"/>
      <c r="D8" s="120"/>
      <c r="E8" s="120"/>
      <c r="F8" s="120"/>
      <c r="G8" s="120"/>
      <c r="H8" s="120"/>
      <c r="I8" s="120"/>
      <c r="J8" s="119"/>
    </row>
    <row r="9" spans="2:10" x14ac:dyDescent="0.2">
      <c r="B9" s="118"/>
      <c r="C9" s="121" t="s">
        <v>232</v>
      </c>
      <c r="D9" s="286" t="str">
        <f>Inputs!G24</f>
        <v>Bus</v>
      </c>
      <c r="E9" s="286"/>
      <c r="F9" s="286"/>
      <c r="G9" s="135"/>
      <c r="H9" s="135"/>
      <c r="I9" s="120"/>
      <c r="J9" s="119"/>
    </row>
    <row r="10" spans="2:10" x14ac:dyDescent="0.2">
      <c r="B10" s="118"/>
      <c r="C10" s="121" t="s">
        <v>297</v>
      </c>
      <c r="D10" s="134"/>
      <c r="E10" s="134"/>
      <c r="F10" s="226">
        <f>Inputs_Results!F38</f>
        <v>530920.01712328766</v>
      </c>
      <c r="G10" s="135"/>
      <c r="H10" s="135"/>
      <c r="I10" s="120"/>
      <c r="J10" s="119"/>
    </row>
    <row r="11" spans="2:10" x14ac:dyDescent="0.2">
      <c r="B11" s="118"/>
      <c r="C11" s="121" t="s">
        <v>296</v>
      </c>
      <c r="D11" s="134"/>
      <c r="E11" s="134"/>
      <c r="F11" s="134">
        <f>Inputs_Results!F39</f>
        <v>15</v>
      </c>
      <c r="G11" s="135"/>
      <c r="H11" s="135"/>
      <c r="I11" s="120"/>
      <c r="J11" s="119"/>
    </row>
    <row r="12" spans="2:10" x14ac:dyDescent="0.2">
      <c r="B12" s="118"/>
      <c r="C12" s="121" t="s">
        <v>337</v>
      </c>
      <c r="D12" s="120"/>
      <c r="E12" s="287">
        <f>Inputs_Results!F41</f>
        <v>155300.82485434011</v>
      </c>
      <c r="F12" s="287"/>
      <c r="G12" s="135"/>
      <c r="H12" s="135"/>
      <c r="I12" s="120"/>
      <c r="J12" s="119"/>
    </row>
    <row r="13" spans="2:10" x14ac:dyDescent="0.2">
      <c r="B13" s="118"/>
      <c r="C13" s="121" t="s">
        <v>338</v>
      </c>
      <c r="D13" s="120"/>
      <c r="E13" s="287">
        <f>Inputs_Results!F42</f>
        <v>4965.3638498139462</v>
      </c>
      <c r="F13" s="287"/>
      <c r="G13" s="135"/>
      <c r="H13" s="135"/>
      <c r="I13" s="120"/>
      <c r="J13" s="119"/>
    </row>
    <row r="14" spans="2:10" x14ac:dyDescent="0.2">
      <c r="B14" s="118"/>
      <c r="C14" s="121" t="s">
        <v>339</v>
      </c>
      <c r="D14" s="120"/>
      <c r="E14" s="287">
        <f>Inputs_Results!F40</f>
        <v>160266.18870415405</v>
      </c>
      <c r="F14" s="287"/>
      <c r="G14" s="135"/>
      <c r="H14" s="135"/>
      <c r="I14" s="120"/>
      <c r="J14" s="119"/>
    </row>
    <row r="15" spans="2:10" x14ac:dyDescent="0.2">
      <c r="B15" s="118"/>
      <c r="C15" s="121"/>
      <c r="D15" s="120"/>
      <c r="E15" s="120"/>
      <c r="F15" s="136"/>
      <c r="G15" s="135"/>
      <c r="H15" s="135"/>
      <c r="I15" s="120"/>
      <c r="J15" s="119"/>
    </row>
    <row r="16" spans="2:10" x14ac:dyDescent="0.2">
      <c r="B16" s="118"/>
      <c r="C16" s="121" t="s">
        <v>326</v>
      </c>
      <c r="D16" s="120"/>
      <c r="E16" s="120"/>
      <c r="F16" s="136"/>
      <c r="G16" s="135"/>
      <c r="H16" s="135"/>
      <c r="I16" s="120"/>
      <c r="J16" s="119"/>
    </row>
    <row r="17" spans="2:10" ht="5.0999999999999996" customHeight="1" x14ac:dyDescent="0.2">
      <c r="B17" s="118"/>
      <c r="C17" s="121"/>
      <c r="D17" s="120"/>
      <c r="E17" s="120"/>
      <c r="F17" s="136"/>
      <c r="G17" s="135"/>
      <c r="H17" s="135"/>
      <c r="I17" s="120"/>
      <c r="J17" s="119"/>
    </row>
    <row r="18" spans="2:10" x14ac:dyDescent="0.2">
      <c r="B18" s="118"/>
      <c r="C18" s="121" t="s">
        <v>327</v>
      </c>
      <c r="D18" s="121"/>
      <c r="E18" s="120"/>
      <c r="F18" s="120"/>
      <c r="G18" s="120"/>
      <c r="H18" s="135"/>
      <c r="I18" s="120"/>
      <c r="J18" s="119"/>
    </row>
    <row r="19" spans="2:10" x14ac:dyDescent="0.2">
      <c r="B19" s="118"/>
      <c r="C19" s="121" t="s">
        <v>295</v>
      </c>
      <c r="D19" s="121"/>
      <c r="E19" s="120"/>
      <c r="F19" s="120"/>
      <c r="G19" s="120"/>
      <c r="H19" s="135"/>
      <c r="I19" s="120"/>
      <c r="J19" s="119"/>
    </row>
    <row r="20" spans="2:10" ht="5.0999999999999996" customHeight="1" x14ac:dyDescent="0.2">
      <c r="B20" s="118"/>
      <c r="C20" s="121"/>
      <c r="D20" s="121"/>
      <c r="E20" s="120"/>
      <c r="F20" s="120"/>
      <c r="G20" s="120"/>
      <c r="H20" s="135"/>
      <c r="I20" s="120"/>
      <c r="J20" s="119"/>
    </row>
    <row r="21" spans="2:10" x14ac:dyDescent="0.2">
      <c r="B21" s="118"/>
      <c r="C21" s="123" t="s">
        <v>91</v>
      </c>
      <c r="D21" s="123" t="s">
        <v>93</v>
      </c>
      <c r="E21" s="123" t="s">
        <v>92</v>
      </c>
      <c r="F21" s="120"/>
      <c r="G21" s="120"/>
      <c r="H21" s="135"/>
      <c r="I21" s="120"/>
      <c r="J21" s="119"/>
    </row>
    <row r="22" spans="2:10" ht="5.0999999999999996" customHeight="1" x14ac:dyDescent="0.2">
      <c r="B22" s="118"/>
      <c r="C22" s="122"/>
      <c r="D22" s="122"/>
      <c r="E22" s="122"/>
      <c r="F22" s="120"/>
      <c r="G22" s="120"/>
      <c r="H22" s="135"/>
      <c r="I22" s="120"/>
      <c r="J22" s="119"/>
    </row>
    <row r="23" spans="2:10" x14ac:dyDescent="0.2">
      <c r="B23" s="118"/>
      <c r="C23" s="225">
        <f>Inputs_Results!D164</f>
        <v>-0.14976488233589708</v>
      </c>
      <c r="D23" s="225">
        <f>Inputs_Results!C164</f>
        <v>4.0841052522870092E-3</v>
      </c>
      <c r="E23" s="225">
        <f>Inputs_Results!B164</f>
        <v>3.5862697557531716E-4</v>
      </c>
      <c r="F23" s="120"/>
      <c r="G23" s="120"/>
      <c r="H23" s="135"/>
      <c r="I23" s="120"/>
      <c r="J23" s="119"/>
    </row>
    <row r="24" spans="2:10" x14ac:dyDescent="0.2">
      <c r="B24" s="118"/>
      <c r="C24" s="121"/>
      <c r="D24" s="120"/>
      <c r="E24" s="120"/>
      <c r="F24" s="136"/>
      <c r="G24" s="135"/>
      <c r="H24" s="135"/>
      <c r="I24" s="120"/>
      <c r="J24" s="119"/>
    </row>
    <row r="25" spans="2:10" x14ac:dyDescent="0.2">
      <c r="B25" s="118"/>
      <c r="C25" s="283" t="s">
        <v>302</v>
      </c>
      <c r="D25" s="283"/>
      <c r="E25" s="120"/>
      <c r="F25" s="136"/>
      <c r="G25" s="135"/>
      <c r="H25" s="135"/>
      <c r="I25" s="120"/>
      <c r="J25" s="119"/>
    </row>
    <row r="26" spans="2:10" x14ac:dyDescent="0.2">
      <c r="B26" s="118"/>
      <c r="C26" s="227" t="s">
        <v>28</v>
      </c>
      <c r="D26" s="228" t="s">
        <v>280</v>
      </c>
      <c r="E26" s="120"/>
      <c r="F26" s="136"/>
      <c r="G26" s="135"/>
      <c r="H26" s="135"/>
      <c r="I26" s="120"/>
      <c r="J26" s="119"/>
    </row>
    <row r="27" spans="2:10" x14ac:dyDescent="0.2">
      <c r="B27" s="118"/>
      <c r="C27" s="229">
        <f>+Inputs_Results!A171</f>
        <v>5</v>
      </c>
      <c r="D27" s="230">
        <f>+Inputs_Results!B171</f>
        <v>-0.12337768941853297</v>
      </c>
      <c r="E27" s="120"/>
      <c r="F27" s="136"/>
      <c r="G27" s="135"/>
      <c r="H27" s="135"/>
      <c r="I27" s="120"/>
      <c r="J27" s="119"/>
    </row>
    <row r="28" spans="2:10" x14ac:dyDescent="0.2">
      <c r="B28" s="118"/>
      <c r="C28" s="229">
        <f>+Inputs_Results!A172</f>
        <v>6</v>
      </c>
      <c r="D28" s="230">
        <f>+Inputs_Results!B172</f>
        <v>-0.11311212713424758</v>
      </c>
      <c r="E28" s="120"/>
      <c r="F28" s="136"/>
      <c r="G28" s="135"/>
      <c r="H28" s="135"/>
      <c r="I28" s="120"/>
      <c r="J28" s="119"/>
    </row>
    <row r="29" spans="2:10" x14ac:dyDescent="0.2">
      <c r="B29" s="118"/>
      <c r="C29" s="229">
        <f>+Inputs_Results!A173</f>
        <v>7</v>
      </c>
      <c r="D29" s="230">
        <f>+Inputs_Results!B173</f>
        <v>-0.10312956112715779</v>
      </c>
      <c r="E29" s="120"/>
      <c r="F29" s="136"/>
      <c r="G29" s="135"/>
      <c r="H29" s="135"/>
      <c r="I29" s="120"/>
      <c r="J29" s="119"/>
    </row>
    <row r="30" spans="2:10" x14ac:dyDescent="0.2">
      <c r="B30" s="118"/>
      <c r="C30" s="229">
        <f>+Inputs_Results!A174</f>
        <v>8</v>
      </c>
      <c r="D30" s="230">
        <f>+Inputs_Results!B174</f>
        <v>-9.2960446556879059E-2</v>
      </c>
      <c r="E30" s="120"/>
      <c r="F30" s="136"/>
      <c r="G30" s="135"/>
      <c r="H30" s="135"/>
      <c r="I30" s="120"/>
      <c r="J30" s="119"/>
    </row>
    <row r="31" spans="2:10" x14ac:dyDescent="0.2">
      <c r="B31" s="118"/>
      <c r="C31" s="229">
        <f>+Inputs_Results!A175</f>
        <v>9</v>
      </c>
      <c r="D31" s="230">
        <f>+Inputs_Results!B175</f>
        <v>-8.2422262720791756E-2</v>
      </c>
      <c r="E31" s="120"/>
      <c r="F31" s="136"/>
      <c r="G31" s="135"/>
      <c r="H31" s="135"/>
      <c r="I31" s="120"/>
      <c r="J31" s="119"/>
    </row>
    <row r="32" spans="2:10" x14ac:dyDescent="0.2">
      <c r="B32" s="118"/>
      <c r="C32" s="229">
        <f>+Inputs_Results!A176</f>
        <v>10</v>
      </c>
      <c r="D32" s="230">
        <f>+Inputs_Results!B176</f>
        <v>-7.1448262640818577E-2</v>
      </c>
      <c r="E32" s="120"/>
      <c r="F32" s="136"/>
      <c r="G32" s="135"/>
      <c r="H32" s="135"/>
      <c r="I32" s="120"/>
      <c r="J32" s="119"/>
    </row>
    <row r="33" spans="2:10" x14ac:dyDescent="0.2">
      <c r="B33" s="118"/>
      <c r="C33" s="229">
        <f>+Inputs_Results!A177</f>
        <v>11</v>
      </c>
      <c r="D33" s="230">
        <f>+Inputs_Results!B177</f>
        <v>-5.999775208579413E-2</v>
      </c>
      <c r="E33" s="120"/>
      <c r="F33" s="136"/>
      <c r="G33" s="135"/>
      <c r="H33" s="135"/>
      <c r="I33" s="120"/>
      <c r="J33" s="119"/>
    </row>
    <row r="34" spans="2:10" x14ac:dyDescent="0.2">
      <c r="B34" s="118"/>
      <c r="C34" s="229">
        <f>+Inputs_Results!A178</f>
        <v>12</v>
      </c>
      <c r="D34" s="230">
        <f>+Inputs_Results!B178</f>
        <v>-4.8020738401660025E-2</v>
      </c>
      <c r="E34" s="120"/>
      <c r="F34" s="136"/>
      <c r="G34" s="135"/>
      <c r="H34" s="135"/>
      <c r="I34" s="120"/>
      <c r="J34" s="119"/>
    </row>
    <row r="35" spans="2:10" x14ac:dyDescent="0.2">
      <c r="B35" s="118"/>
      <c r="C35" s="229">
        <f>+Inputs_Results!A179</f>
        <v>13</v>
      </c>
      <c r="D35" s="230">
        <f>+Inputs_Results!B179</f>
        <v>-3.5453105800433531E-2</v>
      </c>
      <c r="E35" s="120"/>
      <c r="F35" s="136"/>
      <c r="G35" s="135"/>
      <c r="H35" s="135"/>
      <c r="I35" s="120"/>
      <c r="J35" s="119"/>
    </row>
    <row r="36" spans="2:10" x14ac:dyDescent="0.2">
      <c r="B36" s="118"/>
      <c r="C36" s="229">
        <f>+Inputs_Results!A180</f>
        <v>14</v>
      </c>
      <c r="D36" s="230">
        <f>+Inputs_Results!B180</f>
        <v>-2.2223563826288921E-2</v>
      </c>
      <c r="E36" s="120"/>
      <c r="F36" s="136"/>
      <c r="G36" s="135"/>
      <c r="H36" s="135"/>
      <c r="I36" s="120"/>
      <c r="J36" s="119"/>
    </row>
    <row r="37" spans="2:10" x14ac:dyDescent="0.2">
      <c r="B37" s="118"/>
      <c r="C37" s="229">
        <f>+Inputs_Results!A181</f>
        <v>15</v>
      </c>
      <c r="D37" s="230">
        <f>+Inputs_Results!B181</f>
        <v>-8.261701915040583E-3</v>
      </c>
      <c r="E37" s="120"/>
      <c r="F37" s="136"/>
      <c r="G37" s="135"/>
      <c r="H37" s="135"/>
      <c r="I37" s="120"/>
      <c r="J37" s="119"/>
    </row>
    <row r="38" spans="2:10" x14ac:dyDescent="0.2">
      <c r="B38" s="118"/>
      <c r="C38" s="229">
        <f>+Inputs_Results!A182</f>
        <v>16</v>
      </c>
      <c r="D38" s="230">
        <f>+Inputs_Results!B182</f>
        <v>6.4962641766586754E-3</v>
      </c>
      <c r="E38" s="120"/>
      <c r="F38" s="136"/>
      <c r="G38" s="135"/>
      <c r="H38" s="135"/>
      <c r="I38" s="120"/>
      <c r="J38" s="119"/>
    </row>
    <row r="39" spans="2:10" x14ac:dyDescent="0.2">
      <c r="B39" s="118"/>
      <c r="C39" s="229">
        <f>+Inputs_Results!A183</f>
        <v>17</v>
      </c>
      <c r="D39" s="230">
        <f>+Inputs_Results!B183</f>
        <v>2.2103581337260054E-2</v>
      </c>
      <c r="E39" s="120"/>
      <c r="F39" s="136"/>
      <c r="G39" s="135"/>
      <c r="H39" s="135"/>
      <c r="I39" s="120"/>
      <c r="J39" s="119"/>
    </row>
    <row r="40" spans="2:10" x14ac:dyDescent="0.2">
      <c r="B40" s="118"/>
      <c r="C40" s="229">
        <f>+Inputs_Results!A184</f>
        <v>18</v>
      </c>
      <c r="D40" s="230">
        <f>+Inputs_Results!B184</f>
        <v>3.8599547234495081E-2</v>
      </c>
      <c r="E40" s="120"/>
      <c r="F40" s="136"/>
      <c r="G40" s="135"/>
      <c r="H40" s="135"/>
      <c r="I40" s="120"/>
      <c r="J40" s="119"/>
    </row>
    <row r="41" spans="2:10" x14ac:dyDescent="0.2">
      <c r="B41" s="118"/>
      <c r="C41" s="229">
        <f>+Inputs_Results!A185</f>
        <v>19</v>
      </c>
      <c r="D41" s="230">
        <f>+Inputs_Results!B185</f>
        <v>5.6005826411980882E-2</v>
      </c>
      <c r="E41" s="120"/>
      <c r="F41" s="136"/>
      <c r="G41" s="135"/>
      <c r="H41" s="135"/>
      <c r="I41" s="120"/>
      <c r="J41" s="119"/>
    </row>
    <row r="42" spans="2:10" x14ac:dyDescent="0.2">
      <c r="B42" s="118"/>
      <c r="C42" s="229">
        <f>+Inputs_Results!A186</f>
        <v>20</v>
      </c>
      <c r="D42" s="230">
        <f>+Inputs_Results!B186</f>
        <v>7.4322504177703266E-2</v>
      </c>
      <c r="E42" s="120"/>
      <c r="F42" s="136"/>
      <c r="G42" s="135"/>
      <c r="H42" s="135"/>
      <c r="I42" s="120"/>
      <c r="J42" s="119"/>
    </row>
    <row r="43" spans="2:10" x14ac:dyDescent="0.2">
      <c r="B43" s="118"/>
      <c r="C43" s="229">
        <f>+Inputs_Results!A187</f>
        <v>21</v>
      </c>
      <c r="D43" s="230">
        <f>+Inputs_Results!B187</f>
        <v>9.3524460996262604E-2</v>
      </c>
      <c r="E43" s="120"/>
      <c r="F43" s="136"/>
      <c r="G43" s="135"/>
      <c r="H43" s="135"/>
      <c r="I43" s="120"/>
      <c r="J43" s="119"/>
    </row>
    <row r="44" spans="2:10" x14ac:dyDescent="0.2">
      <c r="B44" s="118"/>
      <c r="C44" s="229">
        <f>+Inputs_Results!A188</f>
        <v>22</v>
      </c>
      <c r="D44" s="230">
        <f>+Inputs_Results!B188</f>
        <v>0.11355904393662847</v>
      </c>
      <c r="E44" s="120"/>
      <c r="F44" s="136"/>
      <c r="G44" s="135"/>
      <c r="H44" s="135"/>
      <c r="I44" s="120"/>
      <c r="J44" s="119"/>
    </row>
    <row r="45" spans="2:10" x14ac:dyDescent="0.2">
      <c r="B45" s="118"/>
      <c r="C45" s="229">
        <f>+Inputs_Results!A189</f>
        <v>23</v>
      </c>
      <c r="D45" s="230">
        <f>+Inputs_Results!B189</f>
        <v>0.13434629931358472</v>
      </c>
      <c r="E45" s="120"/>
      <c r="F45" s="136"/>
      <c r="G45" s="135"/>
      <c r="H45" s="135"/>
      <c r="I45" s="120"/>
      <c r="J45" s="119"/>
    </row>
    <row r="46" spans="2:10" x14ac:dyDescent="0.2">
      <c r="B46" s="118"/>
      <c r="C46" s="229">
        <f>+Inputs_Results!A190</f>
        <v>24</v>
      </c>
      <c r="D46" s="230">
        <f>+Inputs_Results!B190</f>
        <v>0.15578312735614966</v>
      </c>
      <c r="E46" s="120"/>
      <c r="F46" s="136"/>
      <c r="G46" s="135"/>
      <c r="H46" s="135"/>
      <c r="I46" s="120"/>
      <c r="J46" s="119"/>
    </row>
    <row r="47" spans="2:10" x14ac:dyDescent="0.2">
      <c r="B47" s="118"/>
      <c r="C47" s="231">
        <f>+Inputs_Results!A191</f>
        <v>25</v>
      </c>
      <c r="D47" s="232">
        <f>+Inputs_Results!B191</f>
        <v>0.17775241288985888</v>
      </c>
      <c r="E47" s="120"/>
      <c r="F47" s="136"/>
      <c r="G47" s="135"/>
      <c r="H47" s="135"/>
      <c r="I47" s="120"/>
      <c r="J47" s="119"/>
    </row>
    <row r="48" spans="2:10" ht="5.0999999999999996" customHeight="1" thickBot="1" x14ac:dyDescent="0.25">
      <c r="B48" s="126"/>
      <c r="C48" s="127"/>
      <c r="D48" s="127"/>
      <c r="E48" s="127"/>
      <c r="F48" s="127"/>
      <c r="G48" s="127"/>
      <c r="H48" s="127"/>
      <c r="I48" s="127"/>
      <c r="J48" s="128"/>
    </row>
    <row r="49" spans="2:14" ht="5.0999999999999996" customHeight="1" x14ac:dyDescent="0.2">
      <c r="B49" s="137"/>
      <c r="C49" s="137"/>
      <c r="D49" s="137"/>
      <c r="E49" s="137"/>
      <c r="F49" s="137"/>
      <c r="G49" s="137"/>
      <c r="H49" s="137"/>
      <c r="I49" s="137"/>
      <c r="J49" s="137"/>
    </row>
    <row r="51" spans="2:14" hidden="1" x14ac:dyDescent="0.2">
      <c r="C51" s="129" t="s">
        <v>262</v>
      </c>
    </row>
    <row r="52" spans="2:14" ht="13.5" hidden="1" thickBot="1" x14ac:dyDescent="0.25">
      <c r="C52" s="138">
        <v>10100.274219957704</v>
      </c>
      <c r="D52" s="137"/>
      <c r="F52" s="139"/>
    </row>
    <row r="53" spans="2:14" hidden="1" x14ac:dyDescent="0.2"/>
    <row r="54" spans="2:14" hidden="1" x14ac:dyDescent="0.2">
      <c r="C54" s="129" t="s">
        <v>263</v>
      </c>
    </row>
    <row r="55" spans="2:14" hidden="1" x14ac:dyDescent="0.2">
      <c r="C55" s="140" t="s">
        <v>53</v>
      </c>
      <c r="D55" s="141" t="s">
        <v>71</v>
      </c>
      <c r="E55" s="142" t="s">
        <v>37</v>
      </c>
      <c r="G55" s="143"/>
    </row>
    <row r="56" spans="2:14" hidden="1" x14ac:dyDescent="0.2">
      <c r="C56" s="144" t="s">
        <v>303</v>
      </c>
      <c r="D56" s="145">
        <v>31.927052186618152</v>
      </c>
      <c r="E56" s="146">
        <v>31.9270519461421</v>
      </c>
      <c r="G56" s="147"/>
    </row>
    <row r="57" spans="2:14" hidden="1" x14ac:dyDescent="0.2">
      <c r="C57" s="144" t="s">
        <v>304</v>
      </c>
      <c r="D57" s="145">
        <v>175.58328098837745</v>
      </c>
      <c r="E57" s="146">
        <v>175.58327970872844</v>
      </c>
      <c r="G57" s="147"/>
    </row>
    <row r="58" spans="2:14" hidden="1" x14ac:dyDescent="0.2">
      <c r="C58" s="144" t="s">
        <v>305</v>
      </c>
      <c r="D58" s="145">
        <v>503.11167926316045</v>
      </c>
      <c r="E58" s="146">
        <v>503.11167737362518</v>
      </c>
      <c r="G58" s="147"/>
    </row>
    <row r="59" spans="2:14" hidden="1" x14ac:dyDescent="0.2">
      <c r="C59" s="144" t="s">
        <v>306</v>
      </c>
      <c r="D59" s="145">
        <v>1029.8383665295496</v>
      </c>
      <c r="E59" s="146">
        <v>1029.8383663048057</v>
      </c>
      <c r="G59" s="147"/>
    </row>
    <row r="60" spans="2:14" hidden="1" x14ac:dyDescent="0.2">
      <c r="C60" s="144" t="s">
        <v>307</v>
      </c>
      <c r="D60" s="145">
        <v>1029.8383665295496</v>
      </c>
      <c r="E60" s="146">
        <v>1029.8383663048057</v>
      </c>
      <c r="G60" s="147"/>
    </row>
    <row r="61" spans="2:14" ht="13.5" hidden="1" thickBot="1" x14ac:dyDescent="0.25">
      <c r="C61" s="148" t="s">
        <v>308</v>
      </c>
      <c r="D61" s="149">
        <v>1529.8383665175354</v>
      </c>
      <c r="E61" s="150">
        <v>3029.8383663048057</v>
      </c>
      <c r="G61" s="147"/>
    </row>
    <row r="62" spans="2:14" hidden="1" x14ac:dyDescent="0.2"/>
    <row r="63" spans="2:14" hidden="1" x14ac:dyDescent="0.2">
      <c r="C63" s="129" t="s">
        <v>264</v>
      </c>
    </row>
    <row r="64" spans="2:14" hidden="1" x14ac:dyDescent="0.2">
      <c r="C64" s="151"/>
      <c r="D64" s="152"/>
      <c r="E64" s="153" t="s">
        <v>265</v>
      </c>
      <c r="F64" s="154" t="s">
        <v>71</v>
      </c>
      <c r="G64" s="154" t="s">
        <v>37</v>
      </c>
      <c r="H64" s="155"/>
      <c r="I64" s="156" t="s">
        <v>266</v>
      </c>
      <c r="J64" s="157"/>
      <c r="K64" s="157"/>
      <c r="L64" s="157"/>
      <c r="M64" s="156" t="s">
        <v>267</v>
      </c>
      <c r="N64" s="158"/>
    </row>
    <row r="65" spans="3:14" hidden="1" x14ac:dyDescent="0.2">
      <c r="C65" s="159" t="s">
        <v>268</v>
      </c>
      <c r="D65" s="160" t="s">
        <v>261</v>
      </c>
      <c r="E65" s="161" t="s">
        <v>269</v>
      </c>
      <c r="F65" s="162" t="s">
        <v>270</v>
      </c>
      <c r="G65" s="162" t="s">
        <v>270</v>
      </c>
      <c r="H65" s="162" t="s">
        <v>271</v>
      </c>
      <c r="I65" s="162" t="s">
        <v>71</v>
      </c>
      <c r="J65" s="163"/>
      <c r="K65" s="163" t="s">
        <v>72</v>
      </c>
      <c r="L65" s="163" t="s">
        <v>37</v>
      </c>
      <c r="M65" s="162" t="s">
        <v>71</v>
      </c>
      <c r="N65" s="164" t="s">
        <v>37</v>
      </c>
    </row>
    <row r="66" spans="3:14" hidden="1" x14ac:dyDescent="0.2">
      <c r="C66" s="144" t="s">
        <v>309</v>
      </c>
      <c r="D66" s="165" t="s">
        <v>310</v>
      </c>
      <c r="E66" s="166" t="str">
        <f>IF(H66=MIN(H66:H68),"Y","")</f>
        <v>Y</v>
      </c>
      <c r="F66" s="167">
        <v>0</v>
      </c>
      <c r="G66" s="167">
        <v>0</v>
      </c>
      <c r="H66" s="168">
        <v>31.9270519461421</v>
      </c>
      <c r="I66" s="169">
        <v>0</v>
      </c>
      <c r="J66" s="170"/>
      <c r="K66" s="170">
        <f t="shared" ref="K66:K80" si="0">L66-I66</f>
        <v>0</v>
      </c>
      <c r="L66" s="170">
        <v>0</v>
      </c>
      <c r="M66" s="168">
        <v>-6.2304650327860145E-10</v>
      </c>
      <c r="N66" s="146">
        <v>0</v>
      </c>
    </row>
    <row r="67" spans="3:14" hidden="1" x14ac:dyDescent="0.2">
      <c r="C67" s="144"/>
      <c r="D67" s="165" t="s">
        <v>311</v>
      </c>
      <c r="E67" s="166" t="str">
        <f>IF(H67=MIN(H66:H68),"Y","")</f>
        <v/>
      </c>
      <c r="F67" s="167">
        <v>1000</v>
      </c>
      <c r="G67" s="167">
        <v>1000</v>
      </c>
      <c r="H67" s="168">
        <v>1164.0965230922695</v>
      </c>
      <c r="I67" s="169">
        <v>-1132.1694721022081</v>
      </c>
      <c r="J67" s="170"/>
      <c r="K67" s="170">
        <f t="shared" si="0"/>
        <v>9.5608061201346572E-7</v>
      </c>
      <c r="L67" s="170">
        <v>-1132.1694711461275</v>
      </c>
      <c r="M67" s="168">
        <v>1132.1694721015851</v>
      </c>
      <c r="N67" s="146">
        <v>1132.1694711461275</v>
      </c>
    </row>
    <row r="68" spans="3:14" hidden="1" x14ac:dyDescent="0.2">
      <c r="C68" s="171"/>
      <c r="D68" s="172" t="s">
        <v>312</v>
      </c>
      <c r="E68" s="173" t="str">
        <f>IF(H68=MIN(H66:H68),"Y","")</f>
        <v/>
      </c>
      <c r="F68" s="174">
        <v>1000</v>
      </c>
      <c r="G68" s="174">
        <v>1000</v>
      </c>
      <c r="H68" s="175">
        <v>1029.8383663048057</v>
      </c>
      <c r="I68" s="176">
        <v>-997.91131434355452</v>
      </c>
      <c r="J68" s="177"/>
      <c r="K68" s="177">
        <f t="shared" si="0"/>
        <v>-1.5109094420040492E-8</v>
      </c>
      <c r="L68" s="177">
        <v>-997.91131435866362</v>
      </c>
      <c r="M68" s="175">
        <v>997.91131434293152</v>
      </c>
      <c r="N68" s="178">
        <v>997.91131435866362</v>
      </c>
    </row>
    <row r="69" spans="3:14" hidden="1" x14ac:dyDescent="0.2">
      <c r="C69" s="144" t="s">
        <v>313</v>
      </c>
      <c r="D69" s="165" t="s">
        <v>310</v>
      </c>
      <c r="E69" s="166" t="str">
        <f>IF(H69=MIN(H69:H71),"Y","")</f>
        <v>Y</v>
      </c>
      <c r="F69" s="167">
        <v>0</v>
      </c>
      <c r="G69" s="167">
        <v>0</v>
      </c>
      <c r="H69" s="168">
        <v>175.58327970872844</v>
      </c>
      <c r="I69" s="169">
        <v>0</v>
      </c>
      <c r="J69" s="170"/>
      <c r="K69" s="170">
        <f t="shared" si="0"/>
        <v>0</v>
      </c>
      <c r="L69" s="170">
        <v>0</v>
      </c>
      <c r="M69" s="168">
        <v>-6.2325966609932948E-8</v>
      </c>
      <c r="N69" s="146">
        <v>0</v>
      </c>
    </row>
    <row r="70" spans="3:14" hidden="1" x14ac:dyDescent="0.2">
      <c r="C70" s="144"/>
      <c r="D70" s="165" t="s">
        <v>311</v>
      </c>
      <c r="E70" s="166" t="str">
        <f>IF(H70=MIN(H69:H71),"Y","")</f>
        <v/>
      </c>
      <c r="F70" s="167">
        <v>1000</v>
      </c>
      <c r="G70" s="167">
        <v>1000</v>
      </c>
      <c r="H70" s="168">
        <v>1164.0965230922695</v>
      </c>
      <c r="I70" s="169">
        <v>-988.51324336215168</v>
      </c>
      <c r="J70" s="170"/>
      <c r="K70" s="170">
        <f t="shared" si="0"/>
        <v>-2.1389382709458005E-8</v>
      </c>
      <c r="L70" s="170">
        <v>-988.51324338354107</v>
      </c>
      <c r="M70" s="168">
        <v>988.51324329982572</v>
      </c>
      <c r="N70" s="146">
        <v>988.51324338354107</v>
      </c>
    </row>
    <row r="71" spans="3:14" hidden="1" x14ac:dyDescent="0.2">
      <c r="C71" s="171"/>
      <c r="D71" s="172" t="s">
        <v>312</v>
      </c>
      <c r="E71" s="173" t="str">
        <f>IF(H71=MIN(H69:H71),"Y","")</f>
        <v/>
      </c>
      <c r="F71" s="174">
        <v>1000</v>
      </c>
      <c r="G71" s="174">
        <v>1000</v>
      </c>
      <c r="H71" s="175">
        <v>1029.8383663048057</v>
      </c>
      <c r="I71" s="176">
        <v>-854.25508560349817</v>
      </c>
      <c r="J71" s="177"/>
      <c r="K71" s="177">
        <f t="shared" si="0"/>
        <v>-9.9257908914296422E-7</v>
      </c>
      <c r="L71" s="177">
        <v>-854.25508659607726</v>
      </c>
      <c r="M71" s="175">
        <v>854.25508554117221</v>
      </c>
      <c r="N71" s="178">
        <v>854.25508659607726</v>
      </c>
    </row>
    <row r="72" spans="3:14" hidden="1" x14ac:dyDescent="0.2">
      <c r="C72" s="144" t="s">
        <v>314</v>
      </c>
      <c r="D72" s="165" t="s">
        <v>310</v>
      </c>
      <c r="E72" s="166" t="str">
        <f>IF(H72=MIN(H72:H74),"Y","")</f>
        <v>Y</v>
      </c>
      <c r="F72" s="167">
        <v>0</v>
      </c>
      <c r="G72" s="167">
        <v>0</v>
      </c>
      <c r="H72" s="168">
        <v>503.11167737362518</v>
      </c>
      <c r="I72" s="169">
        <v>0</v>
      </c>
      <c r="J72" s="170"/>
      <c r="K72" s="170">
        <f t="shared" si="0"/>
        <v>0</v>
      </c>
      <c r="L72" s="170">
        <v>0</v>
      </c>
      <c r="M72" s="168">
        <v>-2.2764305640521343E-7</v>
      </c>
      <c r="N72" s="146">
        <v>0</v>
      </c>
    </row>
    <row r="73" spans="3:14" hidden="1" x14ac:dyDescent="0.2">
      <c r="C73" s="144"/>
      <c r="D73" s="165" t="s">
        <v>311</v>
      </c>
      <c r="E73" s="166" t="str">
        <f>IF(H73=MIN(H72:H74),"Y","")</f>
        <v/>
      </c>
      <c r="F73" s="167">
        <v>1000</v>
      </c>
      <c r="G73" s="167">
        <v>1000</v>
      </c>
      <c r="H73" s="168">
        <v>1164.0965230922695</v>
      </c>
      <c r="I73" s="169">
        <v>-660.98484525268577</v>
      </c>
      <c r="J73" s="170"/>
      <c r="K73" s="170">
        <f t="shared" si="0"/>
        <v>-4.6595857838838128E-7</v>
      </c>
      <c r="L73" s="170">
        <v>-660.98484571864435</v>
      </c>
      <c r="M73" s="168">
        <v>660.98484502504277</v>
      </c>
      <c r="N73" s="146">
        <v>660.98484571864435</v>
      </c>
    </row>
    <row r="74" spans="3:14" hidden="1" x14ac:dyDescent="0.2">
      <c r="C74" s="171"/>
      <c r="D74" s="172" t="s">
        <v>312</v>
      </c>
      <c r="E74" s="173" t="str">
        <f>IF(H74=MIN(H72:H74),"Y","")</f>
        <v/>
      </c>
      <c r="F74" s="174">
        <v>1000</v>
      </c>
      <c r="G74" s="174">
        <v>1000</v>
      </c>
      <c r="H74" s="175">
        <v>1029.8383663048057</v>
      </c>
      <c r="I74" s="176">
        <v>-526.72668749403238</v>
      </c>
      <c r="J74" s="177"/>
      <c r="K74" s="177">
        <f t="shared" si="0"/>
        <v>-1.4371481711350498E-6</v>
      </c>
      <c r="L74" s="177">
        <v>-526.72668893118055</v>
      </c>
      <c r="M74" s="175">
        <v>526.72668726638926</v>
      </c>
      <c r="N74" s="178">
        <v>526.72668893118055</v>
      </c>
    </row>
    <row r="75" spans="3:14" hidden="1" x14ac:dyDescent="0.2">
      <c r="C75" s="144" t="s">
        <v>315</v>
      </c>
      <c r="D75" s="165" t="s">
        <v>310</v>
      </c>
      <c r="E75" s="166" t="str">
        <f>IF(H75=MIN(H75:H77),"Y","")</f>
        <v/>
      </c>
      <c r="F75" s="167">
        <v>50</v>
      </c>
      <c r="G75" s="167">
        <v>50</v>
      </c>
      <c r="H75" s="168">
        <v>1114.9765215772229</v>
      </c>
      <c r="I75" s="169">
        <v>0</v>
      </c>
      <c r="J75" s="170"/>
      <c r="K75" s="170">
        <f t="shared" si="0"/>
        <v>0</v>
      </c>
      <c r="L75" s="170">
        <v>0</v>
      </c>
      <c r="M75" s="168">
        <v>8.2550862504469933</v>
      </c>
      <c r="N75" s="146">
        <v>85.13815527241718</v>
      </c>
    </row>
    <row r="76" spans="3:14" hidden="1" x14ac:dyDescent="0.2">
      <c r="C76" s="144"/>
      <c r="D76" s="165" t="s">
        <v>311</v>
      </c>
      <c r="E76" s="166" t="str">
        <f>IF(H76=MIN(H75:H77),"Y","")</f>
        <v/>
      </c>
      <c r="F76" s="167">
        <v>1000</v>
      </c>
      <c r="G76" s="167">
        <v>1000</v>
      </c>
      <c r="H76" s="168">
        <v>1164.0965230922695</v>
      </c>
      <c r="I76" s="169">
        <v>-126.00307150820663</v>
      </c>
      <c r="J76" s="170"/>
      <c r="K76" s="170">
        <f t="shared" si="0"/>
        <v>76.883069993159978</v>
      </c>
      <c r="L76" s="170">
        <v>-49.120001515046653</v>
      </c>
      <c r="M76" s="168">
        <v>134.25815775865362</v>
      </c>
      <c r="N76" s="146">
        <v>134.25815678746383</v>
      </c>
    </row>
    <row r="77" spans="3:14" hidden="1" x14ac:dyDescent="0.2">
      <c r="C77" s="171"/>
      <c r="D77" s="172" t="s">
        <v>312</v>
      </c>
      <c r="E77" s="173" t="str">
        <f>IF(H77=MIN(H75:H77),"Y","")</f>
        <v>Y</v>
      </c>
      <c r="F77" s="174">
        <v>1000</v>
      </c>
      <c r="G77" s="174">
        <v>1000</v>
      </c>
      <c r="H77" s="175">
        <v>1029.8383663048057</v>
      </c>
      <c r="I77" s="176">
        <v>8.2550862504469222</v>
      </c>
      <c r="J77" s="177"/>
      <c r="K77" s="177">
        <f t="shared" si="0"/>
        <v>76.883069021970286</v>
      </c>
      <c r="L77" s="177">
        <v>85.138155272417208</v>
      </c>
      <c r="M77" s="175">
        <v>7.1054273576010019E-14</v>
      </c>
      <c r="N77" s="178">
        <v>-3.1974423109204508E-14</v>
      </c>
    </row>
    <row r="78" spans="3:14" hidden="1" x14ac:dyDescent="0.2">
      <c r="C78" s="144" t="s">
        <v>316</v>
      </c>
      <c r="D78" s="165" t="s">
        <v>310</v>
      </c>
      <c r="E78" s="166" t="str">
        <f>IF(H78=MIN(H78:H80),"Y","")</f>
        <v/>
      </c>
      <c r="F78" s="167">
        <v>100</v>
      </c>
      <c r="G78" s="167">
        <v>100</v>
      </c>
      <c r="H78" s="168">
        <v>1267.4872802527584</v>
      </c>
      <c r="I78" s="169">
        <v>0</v>
      </c>
      <c r="J78" s="170"/>
      <c r="K78" s="170">
        <f t="shared" si="0"/>
        <v>0</v>
      </c>
      <c r="L78" s="170">
        <v>0</v>
      </c>
      <c r="M78" s="168">
        <v>83.882775918715311</v>
      </c>
      <c r="N78" s="146">
        <v>237.64891394795268</v>
      </c>
    </row>
    <row r="79" spans="3:14" hidden="1" x14ac:dyDescent="0.2">
      <c r="C79" s="144"/>
      <c r="D79" s="165" t="s">
        <v>311</v>
      </c>
      <c r="E79" s="166" t="str">
        <f>IF(H79=MIN(H78:H80),"Y","")</f>
        <v/>
      </c>
      <c r="F79" s="167">
        <v>1000</v>
      </c>
      <c r="G79" s="167">
        <v>1000</v>
      </c>
      <c r="H79" s="168">
        <v>1164.0965230922695</v>
      </c>
      <c r="I79" s="169">
        <v>-50.375381839938314</v>
      </c>
      <c r="J79" s="170"/>
      <c r="K79" s="170">
        <f t="shared" si="0"/>
        <v>153.76613900042716</v>
      </c>
      <c r="L79" s="170">
        <v>103.39075716048885</v>
      </c>
      <c r="M79" s="168">
        <v>134.25815775865362</v>
      </c>
      <c r="N79" s="146">
        <v>134.25815678746383</v>
      </c>
    </row>
    <row r="80" spans="3:14" hidden="1" x14ac:dyDescent="0.2">
      <c r="C80" s="171"/>
      <c r="D80" s="172" t="s">
        <v>312</v>
      </c>
      <c r="E80" s="173" t="str">
        <f>IF(H80=MIN(H78:H80),"Y","")</f>
        <v>Y</v>
      </c>
      <c r="F80" s="174">
        <v>1000</v>
      </c>
      <c r="G80" s="174">
        <v>1000</v>
      </c>
      <c r="H80" s="175">
        <v>1029.8383663048057</v>
      </c>
      <c r="I80" s="176">
        <v>83.88277591871524</v>
      </c>
      <c r="J80" s="177"/>
      <c r="K80" s="177">
        <f t="shared" si="0"/>
        <v>153.76613802923748</v>
      </c>
      <c r="L80" s="177">
        <v>237.64891394795271</v>
      </c>
      <c r="M80" s="175">
        <v>7.1054273576010019E-14</v>
      </c>
      <c r="N80" s="178">
        <v>-3.1974423109204508E-14</v>
      </c>
    </row>
    <row r="81" spans="3:22" ht="13.5" hidden="1" thickBot="1" x14ac:dyDescent="0.25">
      <c r="C81" s="148" t="s">
        <v>317</v>
      </c>
      <c r="D81" s="179" t="s">
        <v>318</v>
      </c>
      <c r="E81" s="180" t="s">
        <v>272</v>
      </c>
      <c r="F81" s="181">
        <v>1500</v>
      </c>
      <c r="G81" s="181">
        <v>3000</v>
      </c>
      <c r="H81" s="182">
        <v>3029.8383663048057</v>
      </c>
      <c r="I81" s="183" t="s">
        <v>273</v>
      </c>
      <c r="J81" s="184"/>
      <c r="K81" s="184" t="s">
        <v>273</v>
      </c>
      <c r="L81" s="184" t="s">
        <v>273</v>
      </c>
      <c r="M81" s="182">
        <v>1.2014268691018515E-8</v>
      </c>
      <c r="N81" s="150">
        <v>-3.1974423109204508E-14</v>
      </c>
    </row>
    <row r="82" spans="3:22" hidden="1" x14ac:dyDescent="0.2"/>
    <row r="83" spans="3:22" hidden="1" x14ac:dyDescent="0.2">
      <c r="C83" s="129" t="s">
        <v>274</v>
      </c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</row>
    <row r="84" spans="3:22" hidden="1" x14ac:dyDescent="0.2">
      <c r="C84" s="186"/>
      <c r="D84" s="187"/>
      <c r="E84" s="187"/>
      <c r="F84" s="156" t="s">
        <v>270</v>
      </c>
      <c r="G84" s="187"/>
      <c r="H84" s="187"/>
      <c r="I84" s="156" t="s">
        <v>266</v>
      </c>
      <c r="J84" s="187"/>
      <c r="K84" s="187"/>
      <c r="L84" s="187"/>
      <c r="M84" s="188"/>
      <c r="N84" s="156" t="s">
        <v>275</v>
      </c>
      <c r="O84" s="187"/>
      <c r="P84" s="187"/>
      <c r="Q84" s="187"/>
      <c r="R84" s="187"/>
      <c r="S84" s="187"/>
      <c r="T84" s="154" t="s">
        <v>276</v>
      </c>
      <c r="U84" s="156" t="s">
        <v>277</v>
      </c>
      <c r="V84" s="158"/>
    </row>
    <row r="85" spans="3:22" hidden="1" x14ac:dyDescent="0.2">
      <c r="C85" s="159" t="s">
        <v>268</v>
      </c>
      <c r="D85" s="189" t="s">
        <v>278</v>
      </c>
      <c r="E85" s="189"/>
      <c r="F85" s="162" t="s">
        <v>71</v>
      </c>
      <c r="G85" s="163" t="s">
        <v>37</v>
      </c>
      <c r="H85" s="163" t="s">
        <v>279</v>
      </c>
      <c r="I85" s="162" t="s">
        <v>71</v>
      </c>
      <c r="J85" s="163"/>
      <c r="K85" s="163" t="s">
        <v>72</v>
      </c>
      <c r="L85" s="163" t="s">
        <v>37</v>
      </c>
      <c r="M85" s="163" t="s">
        <v>280</v>
      </c>
      <c r="N85" s="190">
        <v>5</v>
      </c>
      <c r="O85" s="189">
        <v>4</v>
      </c>
      <c r="P85" s="189">
        <v>3</v>
      </c>
      <c r="Q85" s="189">
        <v>2</v>
      </c>
      <c r="R85" s="189">
        <v>1</v>
      </c>
      <c r="S85" s="189">
        <v>0</v>
      </c>
      <c r="T85" s="162" t="s">
        <v>281</v>
      </c>
      <c r="U85" s="162" t="s">
        <v>71</v>
      </c>
      <c r="V85" s="164" t="s">
        <v>37</v>
      </c>
    </row>
    <row r="86" spans="3:22" hidden="1" x14ac:dyDescent="0.2">
      <c r="C86" s="144" t="str">
        <f>C66</f>
        <v>5-Excellent</v>
      </c>
      <c r="D86" s="137" t="str">
        <f>IF($E66="Y",D66,IF($E67="Y",D67,D68))</f>
        <v>0-Do Minimum</v>
      </c>
      <c r="E86" s="137"/>
      <c r="F86" s="191">
        <f t="shared" ref="F86:L86" si="1">IF($E66="Y",F66,IF($E67="Y",F67,F68))</f>
        <v>0</v>
      </c>
      <c r="G86" s="192">
        <f t="shared" si="1"/>
        <v>0</v>
      </c>
      <c r="H86" s="192">
        <f t="shared" si="1"/>
        <v>31.9270519461421</v>
      </c>
      <c r="I86" s="191">
        <f>IF($E66="Y",I66,IF($E67="Y",I67,I68))</f>
        <v>0</v>
      </c>
      <c r="J86" s="192"/>
      <c r="K86" s="192">
        <f t="shared" si="1"/>
        <v>0</v>
      </c>
      <c r="L86" s="192">
        <f t="shared" si="1"/>
        <v>0</v>
      </c>
      <c r="M86" s="193" t="str">
        <f>IF(F86&gt;0,L86/F86,"N/A")</f>
        <v>N/A</v>
      </c>
      <c r="N86" s="194">
        <v>0.98444276540573339</v>
      </c>
      <c r="O86" s="195">
        <v>1.5557234594266611E-2</v>
      </c>
      <c r="P86" s="195">
        <v>0</v>
      </c>
      <c r="Q86" s="195">
        <v>0</v>
      </c>
      <c r="R86" s="195">
        <v>0</v>
      </c>
      <c r="S86" s="195">
        <v>0</v>
      </c>
      <c r="T86" s="196">
        <f>1/(2-N86+(1-N90)*(D98*(D102*(D105*D107+D106)+D103*D107+D104)+D99*(D105*D107+D106)+D100*D107+D101)+(1-N89)*(D102*(D105*D107+D106)+D103*D107+D104)+(1-N88)*(D105*D107+D106)+(1-N87)*D107)</f>
        <v>0.60139255887831344</v>
      </c>
      <c r="U86" s="197">
        <f t="shared" ref="U86:V91" si="2">F86*$T86</f>
        <v>0</v>
      </c>
      <c r="V86" s="198">
        <f t="shared" si="2"/>
        <v>0</v>
      </c>
    </row>
    <row r="87" spans="3:22" hidden="1" x14ac:dyDescent="0.2">
      <c r="C87" s="144" t="str">
        <f>C69</f>
        <v>4-Good</v>
      </c>
      <c r="D87" s="137" t="str">
        <f>IF($E69="Y",D69,IF($E70="Y",D70,D71))</f>
        <v>0-Do Minimum</v>
      </c>
      <c r="E87" s="137"/>
      <c r="F87" s="191">
        <f t="shared" ref="F87:L87" si="3">IF($E69="Y",F69,IF($E70="Y",F70,F71))</f>
        <v>0</v>
      </c>
      <c r="G87" s="192">
        <f t="shared" si="3"/>
        <v>0</v>
      </c>
      <c r="H87" s="192">
        <f t="shared" si="3"/>
        <v>175.58327970872844</v>
      </c>
      <c r="I87" s="191">
        <f>IF($E69="Y",I69,IF($E70="Y",I70,I71))</f>
        <v>0</v>
      </c>
      <c r="J87" s="192"/>
      <c r="K87" s="192">
        <f t="shared" si="3"/>
        <v>0</v>
      </c>
      <c r="L87" s="192">
        <f t="shared" si="3"/>
        <v>0</v>
      </c>
      <c r="M87" s="193" t="str">
        <f>IF(F87&gt;0,L87/F87,"N/A")</f>
        <v>N/A</v>
      </c>
      <c r="N87" s="194">
        <v>0</v>
      </c>
      <c r="O87" s="195">
        <v>0.96247400327043964</v>
      </c>
      <c r="P87" s="195">
        <v>3.7525996729560362E-2</v>
      </c>
      <c r="Q87" s="195">
        <v>0</v>
      </c>
      <c r="R87" s="195">
        <v>0</v>
      </c>
      <c r="S87" s="195">
        <v>0</v>
      </c>
      <c r="T87" s="196">
        <f>D107*T86</f>
        <v>0.24932062935309618</v>
      </c>
      <c r="U87" s="197">
        <f t="shared" si="2"/>
        <v>0</v>
      </c>
      <c r="V87" s="198">
        <f t="shared" si="2"/>
        <v>0</v>
      </c>
    </row>
    <row r="88" spans="3:22" hidden="1" x14ac:dyDescent="0.2">
      <c r="C88" s="144" t="str">
        <f>C72</f>
        <v>3-Adequate</v>
      </c>
      <c r="D88" s="137" t="str">
        <f>IF($E72="Y",D72,IF($E73="Y",D73,D74))</f>
        <v>0-Do Minimum</v>
      </c>
      <c r="E88" s="137"/>
      <c r="F88" s="191">
        <f t="shared" ref="F88:L88" si="4">IF($E72="Y",F72,IF($E73="Y",F73,F74))</f>
        <v>0</v>
      </c>
      <c r="G88" s="192">
        <f t="shared" si="4"/>
        <v>0</v>
      </c>
      <c r="H88" s="192">
        <f t="shared" si="4"/>
        <v>503.11167737362518</v>
      </c>
      <c r="I88" s="191">
        <f>IF($E72="Y",I72,IF($E73="Y",I73,I74))</f>
        <v>0</v>
      </c>
      <c r="J88" s="192"/>
      <c r="K88" s="192">
        <f t="shared" si="4"/>
        <v>0</v>
      </c>
      <c r="L88" s="192">
        <f t="shared" si="4"/>
        <v>0</v>
      </c>
      <c r="M88" s="193" t="str">
        <f>IF(F88&gt;0,L88/F88,"N/A")</f>
        <v>N/A</v>
      </c>
      <c r="N88" s="194">
        <v>0</v>
      </c>
      <c r="O88" s="195">
        <v>0</v>
      </c>
      <c r="P88" s="195">
        <v>0.93313834640197002</v>
      </c>
      <c r="Q88" s="195">
        <v>6.686165359802998E-2</v>
      </c>
      <c r="R88" s="195">
        <v>0</v>
      </c>
      <c r="S88" s="195">
        <v>0</v>
      </c>
      <c r="T88" s="196">
        <f>D105*T87+D106*T86</f>
        <v>0.1399308066468743</v>
      </c>
      <c r="U88" s="197">
        <f t="shared" si="2"/>
        <v>0</v>
      </c>
      <c r="V88" s="198">
        <f t="shared" si="2"/>
        <v>0</v>
      </c>
    </row>
    <row r="89" spans="3:22" hidden="1" x14ac:dyDescent="0.2">
      <c r="C89" s="144" t="str">
        <f>C75</f>
        <v>2-Marginal</v>
      </c>
      <c r="D89" s="137" t="str">
        <f>IF($E75="Y",D75,IF($E76="Y",D76,D77))</f>
        <v>2-Replace</v>
      </c>
      <c r="E89" s="137"/>
      <c r="F89" s="191">
        <f t="shared" ref="F89:L89" si="5">IF($E75="Y",F75,IF($E76="Y",F76,F77))</f>
        <v>1000</v>
      </c>
      <c r="G89" s="192">
        <f t="shared" si="5"/>
        <v>1000</v>
      </c>
      <c r="H89" s="192">
        <f t="shared" si="5"/>
        <v>1029.8383663048057</v>
      </c>
      <c r="I89" s="191">
        <f>IF($E75="Y",I75,IF($E76="Y",I76,I77))</f>
        <v>8.2550862504469222</v>
      </c>
      <c r="J89" s="192"/>
      <c r="K89" s="192">
        <f t="shared" si="5"/>
        <v>76.883069021970286</v>
      </c>
      <c r="L89" s="192">
        <f t="shared" si="5"/>
        <v>85.138155272417208</v>
      </c>
      <c r="M89" s="193">
        <f>IF(F89&gt;0,L89/F89,"N/A")</f>
        <v>8.5138155272417207E-2</v>
      </c>
      <c r="N89" s="194">
        <v>1</v>
      </c>
      <c r="O89" s="195">
        <v>0</v>
      </c>
      <c r="P89" s="195">
        <v>0</v>
      </c>
      <c r="Q89" s="195">
        <v>0</v>
      </c>
      <c r="R89" s="195">
        <v>0</v>
      </c>
      <c r="S89" s="195">
        <v>0</v>
      </c>
      <c r="T89" s="196">
        <f>D102*T88+D103*T87+D104*T86</f>
        <v>9.3560051217162193E-3</v>
      </c>
      <c r="U89" s="197">
        <f t="shared" si="2"/>
        <v>9.356005121716219</v>
      </c>
      <c r="V89" s="198">
        <f t="shared" si="2"/>
        <v>9.356005121716219</v>
      </c>
    </row>
    <row r="90" spans="3:22" hidden="1" x14ac:dyDescent="0.2">
      <c r="C90" s="144" t="str">
        <f>C78</f>
        <v>1-Poor</v>
      </c>
      <c r="D90" s="137" t="str">
        <f>IF($E78="Y",D78,IF($E79="Y",D79,D80))</f>
        <v>2-Replace</v>
      </c>
      <c r="E90" s="137"/>
      <c r="F90" s="191">
        <f t="shared" ref="F90:L90" si="6">IF($E78="Y",F78,IF($E79="Y",F79,F80))</f>
        <v>1000</v>
      </c>
      <c r="G90" s="192">
        <f t="shared" si="6"/>
        <v>1000</v>
      </c>
      <c r="H90" s="192">
        <f t="shared" si="6"/>
        <v>1029.8383663048057</v>
      </c>
      <c r="I90" s="191">
        <f>IF($E78="Y",I78,IF($E79="Y",I79,I80))</f>
        <v>83.88277591871524</v>
      </c>
      <c r="J90" s="192"/>
      <c r="K90" s="192">
        <f t="shared" si="6"/>
        <v>153.76613802923748</v>
      </c>
      <c r="L90" s="192">
        <f t="shared" si="6"/>
        <v>237.64891394795271</v>
      </c>
      <c r="M90" s="193">
        <f>IF(F90&gt;0,L90/F90,"N/A")</f>
        <v>0.23764891394795271</v>
      </c>
      <c r="N90" s="194">
        <v>1</v>
      </c>
      <c r="O90" s="195">
        <v>0</v>
      </c>
      <c r="P90" s="195">
        <v>0</v>
      </c>
      <c r="Q90" s="195">
        <v>0</v>
      </c>
      <c r="R90" s="195">
        <v>0</v>
      </c>
      <c r="S90" s="195">
        <v>0</v>
      </c>
      <c r="T90" s="196">
        <f>D98*T89+D99*T88+D100*T87+D101*T86</f>
        <v>0</v>
      </c>
      <c r="U90" s="197">
        <f t="shared" si="2"/>
        <v>0</v>
      </c>
      <c r="V90" s="198">
        <f t="shared" si="2"/>
        <v>0</v>
      </c>
    </row>
    <row r="91" spans="3:22" hidden="1" x14ac:dyDescent="0.2">
      <c r="C91" s="171" t="str">
        <f>C81</f>
        <v>0-Failed</v>
      </c>
      <c r="D91" s="199" t="str">
        <f>D81</f>
        <v>0-Replace</v>
      </c>
      <c r="E91" s="199"/>
      <c r="F91" s="200">
        <f t="shared" ref="F91:L91" si="7">F81</f>
        <v>1500</v>
      </c>
      <c r="G91" s="201">
        <f t="shared" si="7"/>
        <v>3000</v>
      </c>
      <c r="H91" s="201">
        <f t="shared" si="7"/>
        <v>3029.8383663048057</v>
      </c>
      <c r="I91" s="200" t="str">
        <f>I81</f>
        <v>N/A</v>
      </c>
      <c r="J91" s="201"/>
      <c r="K91" s="201" t="str">
        <f t="shared" si="7"/>
        <v>N/A</v>
      </c>
      <c r="L91" s="201" t="str">
        <f t="shared" si="7"/>
        <v>N/A</v>
      </c>
      <c r="M91" s="202" t="s">
        <v>273</v>
      </c>
      <c r="N91" s="203">
        <v>1</v>
      </c>
      <c r="O91" s="204">
        <v>0</v>
      </c>
      <c r="P91" s="204">
        <v>0</v>
      </c>
      <c r="Q91" s="204">
        <v>0</v>
      </c>
      <c r="R91" s="204">
        <v>0</v>
      </c>
      <c r="S91" s="204">
        <v>0</v>
      </c>
      <c r="T91" s="205">
        <f>1-T90-T89-T88-T87-T86</f>
        <v>0</v>
      </c>
      <c r="U91" s="206">
        <f t="shared" si="2"/>
        <v>0</v>
      </c>
      <c r="V91" s="207">
        <f t="shared" si="2"/>
        <v>0</v>
      </c>
    </row>
    <row r="92" spans="3:22" ht="13.5" hidden="1" thickBot="1" x14ac:dyDescent="0.25">
      <c r="C92" s="148" t="s">
        <v>37</v>
      </c>
      <c r="D92" s="208"/>
      <c r="E92" s="208"/>
      <c r="F92" s="209"/>
      <c r="G92" s="210"/>
      <c r="H92" s="210"/>
      <c r="I92" s="209"/>
      <c r="J92" s="210"/>
      <c r="K92" s="210"/>
      <c r="L92" s="210"/>
      <c r="M92" s="211"/>
      <c r="N92" s="212"/>
      <c r="O92" s="213"/>
      <c r="P92" s="213"/>
      <c r="Q92" s="213"/>
      <c r="R92" s="213"/>
      <c r="S92" s="213"/>
      <c r="T92" s="214">
        <f>SUM(T86:T91)</f>
        <v>1.0000000000000002</v>
      </c>
      <c r="U92" s="215">
        <f>SUM(U86:U91)</f>
        <v>9.356005121716219</v>
      </c>
      <c r="V92" s="216">
        <f>SUM(V86:V91)</f>
        <v>9.356005121716219</v>
      </c>
    </row>
    <row r="93" spans="3:22" hidden="1" x14ac:dyDescent="0.2"/>
    <row r="94" spans="3:22" hidden="1" x14ac:dyDescent="0.2">
      <c r="C94" s="129" t="s">
        <v>282</v>
      </c>
    </row>
    <row r="95" spans="3:22" hidden="1" x14ac:dyDescent="0.2">
      <c r="C95" s="140" t="s">
        <v>53</v>
      </c>
      <c r="D95" s="142" t="s">
        <v>54</v>
      </c>
    </row>
    <row r="96" spans="3:22" hidden="1" x14ac:dyDescent="0.2">
      <c r="C96" s="144" t="s">
        <v>283</v>
      </c>
      <c r="D96" s="217">
        <v>7.0000000000000007E-2</v>
      </c>
    </row>
    <row r="97" spans="3:11" hidden="1" x14ac:dyDescent="0.2">
      <c r="C97" s="144" t="s">
        <v>284</v>
      </c>
      <c r="D97" s="217">
        <f>1/(1+D96)</f>
        <v>0.93457943925233644</v>
      </c>
      <c r="K97" s="218"/>
    </row>
    <row r="98" spans="3:11" hidden="1" x14ac:dyDescent="0.2">
      <c r="C98" s="144" t="s">
        <v>285</v>
      </c>
      <c r="D98" s="219">
        <f>R89/(1-R90)</f>
        <v>0</v>
      </c>
      <c r="K98" s="218"/>
    </row>
    <row r="99" spans="3:11" hidden="1" x14ac:dyDescent="0.2">
      <c r="C99" s="144" t="s">
        <v>286</v>
      </c>
      <c r="D99" s="219">
        <f>R88/(1-R90)</f>
        <v>0</v>
      </c>
      <c r="K99" s="218"/>
    </row>
    <row r="100" spans="3:11" hidden="1" x14ac:dyDescent="0.2">
      <c r="C100" s="144" t="s">
        <v>287</v>
      </c>
      <c r="D100" s="219">
        <f>R87/(1-R90)</f>
        <v>0</v>
      </c>
      <c r="K100" s="218"/>
    </row>
    <row r="101" spans="3:11" hidden="1" x14ac:dyDescent="0.2">
      <c r="C101" s="144" t="s">
        <v>288</v>
      </c>
      <c r="D101" s="219">
        <f>R86/(1-R90)</f>
        <v>0</v>
      </c>
      <c r="K101" s="218"/>
    </row>
    <row r="102" spans="3:11" hidden="1" x14ac:dyDescent="0.2">
      <c r="C102" s="144" t="s">
        <v>289</v>
      </c>
      <c r="D102" s="219">
        <f>(Q90*D99+Q88)/(1-Q89-Q90*D98)</f>
        <v>6.686165359802998E-2</v>
      </c>
      <c r="K102" s="218"/>
    </row>
    <row r="103" spans="3:11" hidden="1" x14ac:dyDescent="0.2">
      <c r="C103" s="144" t="s">
        <v>290</v>
      </c>
      <c r="D103" s="219">
        <f>(Q90*D100+Q87)/(1-Q89-Q90*D98)</f>
        <v>0</v>
      </c>
      <c r="K103" s="218"/>
    </row>
    <row r="104" spans="3:11" hidden="1" x14ac:dyDescent="0.2">
      <c r="C104" s="144" t="s">
        <v>291</v>
      </c>
      <c r="D104" s="219">
        <f>(Q90*D101+Q86)/(1-Q89-Q90*D98)</f>
        <v>0</v>
      </c>
      <c r="K104" s="218"/>
    </row>
    <row r="105" spans="3:11" hidden="1" x14ac:dyDescent="0.2">
      <c r="C105" s="144" t="s">
        <v>292</v>
      </c>
      <c r="D105" s="219">
        <f>(P90*D98*D103+P90*D100+P89*D103+P87)/(1-P88-P90*D98*D102-P90*D99-P89*D102)</f>
        <v>0.56124840936727949</v>
      </c>
      <c r="K105" s="218"/>
    </row>
    <row r="106" spans="3:11" hidden="1" x14ac:dyDescent="0.2">
      <c r="C106" s="144" t="s">
        <v>293</v>
      </c>
      <c r="D106" s="219">
        <f>(P90*D98*D104+P90*D101+P89*D104+P86)/(1-P88-P90*D98*D102-P90*D99-P89*D102)</f>
        <v>0</v>
      </c>
      <c r="K106" s="218"/>
    </row>
    <row r="107" spans="3:11" ht="13.5" hidden="1" thickBot="1" x14ac:dyDescent="0.25">
      <c r="C107" s="148" t="s">
        <v>294</v>
      </c>
      <c r="D107" s="220">
        <f>(O90*D98*D102*D106+O90*D98*D104+O90*D99*D106+O90*D101+O89*D102*D106+O89*D104+O88*D106+O86)/(1-O87-O90*D98*D102*D105-O90*D98*D103-O90*D99*D105-O90*D100+O89*D103+O88*D105)</f>
        <v>0.41457218861855594</v>
      </c>
      <c r="K107" s="218"/>
    </row>
    <row r="108" spans="3:11" hidden="1" x14ac:dyDescent="0.2">
      <c r="K108" s="218"/>
    </row>
    <row r="109" spans="3:11" hidden="1" x14ac:dyDescent="0.2">
      <c r="C109" s="129" t="s">
        <v>105</v>
      </c>
    </row>
    <row r="110" spans="3:11" hidden="1" x14ac:dyDescent="0.2">
      <c r="C110" s="151" t="s">
        <v>106</v>
      </c>
      <c r="D110" s="221"/>
      <c r="E110" s="222"/>
    </row>
    <row r="111" spans="3:11" hidden="1" x14ac:dyDescent="0.2">
      <c r="C111" s="144" t="s">
        <v>107</v>
      </c>
      <c r="D111" s="137"/>
      <c r="E111" s="223"/>
    </row>
    <row r="112" spans="3:11" hidden="1" x14ac:dyDescent="0.2">
      <c r="C112" s="144" t="s">
        <v>108</v>
      </c>
      <c r="D112" s="137"/>
      <c r="E112" s="223"/>
    </row>
    <row r="113" spans="3:5" hidden="1" x14ac:dyDescent="0.2">
      <c r="C113" s="144" t="s">
        <v>109</v>
      </c>
      <c r="D113" s="137"/>
      <c r="E113" s="223"/>
    </row>
    <row r="114" spans="3:5" hidden="1" x14ac:dyDescent="0.2">
      <c r="C114" s="144" t="s">
        <v>110</v>
      </c>
      <c r="D114" s="137"/>
      <c r="E114" s="223"/>
    </row>
    <row r="115" spans="3:5" hidden="1" x14ac:dyDescent="0.2">
      <c r="C115" s="144" t="s">
        <v>101</v>
      </c>
      <c r="D115" s="137"/>
      <c r="E115" s="223"/>
    </row>
    <row r="116" spans="3:5" hidden="1" x14ac:dyDescent="0.2">
      <c r="C116" s="144" t="s">
        <v>111</v>
      </c>
      <c r="D116" s="137"/>
      <c r="E116" s="223"/>
    </row>
    <row r="117" spans="3:5" hidden="1" x14ac:dyDescent="0.2">
      <c r="C117" s="144" t="s">
        <v>112</v>
      </c>
      <c r="D117" s="137"/>
      <c r="E117" s="223"/>
    </row>
    <row r="118" spans="3:5" hidden="1" x14ac:dyDescent="0.2">
      <c r="C118" s="144" t="s">
        <v>113</v>
      </c>
      <c r="D118" s="137"/>
      <c r="E118" s="223"/>
    </row>
    <row r="119" spans="3:5" hidden="1" x14ac:dyDescent="0.2">
      <c r="C119" s="144" t="s">
        <v>114</v>
      </c>
      <c r="D119" s="137"/>
      <c r="E119" s="223"/>
    </row>
    <row r="120" spans="3:5" hidden="1" x14ac:dyDescent="0.2">
      <c r="C120" s="144" t="s">
        <v>115</v>
      </c>
      <c r="D120" s="137"/>
      <c r="E120" s="223"/>
    </row>
    <row r="121" spans="3:5" hidden="1" x14ac:dyDescent="0.2">
      <c r="C121" s="144" t="s">
        <v>116</v>
      </c>
      <c r="D121" s="137"/>
      <c r="E121" s="223"/>
    </row>
    <row r="122" spans="3:5" hidden="1" x14ac:dyDescent="0.2">
      <c r="C122" s="144" t="s">
        <v>117</v>
      </c>
      <c r="D122" s="137"/>
      <c r="E122" s="223"/>
    </row>
    <row r="123" spans="3:5" hidden="1" x14ac:dyDescent="0.2">
      <c r="C123" s="144" t="s">
        <v>118</v>
      </c>
      <c r="D123" s="137"/>
      <c r="E123" s="223"/>
    </row>
    <row r="124" spans="3:5" hidden="1" x14ac:dyDescent="0.2">
      <c r="C124" s="144" t="s">
        <v>119</v>
      </c>
      <c r="D124" s="137"/>
      <c r="E124" s="223"/>
    </row>
    <row r="125" spans="3:5" hidden="1" x14ac:dyDescent="0.2">
      <c r="C125" s="144" t="s">
        <v>120</v>
      </c>
      <c r="D125" s="137"/>
      <c r="E125" s="223"/>
    </row>
    <row r="126" spans="3:5" hidden="1" x14ac:dyDescent="0.2">
      <c r="C126" s="144" t="s">
        <v>121</v>
      </c>
      <c r="D126" s="137"/>
      <c r="E126" s="223"/>
    </row>
    <row r="127" spans="3:5" hidden="1" x14ac:dyDescent="0.2">
      <c r="C127" s="144" t="s">
        <v>122</v>
      </c>
      <c r="D127" s="137"/>
      <c r="E127" s="223"/>
    </row>
    <row r="128" spans="3:5" hidden="1" x14ac:dyDescent="0.2">
      <c r="C128" s="144" t="s">
        <v>123</v>
      </c>
      <c r="D128" s="137"/>
      <c r="E128" s="223"/>
    </row>
    <row r="129" spans="3:5" hidden="1" x14ac:dyDescent="0.2">
      <c r="C129" s="144" t="s">
        <v>124</v>
      </c>
      <c r="D129" s="137"/>
      <c r="E129" s="223"/>
    </row>
    <row r="130" spans="3:5" hidden="1" x14ac:dyDescent="0.2">
      <c r="C130" s="144" t="s">
        <v>125</v>
      </c>
      <c r="D130" s="137"/>
      <c r="E130" s="223"/>
    </row>
    <row r="131" spans="3:5" hidden="1" x14ac:dyDescent="0.2">
      <c r="C131" s="144" t="s">
        <v>126</v>
      </c>
      <c r="D131" s="137"/>
      <c r="E131" s="223"/>
    </row>
    <row r="132" spans="3:5" hidden="1" x14ac:dyDescent="0.2">
      <c r="C132" s="144" t="s">
        <v>127</v>
      </c>
      <c r="D132" s="137"/>
      <c r="E132" s="223"/>
    </row>
    <row r="133" spans="3:5" hidden="1" x14ac:dyDescent="0.2">
      <c r="C133" s="144" t="s">
        <v>128</v>
      </c>
      <c r="D133" s="137"/>
      <c r="E133" s="223"/>
    </row>
    <row r="134" spans="3:5" hidden="1" x14ac:dyDescent="0.2">
      <c r="C134" s="144" t="s">
        <v>129</v>
      </c>
      <c r="D134" s="137"/>
      <c r="E134" s="223"/>
    </row>
    <row r="135" spans="3:5" hidden="1" x14ac:dyDescent="0.2">
      <c r="C135" s="144" t="s">
        <v>130</v>
      </c>
      <c r="D135" s="137"/>
      <c r="E135" s="223"/>
    </row>
    <row r="136" spans="3:5" hidden="1" x14ac:dyDescent="0.2">
      <c r="C136" s="144" t="s">
        <v>131</v>
      </c>
      <c r="D136" s="137"/>
      <c r="E136" s="223"/>
    </row>
    <row r="137" spans="3:5" hidden="1" x14ac:dyDescent="0.2">
      <c r="C137" s="144" t="s">
        <v>132</v>
      </c>
      <c r="D137" s="137"/>
      <c r="E137" s="223"/>
    </row>
    <row r="138" spans="3:5" hidden="1" x14ac:dyDescent="0.2">
      <c r="C138" s="144" t="s">
        <v>133</v>
      </c>
      <c r="D138" s="137"/>
      <c r="E138" s="223"/>
    </row>
    <row r="139" spans="3:5" hidden="1" x14ac:dyDescent="0.2">
      <c r="C139" s="144" t="s">
        <v>134</v>
      </c>
      <c r="D139" s="137"/>
      <c r="E139" s="223"/>
    </row>
    <row r="140" spans="3:5" hidden="1" x14ac:dyDescent="0.2">
      <c r="C140" s="144" t="s">
        <v>135</v>
      </c>
      <c r="D140" s="137"/>
      <c r="E140" s="223"/>
    </row>
    <row r="141" spans="3:5" hidden="1" x14ac:dyDescent="0.2">
      <c r="C141" s="144" t="s">
        <v>136</v>
      </c>
      <c r="D141" s="137"/>
      <c r="E141" s="223"/>
    </row>
    <row r="142" spans="3:5" hidden="1" x14ac:dyDescent="0.2">
      <c r="C142" s="144" t="s">
        <v>137</v>
      </c>
      <c r="D142" s="137"/>
      <c r="E142" s="223"/>
    </row>
    <row r="143" spans="3:5" hidden="1" x14ac:dyDescent="0.2">
      <c r="C143" s="144" t="s">
        <v>138</v>
      </c>
      <c r="D143" s="137"/>
      <c r="E143" s="223"/>
    </row>
    <row r="144" spans="3:5" hidden="1" x14ac:dyDescent="0.2">
      <c r="C144" s="144" t="s">
        <v>139</v>
      </c>
      <c r="D144" s="137"/>
      <c r="E144" s="223"/>
    </row>
    <row r="145" spans="3:5" hidden="1" x14ac:dyDescent="0.2">
      <c r="C145" s="144" t="s">
        <v>140</v>
      </c>
      <c r="D145" s="137"/>
      <c r="E145" s="223"/>
    </row>
    <row r="146" spans="3:5" hidden="1" x14ac:dyDescent="0.2">
      <c r="C146" s="144" t="s">
        <v>141</v>
      </c>
      <c r="D146" s="137"/>
      <c r="E146" s="223"/>
    </row>
    <row r="147" spans="3:5" hidden="1" x14ac:dyDescent="0.2">
      <c r="C147" s="144" t="s">
        <v>142</v>
      </c>
      <c r="D147" s="137"/>
      <c r="E147" s="223"/>
    </row>
    <row r="148" spans="3:5" hidden="1" x14ac:dyDescent="0.2">
      <c r="C148" s="144" t="s">
        <v>143</v>
      </c>
      <c r="D148" s="137"/>
      <c r="E148" s="223"/>
    </row>
    <row r="149" spans="3:5" hidden="1" x14ac:dyDescent="0.2">
      <c r="C149" s="144" t="s">
        <v>144</v>
      </c>
      <c r="D149" s="137"/>
      <c r="E149" s="223"/>
    </row>
    <row r="150" spans="3:5" hidden="1" x14ac:dyDescent="0.2">
      <c r="C150" s="144" t="s">
        <v>145</v>
      </c>
      <c r="D150" s="137"/>
      <c r="E150" s="223"/>
    </row>
    <row r="151" spans="3:5" hidden="1" x14ac:dyDescent="0.2">
      <c r="C151" s="144" t="s">
        <v>146</v>
      </c>
      <c r="D151" s="137"/>
      <c r="E151" s="223"/>
    </row>
    <row r="152" spans="3:5" hidden="1" x14ac:dyDescent="0.2">
      <c r="C152" s="144" t="s">
        <v>147</v>
      </c>
      <c r="D152" s="137"/>
      <c r="E152" s="223"/>
    </row>
    <row r="153" spans="3:5" hidden="1" x14ac:dyDescent="0.2">
      <c r="C153" s="144" t="s">
        <v>148</v>
      </c>
      <c r="D153" s="137"/>
      <c r="E153" s="223"/>
    </row>
    <row r="154" spans="3:5" hidden="1" x14ac:dyDescent="0.2">
      <c r="C154" s="144" t="s">
        <v>149</v>
      </c>
      <c r="D154" s="137"/>
      <c r="E154" s="223"/>
    </row>
    <row r="155" spans="3:5" hidden="1" x14ac:dyDescent="0.2">
      <c r="C155" s="144" t="s">
        <v>150</v>
      </c>
      <c r="D155" s="137"/>
      <c r="E155" s="223"/>
    </row>
    <row r="156" spans="3:5" hidden="1" x14ac:dyDescent="0.2">
      <c r="C156" s="144" t="s">
        <v>151</v>
      </c>
      <c r="D156" s="137"/>
      <c r="E156" s="223"/>
    </row>
    <row r="157" spans="3:5" hidden="1" x14ac:dyDescent="0.2">
      <c r="C157" s="144" t="s">
        <v>152</v>
      </c>
      <c r="D157" s="137"/>
      <c r="E157" s="223"/>
    </row>
    <row r="158" spans="3:5" hidden="1" x14ac:dyDescent="0.2">
      <c r="C158" s="144" t="s">
        <v>153</v>
      </c>
      <c r="D158" s="137"/>
      <c r="E158" s="223"/>
    </row>
    <row r="159" spans="3:5" hidden="1" x14ac:dyDescent="0.2">
      <c r="C159" s="144" t="s">
        <v>154</v>
      </c>
      <c r="D159" s="137"/>
      <c r="E159" s="223"/>
    </row>
    <row r="160" spans="3:5" hidden="1" x14ac:dyDescent="0.2">
      <c r="C160" s="144" t="s">
        <v>155</v>
      </c>
      <c r="D160" s="137"/>
      <c r="E160" s="223"/>
    </row>
    <row r="161" spans="3:5" hidden="1" x14ac:dyDescent="0.2">
      <c r="C161" s="144" t="s">
        <v>156</v>
      </c>
      <c r="D161" s="137"/>
      <c r="E161" s="223"/>
    </row>
    <row r="162" spans="3:5" hidden="1" x14ac:dyDescent="0.2">
      <c r="C162" s="144" t="s">
        <v>157</v>
      </c>
      <c r="D162" s="137"/>
      <c r="E162" s="223"/>
    </row>
    <row r="163" spans="3:5" hidden="1" x14ac:dyDescent="0.2">
      <c r="C163" s="144" t="s">
        <v>158</v>
      </c>
      <c r="D163" s="137"/>
      <c r="E163" s="223"/>
    </row>
    <row r="164" spans="3:5" hidden="1" x14ac:dyDescent="0.2">
      <c r="C164" s="144" t="s">
        <v>159</v>
      </c>
      <c r="D164" s="137"/>
      <c r="E164" s="223"/>
    </row>
    <row r="165" spans="3:5" hidden="1" x14ac:dyDescent="0.2">
      <c r="C165" s="144" t="s">
        <v>160</v>
      </c>
      <c r="D165" s="137"/>
      <c r="E165" s="223"/>
    </row>
    <row r="166" spans="3:5" hidden="1" x14ac:dyDescent="0.2">
      <c r="C166" s="144" t="s">
        <v>161</v>
      </c>
      <c r="D166" s="137"/>
      <c r="E166" s="223"/>
    </row>
    <row r="167" spans="3:5" hidden="1" x14ac:dyDescent="0.2">
      <c r="C167" s="144" t="s">
        <v>162</v>
      </c>
      <c r="D167" s="137"/>
      <c r="E167" s="223"/>
    </row>
    <row r="168" spans="3:5" hidden="1" x14ac:dyDescent="0.2">
      <c r="C168" s="144" t="s">
        <v>163</v>
      </c>
      <c r="D168" s="137"/>
      <c r="E168" s="223"/>
    </row>
    <row r="169" spans="3:5" hidden="1" x14ac:dyDescent="0.2">
      <c r="C169" s="144" t="s">
        <v>164</v>
      </c>
      <c r="D169" s="137"/>
      <c r="E169" s="223"/>
    </row>
    <row r="170" spans="3:5" hidden="1" x14ac:dyDescent="0.2">
      <c r="C170" s="144" t="s">
        <v>165</v>
      </c>
      <c r="D170" s="137"/>
      <c r="E170" s="223"/>
    </row>
    <row r="171" spans="3:5" hidden="1" x14ac:dyDescent="0.2">
      <c r="C171" s="144" t="s">
        <v>166</v>
      </c>
      <c r="D171" s="137"/>
      <c r="E171" s="223"/>
    </row>
    <row r="172" spans="3:5" hidden="1" x14ac:dyDescent="0.2">
      <c r="C172" s="144" t="s">
        <v>167</v>
      </c>
      <c r="D172" s="137"/>
      <c r="E172" s="223"/>
    </row>
    <row r="173" spans="3:5" hidden="1" x14ac:dyDescent="0.2">
      <c r="C173" s="144" t="s">
        <v>167</v>
      </c>
      <c r="D173" s="137"/>
      <c r="E173" s="223"/>
    </row>
    <row r="174" spans="3:5" hidden="1" x14ac:dyDescent="0.2">
      <c r="C174" s="144" t="s">
        <v>168</v>
      </c>
      <c r="D174" s="137"/>
      <c r="E174" s="223"/>
    </row>
    <row r="175" spans="3:5" hidden="1" x14ac:dyDescent="0.2">
      <c r="C175" s="144" t="s">
        <v>169</v>
      </c>
      <c r="D175" s="137"/>
      <c r="E175" s="223"/>
    </row>
    <row r="176" spans="3:5" hidden="1" x14ac:dyDescent="0.2">
      <c r="C176" s="144" t="s">
        <v>170</v>
      </c>
      <c r="D176" s="137"/>
      <c r="E176" s="223"/>
    </row>
    <row r="177" spans="3:5" hidden="1" x14ac:dyDescent="0.2">
      <c r="C177" s="144" t="s">
        <v>171</v>
      </c>
      <c r="D177" s="137"/>
      <c r="E177" s="223"/>
    </row>
    <row r="178" spans="3:5" hidden="1" x14ac:dyDescent="0.2">
      <c r="C178" s="144" t="s">
        <v>172</v>
      </c>
      <c r="D178" s="137"/>
      <c r="E178" s="223"/>
    </row>
    <row r="179" spans="3:5" hidden="1" x14ac:dyDescent="0.2">
      <c r="C179" s="144" t="s">
        <v>173</v>
      </c>
      <c r="D179" s="137"/>
      <c r="E179" s="223"/>
    </row>
    <row r="180" spans="3:5" hidden="1" x14ac:dyDescent="0.2">
      <c r="C180" s="144" t="s">
        <v>174</v>
      </c>
      <c r="D180" s="137"/>
      <c r="E180" s="223"/>
    </row>
    <row r="181" spans="3:5" hidden="1" x14ac:dyDescent="0.2">
      <c r="C181" s="144" t="s">
        <v>175</v>
      </c>
      <c r="D181" s="137"/>
      <c r="E181" s="223"/>
    </row>
    <row r="182" spans="3:5" hidden="1" x14ac:dyDescent="0.2">
      <c r="C182" s="144" t="s">
        <v>176</v>
      </c>
      <c r="D182" s="137"/>
      <c r="E182" s="223"/>
    </row>
    <row r="183" spans="3:5" hidden="1" x14ac:dyDescent="0.2">
      <c r="C183" s="144" t="s">
        <v>177</v>
      </c>
      <c r="D183" s="137"/>
      <c r="E183" s="223"/>
    </row>
    <row r="184" spans="3:5" hidden="1" x14ac:dyDescent="0.2">
      <c r="C184" s="144" t="s">
        <v>178</v>
      </c>
      <c r="D184" s="137"/>
      <c r="E184" s="223"/>
    </row>
    <row r="185" spans="3:5" hidden="1" x14ac:dyDescent="0.2">
      <c r="C185" s="144" t="s">
        <v>179</v>
      </c>
      <c r="D185" s="137"/>
      <c r="E185" s="223"/>
    </row>
    <row r="186" spans="3:5" hidden="1" x14ac:dyDescent="0.2">
      <c r="C186" s="144" t="s">
        <v>180</v>
      </c>
      <c r="D186" s="137"/>
      <c r="E186" s="223"/>
    </row>
    <row r="187" spans="3:5" hidden="1" x14ac:dyDescent="0.2">
      <c r="C187" s="144" t="s">
        <v>181</v>
      </c>
      <c r="D187" s="137"/>
      <c r="E187" s="223"/>
    </row>
    <row r="188" spans="3:5" hidden="1" x14ac:dyDescent="0.2">
      <c r="C188" s="144" t="s">
        <v>182</v>
      </c>
      <c r="D188" s="137"/>
      <c r="E188" s="223"/>
    </row>
    <row r="189" spans="3:5" hidden="1" x14ac:dyDescent="0.2">
      <c r="C189" s="144" t="s">
        <v>183</v>
      </c>
      <c r="D189" s="137"/>
      <c r="E189" s="223"/>
    </row>
    <row r="190" spans="3:5" hidden="1" x14ac:dyDescent="0.2">
      <c r="C190" s="144" t="s">
        <v>184</v>
      </c>
      <c r="D190" s="137"/>
      <c r="E190" s="223"/>
    </row>
    <row r="191" spans="3:5" hidden="1" x14ac:dyDescent="0.2">
      <c r="C191" s="144" t="s">
        <v>185</v>
      </c>
      <c r="D191" s="137"/>
      <c r="E191" s="223"/>
    </row>
    <row r="192" spans="3:5" hidden="1" x14ac:dyDescent="0.2">
      <c r="C192" s="144" t="s">
        <v>186</v>
      </c>
      <c r="D192" s="137"/>
      <c r="E192" s="223"/>
    </row>
    <row r="193" spans="3:5" hidden="1" x14ac:dyDescent="0.2">
      <c r="C193" s="144" t="s">
        <v>187</v>
      </c>
      <c r="D193" s="137"/>
      <c r="E193" s="223"/>
    </row>
    <row r="194" spans="3:5" hidden="1" x14ac:dyDescent="0.2">
      <c r="C194" s="144" t="s">
        <v>188</v>
      </c>
      <c r="D194" s="137"/>
      <c r="E194" s="223"/>
    </row>
    <row r="195" spans="3:5" hidden="1" x14ac:dyDescent="0.2">
      <c r="C195" s="144" t="s">
        <v>189</v>
      </c>
      <c r="D195" s="137"/>
      <c r="E195" s="223"/>
    </row>
    <row r="196" spans="3:5" hidden="1" x14ac:dyDescent="0.2">
      <c r="C196" s="144" t="s">
        <v>190</v>
      </c>
      <c r="D196" s="137"/>
      <c r="E196" s="223"/>
    </row>
    <row r="197" spans="3:5" hidden="1" x14ac:dyDescent="0.2">
      <c r="C197" s="144" t="s">
        <v>191</v>
      </c>
      <c r="D197" s="137"/>
      <c r="E197" s="223"/>
    </row>
    <row r="198" spans="3:5" hidden="1" x14ac:dyDescent="0.2">
      <c r="C198" s="144" t="s">
        <v>192</v>
      </c>
      <c r="D198" s="137"/>
      <c r="E198" s="223"/>
    </row>
    <row r="199" spans="3:5" hidden="1" x14ac:dyDescent="0.2">
      <c r="C199" s="144" t="s">
        <v>193</v>
      </c>
      <c r="D199" s="137"/>
      <c r="E199" s="223"/>
    </row>
    <row r="200" spans="3:5" hidden="1" x14ac:dyDescent="0.2">
      <c r="C200" s="144" t="s">
        <v>194</v>
      </c>
      <c r="D200" s="137"/>
      <c r="E200" s="223"/>
    </row>
    <row r="201" spans="3:5" hidden="1" x14ac:dyDescent="0.2">
      <c r="C201" s="144" t="s">
        <v>195</v>
      </c>
      <c r="D201" s="137"/>
      <c r="E201" s="223"/>
    </row>
    <row r="202" spans="3:5" hidden="1" x14ac:dyDescent="0.2">
      <c r="C202" s="144" t="s">
        <v>196</v>
      </c>
      <c r="D202" s="137"/>
      <c r="E202" s="223"/>
    </row>
    <row r="203" spans="3:5" hidden="1" x14ac:dyDescent="0.2">
      <c r="C203" s="144" t="s">
        <v>197</v>
      </c>
      <c r="D203" s="137"/>
      <c r="E203" s="223"/>
    </row>
    <row r="204" spans="3:5" hidden="1" x14ac:dyDescent="0.2">
      <c r="C204" s="144" t="s">
        <v>198</v>
      </c>
      <c r="D204" s="137"/>
      <c r="E204" s="223"/>
    </row>
    <row r="205" spans="3:5" hidden="1" x14ac:dyDescent="0.2">
      <c r="C205" s="144" t="s">
        <v>199</v>
      </c>
      <c r="D205" s="137"/>
      <c r="E205" s="223"/>
    </row>
    <row r="206" spans="3:5" hidden="1" x14ac:dyDescent="0.2">
      <c r="C206" s="144" t="s">
        <v>200</v>
      </c>
      <c r="D206" s="137"/>
      <c r="E206" s="223"/>
    </row>
    <row r="207" spans="3:5" hidden="1" x14ac:dyDescent="0.2">
      <c r="C207" s="144" t="s">
        <v>201</v>
      </c>
      <c r="D207" s="137"/>
      <c r="E207" s="223"/>
    </row>
    <row r="208" spans="3:5" hidden="1" x14ac:dyDescent="0.2">
      <c r="C208" s="144" t="s">
        <v>202</v>
      </c>
      <c r="D208" s="137"/>
      <c r="E208" s="223"/>
    </row>
    <row r="209" spans="3:5" hidden="1" x14ac:dyDescent="0.2">
      <c r="C209" s="144" t="s">
        <v>203</v>
      </c>
      <c r="D209" s="137"/>
      <c r="E209" s="223"/>
    </row>
    <row r="210" spans="3:5" hidden="1" x14ac:dyDescent="0.2">
      <c r="C210" s="144" t="s">
        <v>204</v>
      </c>
      <c r="D210" s="137"/>
      <c r="E210" s="223"/>
    </row>
    <row r="211" spans="3:5" hidden="1" x14ac:dyDescent="0.2">
      <c r="C211" s="144" t="s">
        <v>205</v>
      </c>
      <c r="D211" s="137"/>
      <c r="E211" s="223"/>
    </row>
    <row r="212" spans="3:5" hidden="1" x14ac:dyDescent="0.2">
      <c r="C212" s="144" t="s">
        <v>206</v>
      </c>
      <c r="D212" s="137"/>
      <c r="E212" s="223"/>
    </row>
    <row r="213" spans="3:5" hidden="1" x14ac:dyDescent="0.2">
      <c r="C213" s="144" t="s">
        <v>207</v>
      </c>
      <c r="D213" s="137"/>
      <c r="E213" s="223"/>
    </row>
    <row r="214" spans="3:5" hidden="1" x14ac:dyDescent="0.2">
      <c r="C214" s="144" t="s">
        <v>208</v>
      </c>
      <c r="D214" s="137"/>
      <c r="E214" s="223"/>
    </row>
    <row r="215" spans="3:5" hidden="1" x14ac:dyDescent="0.2">
      <c r="C215" s="144" t="s">
        <v>209</v>
      </c>
      <c r="D215" s="137"/>
      <c r="E215" s="223"/>
    </row>
    <row r="216" spans="3:5" hidden="1" x14ac:dyDescent="0.2">
      <c r="C216" s="144" t="s">
        <v>210</v>
      </c>
      <c r="D216" s="137"/>
      <c r="E216" s="223"/>
    </row>
    <row r="217" spans="3:5" hidden="1" x14ac:dyDescent="0.2">
      <c r="C217" s="144" t="s">
        <v>211</v>
      </c>
      <c r="D217" s="137"/>
      <c r="E217" s="223"/>
    </row>
    <row r="218" spans="3:5" hidden="1" x14ac:dyDescent="0.2">
      <c r="C218" s="144" t="s">
        <v>212</v>
      </c>
      <c r="D218" s="137"/>
      <c r="E218" s="223"/>
    </row>
    <row r="219" spans="3:5" hidden="1" x14ac:dyDescent="0.2">
      <c r="C219" s="144" t="s">
        <v>213</v>
      </c>
      <c r="D219" s="137"/>
      <c r="E219" s="223"/>
    </row>
    <row r="220" spans="3:5" hidden="1" x14ac:dyDescent="0.2">
      <c r="C220" s="144" t="s">
        <v>214</v>
      </c>
      <c r="D220" s="137"/>
      <c r="E220" s="223"/>
    </row>
    <row r="221" spans="3:5" hidden="1" x14ac:dyDescent="0.2">
      <c r="C221" s="144" t="s">
        <v>215</v>
      </c>
      <c r="D221" s="137"/>
      <c r="E221" s="223"/>
    </row>
    <row r="222" spans="3:5" hidden="1" x14ac:dyDescent="0.2">
      <c r="C222" s="144" t="s">
        <v>216</v>
      </c>
      <c r="D222" s="137"/>
      <c r="E222" s="223"/>
    </row>
    <row r="223" spans="3:5" hidden="1" x14ac:dyDescent="0.2">
      <c r="C223" s="144" t="s">
        <v>217</v>
      </c>
      <c r="D223" s="137"/>
      <c r="E223" s="223"/>
    </row>
    <row r="224" spans="3:5" hidden="1" x14ac:dyDescent="0.2">
      <c r="C224" s="144" t="s">
        <v>218</v>
      </c>
      <c r="D224" s="137"/>
      <c r="E224" s="223"/>
    </row>
    <row r="225" spans="3:5" hidden="1" x14ac:dyDescent="0.2">
      <c r="C225" s="144" t="s">
        <v>219</v>
      </c>
      <c r="D225" s="137"/>
      <c r="E225" s="223"/>
    </row>
    <row r="226" spans="3:5" hidden="1" x14ac:dyDescent="0.2">
      <c r="C226" s="144" t="s">
        <v>220</v>
      </c>
      <c r="D226" s="137"/>
      <c r="E226" s="223"/>
    </row>
    <row r="227" spans="3:5" hidden="1" x14ac:dyDescent="0.2">
      <c r="C227" s="144" t="s">
        <v>221</v>
      </c>
      <c r="D227" s="137"/>
      <c r="E227" s="223"/>
    </row>
    <row r="228" spans="3:5" hidden="1" x14ac:dyDescent="0.2">
      <c r="C228" s="144" t="s">
        <v>222</v>
      </c>
      <c r="D228" s="137"/>
      <c r="E228" s="223"/>
    </row>
    <row r="229" spans="3:5" hidden="1" x14ac:dyDescent="0.2">
      <c r="C229" s="144" t="s">
        <v>223</v>
      </c>
      <c r="D229" s="137"/>
      <c r="E229" s="223"/>
    </row>
    <row r="230" spans="3:5" hidden="1" x14ac:dyDescent="0.2">
      <c r="C230" s="144" t="s">
        <v>224</v>
      </c>
      <c r="D230" s="137"/>
      <c r="E230" s="223"/>
    </row>
    <row r="231" spans="3:5" hidden="1" x14ac:dyDescent="0.2">
      <c r="C231" s="144" t="s">
        <v>225</v>
      </c>
      <c r="D231" s="137"/>
      <c r="E231" s="223"/>
    </row>
    <row r="232" spans="3:5" hidden="1" x14ac:dyDescent="0.2">
      <c r="C232" s="144" t="s">
        <v>226</v>
      </c>
      <c r="D232" s="137"/>
      <c r="E232" s="223"/>
    </row>
    <row r="233" spans="3:5" hidden="1" x14ac:dyDescent="0.2">
      <c r="C233" s="144" t="s">
        <v>227</v>
      </c>
      <c r="D233" s="137"/>
      <c r="E233" s="223"/>
    </row>
    <row r="234" spans="3:5" hidden="1" x14ac:dyDescent="0.2">
      <c r="C234" s="144" t="s">
        <v>228</v>
      </c>
      <c r="D234" s="137"/>
      <c r="E234" s="223"/>
    </row>
    <row r="235" spans="3:5" hidden="1" x14ac:dyDescent="0.2">
      <c r="C235" s="144" t="s">
        <v>229</v>
      </c>
      <c r="D235" s="137"/>
      <c r="E235" s="223"/>
    </row>
    <row r="236" spans="3:5" hidden="1" x14ac:dyDescent="0.2">
      <c r="C236" s="144" t="s">
        <v>230</v>
      </c>
      <c r="D236" s="137"/>
      <c r="E236" s="223"/>
    </row>
    <row r="237" spans="3:5" ht="13.5" hidden="1" thickBot="1" x14ac:dyDescent="0.25">
      <c r="C237" s="148" t="s">
        <v>231</v>
      </c>
      <c r="D237" s="208"/>
      <c r="E237" s="224"/>
    </row>
  </sheetData>
  <sheetProtection sheet="1" objects="1" scenarios="1"/>
  <mergeCells count="8">
    <mergeCell ref="C25:D25"/>
    <mergeCell ref="C3:I3"/>
    <mergeCell ref="C4:I4"/>
    <mergeCell ref="C5:I5"/>
    <mergeCell ref="D9:F9"/>
    <mergeCell ref="E12:F12"/>
    <mergeCell ref="E13:F13"/>
    <mergeCell ref="E14:F14"/>
  </mergeCells>
  <phoneticPr fontId="2" type="noConversion"/>
  <pageMargins left="0.75" right="0.75" top="1" bottom="1" header="0.5" footer="0.5"/>
  <pageSetup scale="87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76" r:id="rId4" name="CommandButton2">
          <controlPr defaultSize="0" autoLine="0" r:id="rId5">
            <anchor moveWithCells="1">
              <from>
                <xdr:col>8</xdr:col>
                <xdr:colOff>190500</xdr:colOff>
                <xdr:row>11</xdr:row>
                <xdr:rowOff>38100</xdr:rowOff>
              </from>
              <to>
                <xdr:col>8</xdr:col>
                <xdr:colOff>742950</xdr:colOff>
                <xdr:row>14</xdr:row>
                <xdr:rowOff>76200</xdr:rowOff>
              </to>
            </anchor>
          </controlPr>
        </control>
      </mc:Choice>
      <mc:Fallback>
        <control shapeId="7176" r:id="rId4" name="CommandButton2"/>
      </mc:Fallback>
    </mc:AlternateContent>
    <mc:AlternateContent xmlns:mc="http://schemas.openxmlformats.org/markup-compatibility/2006">
      <mc:Choice Requires="x14">
        <control shapeId="7169" r:id="rId6" name="CommandButton1">
          <controlPr defaultSize="0" autoLine="0" r:id="rId7">
            <anchor moveWithCells="1">
              <from>
                <xdr:col>8</xdr:col>
                <xdr:colOff>190500</xdr:colOff>
                <xdr:row>6</xdr:row>
                <xdr:rowOff>95250</xdr:rowOff>
              </from>
              <to>
                <xdr:col>8</xdr:col>
                <xdr:colOff>742950</xdr:colOff>
                <xdr:row>10</xdr:row>
                <xdr:rowOff>76200</xdr:rowOff>
              </to>
            </anchor>
          </controlPr>
        </control>
      </mc:Choice>
      <mc:Fallback>
        <control shapeId="7169" r:id="rId6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99"/>
  <sheetViews>
    <sheetView topLeftCell="A158" workbookViewId="0">
      <selection activeCell="D164" sqref="D164"/>
    </sheetView>
  </sheetViews>
  <sheetFormatPr defaultRowHeight="12.75" x14ac:dyDescent="0.2"/>
  <cols>
    <col min="1" max="11" width="10.7109375" customWidth="1"/>
    <col min="12" max="12" width="10.140625" customWidth="1"/>
    <col min="13" max="16" width="10.7109375" customWidth="1"/>
    <col min="17" max="17" width="9.5703125" customWidth="1"/>
    <col min="18" max="18" width="10.7109375" customWidth="1"/>
    <col min="19" max="19" width="11.7109375" customWidth="1"/>
    <col min="20" max="21" width="10.7109375" customWidth="1"/>
  </cols>
  <sheetData>
    <row r="1" spans="1:6" x14ac:dyDescent="0.2">
      <c r="A1" s="9" t="s">
        <v>62</v>
      </c>
    </row>
    <row r="2" spans="1:6" x14ac:dyDescent="0.2">
      <c r="A2" s="9" t="s">
        <v>66</v>
      </c>
    </row>
    <row r="4" spans="1:6" ht="13.5" thickBot="1" x14ac:dyDescent="0.25">
      <c r="A4" s="10" t="s">
        <v>52</v>
      </c>
    </row>
    <row r="5" spans="1:6" x14ac:dyDescent="0.2">
      <c r="A5" s="45" t="s">
        <v>53</v>
      </c>
      <c r="B5" s="62"/>
      <c r="C5" s="62"/>
      <c r="D5" s="62"/>
      <c r="E5" s="62"/>
      <c r="F5" s="63" t="s">
        <v>54</v>
      </c>
    </row>
    <row r="6" spans="1:6" x14ac:dyDescent="0.2">
      <c r="A6" s="64" t="s">
        <v>4</v>
      </c>
      <c r="B6" s="2"/>
      <c r="C6" s="2"/>
      <c r="D6" s="2"/>
      <c r="E6" s="2"/>
      <c r="F6" s="65"/>
    </row>
    <row r="7" spans="1:6" x14ac:dyDescent="0.2">
      <c r="A7" s="52" t="s">
        <v>49</v>
      </c>
      <c r="B7" s="7"/>
      <c r="C7" s="7"/>
      <c r="D7" s="7"/>
      <c r="E7" s="7"/>
      <c r="F7" s="53">
        <f>IF(Inputs!I46&lt;&gt;"",Inputs!I46,Inputs!H46)</f>
        <v>2009</v>
      </c>
    </row>
    <row r="8" spans="1:6" x14ac:dyDescent="0.2">
      <c r="A8" s="52" t="s">
        <v>50</v>
      </c>
      <c r="B8" s="7"/>
      <c r="C8" s="7"/>
      <c r="D8" s="7"/>
      <c r="E8" s="7"/>
      <c r="F8" s="54">
        <f>IF(Inputs!I47&lt;&gt;"",Inputs!I47,Inputs!H47)</f>
        <v>259207.64300000001</v>
      </c>
    </row>
    <row r="9" spans="1:6" x14ac:dyDescent="0.2">
      <c r="A9" s="52" t="s">
        <v>51</v>
      </c>
      <c r="B9" s="7"/>
      <c r="C9" s="7"/>
      <c r="D9" s="7"/>
      <c r="E9" s="7"/>
      <c r="F9" s="54">
        <f>IF(Inputs!I48&lt;&gt;"",Inputs!I48,Inputs!H48)</f>
        <v>58485.434000000001</v>
      </c>
    </row>
    <row r="10" spans="1:6" x14ac:dyDescent="0.2">
      <c r="A10" s="52" t="s">
        <v>42</v>
      </c>
      <c r="B10" s="7"/>
      <c r="C10" s="7"/>
      <c r="D10" s="7"/>
      <c r="E10" s="7"/>
      <c r="F10" s="54">
        <f>IF(Inputs!I49&lt;&gt;"",Inputs!I49,Inputs!H49)</f>
        <v>31005.728999999999</v>
      </c>
    </row>
    <row r="11" spans="1:6" x14ac:dyDescent="0.2">
      <c r="A11" s="52" t="s">
        <v>43</v>
      </c>
      <c r="B11" s="7"/>
      <c r="C11" s="7"/>
      <c r="D11" s="7"/>
      <c r="E11" s="7"/>
      <c r="F11" s="54">
        <f>IF(Inputs!I50&lt;&gt;"",Inputs!I50,Inputs!H50)</f>
        <v>23747.017</v>
      </c>
    </row>
    <row r="12" spans="1:6" x14ac:dyDescent="0.2">
      <c r="A12" s="52" t="s">
        <v>44</v>
      </c>
      <c r="B12" s="7"/>
      <c r="C12" s="7"/>
      <c r="D12" s="7"/>
      <c r="E12" s="7"/>
      <c r="F12" s="54">
        <f>IF(Inputs!I51&lt;&gt;"",Inputs!I51,Inputs!H51)</f>
        <v>1746.548</v>
      </c>
    </row>
    <row r="13" spans="1:6" x14ac:dyDescent="0.2">
      <c r="A13" s="52" t="s">
        <v>79</v>
      </c>
      <c r="B13" s="7"/>
      <c r="C13" s="7"/>
      <c r="D13" s="7"/>
      <c r="E13" s="7"/>
      <c r="F13" s="54">
        <f>IF(Inputs!I52&lt;&gt;"",Inputs!I52,Inputs!H52)</f>
        <v>4299</v>
      </c>
    </row>
    <row r="14" spans="1:6" x14ac:dyDescent="0.2">
      <c r="A14" s="52" t="s">
        <v>45</v>
      </c>
      <c r="B14" s="7"/>
      <c r="C14" s="7"/>
      <c r="D14" s="7"/>
      <c r="E14" s="7"/>
      <c r="F14" s="54">
        <f>IF(Inputs!I53&lt;&gt;"",Inputs!I53,Inputs!H53)</f>
        <v>22956.314999999999</v>
      </c>
    </row>
    <row r="15" spans="1:6" x14ac:dyDescent="0.2">
      <c r="A15" s="52" t="s">
        <v>46</v>
      </c>
      <c r="B15" s="7"/>
      <c r="C15" s="7"/>
      <c r="D15" s="7"/>
      <c r="E15" s="7"/>
      <c r="F15" s="54">
        <f>IF(Inputs!I54&lt;&gt;"",Inputs!I54,Inputs!H54)</f>
        <v>58574.451999999997</v>
      </c>
    </row>
    <row r="16" spans="1:6" x14ac:dyDescent="0.2">
      <c r="A16" s="64" t="s">
        <v>67</v>
      </c>
      <c r="B16" s="2"/>
      <c r="C16" s="2"/>
      <c r="D16" s="2"/>
      <c r="E16" s="2"/>
      <c r="F16" s="68"/>
    </row>
    <row r="17" spans="1:7" x14ac:dyDescent="0.2">
      <c r="A17" s="52" t="s">
        <v>47</v>
      </c>
      <c r="B17" s="7"/>
      <c r="C17" s="7"/>
      <c r="D17" s="7"/>
      <c r="E17" s="7"/>
      <c r="F17" s="54">
        <f>IF(Inputs!I61&lt;&gt;"",Inputs!I61,Inputs!H61)</f>
        <v>397000</v>
      </c>
    </row>
    <row r="18" spans="1:7" x14ac:dyDescent="0.2">
      <c r="A18" s="52" t="s">
        <v>48</v>
      </c>
      <c r="B18" s="7"/>
      <c r="C18" s="7"/>
      <c r="D18" s="7"/>
      <c r="E18" s="7"/>
      <c r="F18" s="55">
        <f>IF(Inputs!I63&lt;&gt;"",Inputs!I63,Inputs!H63)</f>
        <v>48.4</v>
      </c>
    </row>
    <row r="19" spans="1:7" x14ac:dyDescent="0.2">
      <c r="A19" s="64" t="s">
        <v>257</v>
      </c>
      <c r="B19" s="2"/>
      <c r="C19" s="2"/>
      <c r="D19" s="2"/>
      <c r="E19" s="2"/>
      <c r="F19" s="65"/>
    </row>
    <row r="20" spans="1:7" x14ac:dyDescent="0.2">
      <c r="A20" s="52" t="s">
        <v>258</v>
      </c>
      <c r="B20" s="7"/>
      <c r="C20" s="7"/>
      <c r="D20" s="7"/>
      <c r="E20" s="7"/>
      <c r="F20" s="57">
        <f>IF('Detailed Inputs'!J33&lt;&gt;"",'Detailed Inputs'!J33,'Detailed Inputs'!I33)</f>
        <v>6.2699999999999999E-7</v>
      </c>
    </row>
    <row r="21" spans="1:7" x14ac:dyDescent="0.2">
      <c r="A21" s="52" t="s">
        <v>259</v>
      </c>
      <c r="B21" s="7"/>
      <c r="C21" s="7"/>
      <c r="D21" s="7"/>
      <c r="E21" s="7"/>
      <c r="F21" s="58">
        <f>IF('Detailed Inputs'!J34&lt;&gt;"",'Detailed Inputs'!J34,'Detailed Inputs'!I34)</f>
        <v>0.62105679019828941</v>
      </c>
    </row>
    <row r="22" spans="1:7" x14ac:dyDescent="0.2">
      <c r="A22" s="64" t="s">
        <v>55</v>
      </c>
      <c r="B22" s="2"/>
      <c r="C22" s="2"/>
      <c r="D22" s="2"/>
      <c r="E22" s="2"/>
      <c r="F22" s="65"/>
    </row>
    <row r="23" spans="1:7" x14ac:dyDescent="0.2">
      <c r="A23" s="52" t="s">
        <v>19</v>
      </c>
      <c r="B23" s="7"/>
      <c r="C23" s="7"/>
      <c r="D23" s="7"/>
      <c r="E23" s="7"/>
      <c r="F23" s="57">
        <f>IF('Detailed Inputs'!J35&lt;&gt;"",'Detailed Inputs'!J35,'Detailed Inputs'!I35)</f>
        <v>1.26E-6</v>
      </c>
    </row>
    <row r="24" spans="1:7" x14ac:dyDescent="0.2">
      <c r="A24" s="52" t="s">
        <v>20</v>
      </c>
      <c r="B24" s="7"/>
      <c r="C24" s="7"/>
      <c r="D24" s="7"/>
      <c r="E24" s="7"/>
      <c r="F24" s="58">
        <f>IF('Detailed Inputs'!J36&lt;&gt;"",'Detailed Inputs'!J36,'Detailed Inputs'!I36)</f>
        <v>1.3181527883133404</v>
      </c>
    </row>
    <row r="25" spans="1:7" x14ac:dyDescent="0.2">
      <c r="A25" s="64" t="s">
        <v>56</v>
      </c>
      <c r="B25" s="2"/>
      <c r="C25" s="2"/>
      <c r="D25" s="2"/>
      <c r="E25" s="2"/>
      <c r="F25" s="65"/>
    </row>
    <row r="26" spans="1:7" x14ac:dyDescent="0.2">
      <c r="A26" s="52" t="s">
        <v>21</v>
      </c>
      <c r="B26" s="7"/>
      <c r="C26" s="7"/>
      <c r="D26" s="7"/>
      <c r="E26" s="7"/>
      <c r="F26" s="57">
        <f>IF('Detailed Inputs'!J37&lt;&gt;"",'Detailed Inputs'!J37,'Detailed Inputs'!I37)</f>
        <v>1.9800000000000001E-6</v>
      </c>
    </row>
    <row r="27" spans="1:7" x14ac:dyDescent="0.2">
      <c r="A27" s="52" t="s">
        <v>22</v>
      </c>
      <c r="B27" s="7"/>
      <c r="C27" s="7"/>
      <c r="D27" s="7"/>
      <c r="E27" s="7"/>
      <c r="F27" s="58">
        <f>IF('Detailed Inputs'!J38&lt;&gt;"",'Detailed Inputs'!J38,'Detailed Inputs'!I38)</f>
        <v>8.3642222079406858E-2</v>
      </c>
    </row>
    <row r="28" spans="1:7" x14ac:dyDescent="0.2">
      <c r="A28" s="64" t="s">
        <v>0</v>
      </c>
      <c r="B28" s="2"/>
      <c r="C28" s="2"/>
      <c r="D28" s="2"/>
      <c r="E28" s="2"/>
      <c r="F28" s="69"/>
    </row>
    <row r="29" spans="1:7" x14ac:dyDescent="0.2">
      <c r="A29" s="52" t="s">
        <v>40</v>
      </c>
      <c r="B29" s="7"/>
      <c r="C29" s="7"/>
      <c r="D29" s="7"/>
      <c r="E29" s="7"/>
      <c r="F29" s="59">
        <f>IF(Inputs!I67&lt;&gt;"",Inputs!I67,Inputs!H67)</f>
        <v>7.0000000000000007E-2</v>
      </c>
    </row>
    <row r="30" spans="1:7" x14ac:dyDescent="0.2">
      <c r="A30" s="52" t="s">
        <v>81</v>
      </c>
      <c r="B30" s="7"/>
      <c r="C30" s="7"/>
      <c r="D30" s="7"/>
      <c r="E30" s="7"/>
      <c r="F30" s="55">
        <f>IF(Inputs!I64&lt;&gt;"",Inputs!I64,Inputs!H64)</f>
        <v>30</v>
      </c>
      <c r="G30" s="7"/>
    </row>
    <row r="31" spans="1:7" x14ac:dyDescent="0.2">
      <c r="A31" s="52" t="s">
        <v>80</v>
      </c>
      <c r="B31" s="7"/>
      <c r="C31" s="7"/>
      <c r="D31" s="7"/>
      <c r="E31" s="7"/>
      <c r="F31" s="55">
        <f>IF(Inputs!I65&lt;&gt;"",Inputs!I65,Inputs!H65)</f>
        <v>60</v>
      </c>
      <c r="G31" s="7"/>
    </row>
    <row r="32" spans="1:7" x14ac:dyDescent="0.2">
      <c r="A32" s="52" t="s">
        <v>256</v>
      </c>
      <c r="B32" s="7"/>
      <c r="C32" s="7"/>
      <c r="D32" s="7"/>
      <c r="E32" s="7"/>
      <c r="F32" s="54">
        <f>IF(Inputs!I66&lt;&gt;"",Inputs!I66,Inputs!H66)</f>
        <v>1</v>
      </c>
      <c r="G32" s="7"/>
    </row>
    <row r="33" spans="1:7" x14ac:dyDescent="0.2">
      <c r="A33" s="52" t="s">
        <v>97</v>
      </c>
      <c r="B33" s="7"/>
      <c r="C33" s="7"/>
      <c r="D33" s="7"/>
      <c r="E33" s="7"/>
      <c r="F33" s="55">
        <f>IF(Inputs!I62&lt;&gt;"",Inputs!I62,Inputs!H62)</f>
        <v>0</v>
      </c>
      <c r="G33" s="7"/>
    </row>
    <row r="34" spans="1:7" ht="13.5" thickBot="1" x14ac:dyDescent="0.25">
      <c r="A34" s="60" t="s">
        <v>96</v>
      </c>
      <c r="B34" s="61"/>
      <c r="C34" s="61"/>
      <c r="D34" s="61"/>
      <c r="E34" s="61"/>
      <c r="F34" s="17">
        <f>BusMiles*1000/SUM(TotalFleet)</f>
        <v>35394.667808219179</v>
      </c>
      <c r="G34" s="7"/>
    </row>
    <row r="36" spans="1:7" ht="13.5" thickBot="1" x14ac:dyDescent="0.25">
      <c r="A36" s="10" t="s">
        <v>70</v>
      </c>
    </row>
    <row r="37" spans="1:7" x14ac:dyDescent="0.2">
      <c r="A37" s="45" t="s">
        <v>53</v>
      </c>
      <c r="B37" s="62"/>
      <c r="C37" s="62"/>
      <c r="D37" s="62"/>
      <c r="E37" s="62"/>
      <c r="F37" s="63" t="s">
        <v>54</v>
      </c>
    </row>
    <row r="38" spans="1:7" x14ac:dyDescent="0.2">
      <c r="A38" s="52" t="s">
        <v>77</v>
      </c>
      <c r="B38" s="7"/>
      <c r="C38" s="7"/>
      <c r="D38" s="7"/>
      <c r="E38" s="7"/>
      <c r="F38" s="56">
        <f>VLOOKUP($F$39,$A$105:$O$160,2)</f>
        <v>530920.01712328766</v>
      </c>
    </row>
    <row r="39" spans="1:7" x14ac:dyDescent="0.2">
      <c r="A39" s="52" t="s">
        <v>86</v>
      </c>
      <c r="B39" s="7"/>
      <c r="C39" s="7"/>
      <c r="D39" s="7"/>
      <c r="E39" s="7"/>
      <c r="F39" s="70">
        <f>Q160</f>
        <v>15</v>
      </c>
    </row>
    <row r="40" spans="1:7" x14ac:dyDescent="0.2">
      <c r="A40" s="52" t="s">
        <v>89</v>
      </c>
      <c r="B40" s="7"/>
      <c r="C40" s="7"/>
      <c r="D40" s="7"/>
      <c r="E40" s="7"/>
      <c r="F40" s="56">
        <f>MIN(O105:O160)</f>
        <v>160266.18870415405</v>
      </c>
    </row>
    <row r="41" spans="1:7" x14ac:dyDescent="0.2">
      <c r="A41" s="52" t="s">
        <v>87</v>
      </c>
      <c r="B41" s="7"/>
      <c r="C41" s="7"/>
      <c r="D41" s="7"/>
      <c r="E41" s="7"/>
      <c r="F41" s="56">
        <f>VLOOKUP($F$39,$A$105:$O$160,13)</f>
        <v>155300.82485434011</v>
      </c>
    </row>
    <row r="42" spans="1:7" ht="13.5" thickBot="1" x14ac:dyDescent="0.25">
      <c r="A42" s="60" t="s">
        <v>88</v>
      </c>
      <c r="B42" s="61"/>
      <c r="C42" s="61"/>
      <c r="D42" s="61"/>
      <c r="E42" s="61"/>
      <c r="F42" s="17">
        <f>VLOOKUP($F$39,$A$105:$O$160,14)</f>
        <v>4965.3638498139462</v>
      </c>
    </row>
    <row r="44" spans="1:7" ht="13.5" thickBot="1" x14ac:dyDescent="0.25">
      <c r="A44" s="10" t="s">
        <v>78</v>
      </c>
      <c r="E44" s="10" t="s">
        <v>65</v>
      </c>
    </row>
    <row r="45" spans="1:7" ht="38.25" x14ac:dyDescent="0.2">
      <c r="A45" s="45" t="s">
        <v>57</v>
      </c>
      <c r="B45" s="47" t="s">
        <v>36</v>
      </c>
      <c r="C45" s="46" t="s">
        <v>260</v>
      </c>
      <c r="E45" s="288" t="s">
        <v>3</v>
      </c>
      <c r="F45" s="289"/>
      <c r="G45" s="35" t="s">
        <v>7</v>
      </c>
    </row>
    <row r="46" spans="1:7" x14ac:dyDescent="0.2">
      <c r="A46" s="40">
        <v>1</v>
      </c>
      <c r="B46" s="48">
        <f>Inputs!E31</f>
        <v>147882</v>
      </c>
      <c r="C46" s="41">
        <f>Inputs!F31</f>
        <v>90</v>
      </c>
      <c r="E46" s="33" t="s">
        <v>1</v>
      </c>
      <c r="F46" s="34" t="s">
        <v>2</v>
      </c>
      <c r="G46" s="36" t="s">
        <v>41</v>
      </c>
    </row>
    <row r="47" spans="1:7" x14ac:dyDescent="0.2">
      <c r="A47" s="40">
        <f t="shared" ref="A47:A55" si="0">A46+1</f>
        <v>2</v>
      </c>
      <c r="B47" s="48">
        <f>Inputs!E32</f>
        <v>114252</v>
      </c>
      <c r="C47" s="41">
        <f>Inputs!F32</f>
        <v>25</v>
      </c>
      <c r="E47" s="28">
        <v>0</v>
      </c>
      <c r="F47" s="29">
        <f t="shared" ref="F47:F76" si="1">+E47+35000</f>
        <v>35000</v>
      </c>
      <c r="G47" s="37">
        <f>IF('Detailed Inputs'!G12&lt;&gt;"",'Detailed Inputs'!G12,'Detailed Inputs'!F12)</f>
        <v>0.15899172281170701</v>
      </c>
    </row>
    <row r="48" spans="1:7" x14ac:dyDescent="0.2">
      <c r="A48" s="40">
        <f t="shared" si="0"/>
        <v>3</v>
      </c>
      <c r="B48" s="48">
        <f>Inputs!E33</f>
        <v>456352</v>
      </c>
      <c r="C48" s="41">
        <f>Inputs!F33</f>
        <v>117</v>
      </c>
      <c r="E48" s="30">
        <f t="shared" ref="E48:E76" si="2">+F47</f>
        <v>35000</v>
      </c>
      <c r="F48" s="29">
        <f t="shared" si="1"/>
        <v>70000</v>
      </c>
      <c r="G48" s="37">
        <f>IF('Detailed Inputs'!G13&lt;&gt;"",'Detailed Inputs'!G13,'Detailed Inputs'!F13)</f>
        <v>0.37332731537345298</v>
      </c>
    </row>
    <row r="49" spans="1:7" x14ac:dyDescent="0.2">
      <c r="A49" s="40">
        <f t="shared" si="0"/>
        <v>4</v>
      </c>
      <c r="B49" s="48">
        <f>Inputs!E34</f>
        <v>296374</v>
      </c>
      <c r="C49" s="41">
        <f>Inputs!F34</f>
        <v>25</v>
      </c>
      <c r="E49" s="30">
        <f t="shared" si="2"/>
        <v>70000</v>
      </c>
      <c r="F49" s="29">
        <f t="shared" si="1"/>
        <v>105000</v>
      </c>
      <c r="G49" s="37">
        <f>IF('Detailed Inputs'!G14&lt;&gt;"",'Detailed Inputs'!G14,'Detailed Inputs'!F14)</f>
        <v>0.52113923386379502</v>
      </c>
    </row>
    <row r="50" spans="1:7" x14ac:dyDescent="0.2">
      <c r="A50" s="40">
        <f t="shared" si="0"/>
        <v>5</v>
      </c>
      <c r="B50" s="48">
        <f>Inputs!E35</f>
        <v>418462</v>
      </c>
      <c r="C50" s="41">
        <f>Inputs!F35</f>
        <v>159</v>
      </c>
      <c r="E50" s="30">
        <f t="shared" si="2"/>
        <v>105000</v>
      </c>
      <c r="F50" s="29">
        <f t="shared" si="1"/>
        <v>140000</v>
      </c>
      <c r="G50" s="37">
        <f>IF('Detailed Inputs'!G15&lt;&gt;"",'Detailed Inputs'!G15,'Detailed Inputs'!F15)</f>
        <v>0.59481401181245597</v>
      </c>
    </row>
    <row r="51" spans="1:7" x14ac:dyDescent="0.2">
      <c r="A51" s="40">
        <f t="shared" si="0"/>
        <v>6</v>
      </c>
      <c r="B51" s="48">
        <f>Inputs!E36</f>
        <v>246390</v>
      </c>
      <c r="C51" s="41">
        <f>Inputs!F36</f>
        <v>40</v>
      </c>
      <c r="E51" s="30">
        <f t="shared" si="2"/>
        <v>140000</v>
      </c>
      <c r="F51" s="29">
        <f t="shared" si="1"/>
        <v>175000</v>
      </c>
      <c r="G51" s="37">
        <f>IF('Detailed Inputs'!G16&lt;&gt;"",'Detailed Inputs'!G16,'Detailed Inputs'!F16)</f>
        <v>0.62750133215765103</v>
      </c>
    </row>
    <row r="52" spans="1:7" x14ac:dyDescent="0.2">
      <c r="A52" s="40">
        <f t="shared" si="0"/>
        <v>7</v>
      </c>
      <c r="B52" s="48">
        <f>Inputs!E37</f>
        <v>245590</v>
      </c>
      <c r="C52" s="41">
        <f>Inputs!F37</f>
        <v>60</v>
      </c>
      <c r="E52" s="30">
        <f t="shared" si="2"/>
        <v>175000</v>
      </c>
      <c r="F52" s="29">
        <f t="shared" si="1"/>
        <v>210000</v>
      </c>
      <c r="G52" s="37">
        <f>IF('Detailed Inputs'!G17&lt;&gt;"",'Detailed Inputs'!G17,'Detailed Inputs'!F17)</f>
        <v>0.64161277029522301</v>
      </c>
    </row>
    <row r="53" spans="1:7" x14ac:dyDescent="0.2">
      <c r="A53" s="40">
        <f t="shared" si="0"/>
        <v>8</v>
      </c>
      <c r="B53" s="48">
        <f>Inputs!E38</f>
        <v>285708</v>
      </c>
      <c r="C53" s="41">
        <f>Inputs!F38</f>
        <v>165</v>
      </c>
      <c r="E53" s="30">
        <f t="shared" si="2"/>
        <v>210000</v>
      </c>
      <c r="F53" s="29">
        <f t="shared" si="1"/>
        <v>245000</v>
      </c>
      <c r="G53" s="37">
        <f>IF('Detailed Inputs'!G18&lt;&gt;"",'Detailed Inputs'!G18,'Detailed Inputs'!F18)</f>
        <v>0.64835472000488803</v>
      </c>
    </row>
    <row r="54" spans="1:7" x14ac:dyDescent="0.2">
      <c r="A54" s="40">
        <f t="shared" si="0"/>
        <v>9</v>
      </c>
      <c r="B54" s="48">
        <f>Inputs!E39</f>
        <v>272171</v>
      </c>
      <c r="C54" s="41">
        <f>Inputs!F39</f>
        <v>10</v>
      </c>
      <c r="E54" s="30">
        <f t="shared" si="2"/>
        <v>245000</v>
      </c>
      <c r="F54" s="29">
        <f t="shared" si="1"/>
        <v>280000</v>
      </c>
      <c r="G54" s="37">
        <f>IF('Detailed Inputs'!G19&lt;&gt;"",'Detailed Inputs'!G19,'Detailed Inputs'!F19)</f>
        <v>0.65261413828242898</v>
      </c>
    </row>
    <row r="55" spans="1:7" x14ac:dyDescent="0.2">
      <c r="A55" s="40">
        <f t="shared" si="0"/>
        <v>10</v>
      </c>
      <c r="B55" s="48">
        <f>Inputs!E40</f>
        <v>191941</v>
      </c>
      <c r="C55" s="41">
        <f>Inputs!F40</f>
        <v>39</v>
      </c>
      <c r="E55" s="30">
        <f t="shared" si="2"/>
        <v>280000</v>
      </c>
      <c r="F55" s="29">
        <f t="shared" si="1"/>
        <v>315000</v>
      </c>
      <c r="G55" s="37">
        <f>IF('Detailed Inputs'!G20&lt;&gt;"",'Detailed Inputs'!G20,'Detailed Inputs'!F20)</f>
        <v>0.65615536977287403</v>
      </c>
    </row>
    <row r="56" spans="1:7" x14ac:dyDescent="0.2">
      <c r="A56" s="40">
        <f t="shared" ref="A56:A95" si="3">A55+1</f>
        <v>11</v>
      </c>
      <c r="B56" s="48">
        <f>Inputs!I31</f>
        <v>162325</v>
      </c>
      <c r="C56" s="41">
        <f>Inputs!J31</f>
        <v>6</v>
      </c>
      <c r="E56" s="30">
        <f t="shared" si="2"/>
        <v>315000</v>
      </c>
      <c r="F56" s="29">
        <f t="shared" si="1"/>
        <v>350000</v>
      </c>
      <c r="G56" s="37">
        <f>IF('Detailed Inputs'!G21&lt;&gt;"",'Detailed Inputs'!G21,'Detailed Inputs'!F21)</f>
        <v>0.65947651043873801</v>
      </c>
    </row>
    <row r="57" spans="1:7" x14ac:dyDescent="0.2">
      <c r="A57" s="40">
        <f t="shared" si="3"/>
        <v>12</v>
      </c>
      <c r="B57" s="48">
        <f>Inputs!I32</f>
        <v>212726</v>
      </c>
      <c r="C57" s="41">
        <f>Inputs!J32</f>
        <v>60</v>
      </c>
      <c r="E57" s="30">
        <f t="shared" si="2"/>
        <v>350000</v>
      </c>
      <c r="F57" s="29">
        <f t="shared" si="1"/>
        <v>385000</v>
      </c>
      <c r="G57" s="37">
        <f>IF('Detailed Inputs'!G22&lt;&gt;"",'Detailed Inputs'!G22,'Detailed Inputs'!F22)</f>
        <v>0.66278169314927804</v>
      </c>
    </row>
    <row r="58" spans="1:7" x14ac:dyDescent="0.2">
      <c r="A58" s="40">
        <f t="shared" si="3"/>
        <v>13</v>
      </c>
      <c r="B58" s="48">
        <f>Inputs!I33</f>
        <v>25063</v>
      </c>
      <c r="C58" s="41">
        <f>Inputs!J33</f>
        <v>26</v>
      </c>
      <c r="E58" s="30">
        <f t="shared" si="2"/>
        <v>385000</v>
      </c>
      <c r="F58" s="29">
        <f t="shared" si="1"/>
        <v>420000</v>
      </c>
      <c r="G58" s="37">
        <f>IF('Detailed Inputs'!G23&lt;&gt;"",'Detailed Inputs'!G23,'Detailed Inputs'!F23)</f>
        <v>0.66636379282894598</v>
      </c>
    </row>
    <row r="59" spans="1:7" x14ac:dyDescent="0.2">
      <c r="A59" s="40">
        <f t="shared" si="3"/>
        <v>14</v>
      </c>
      <c r="B59" s="48">
        <f>Inputs!I34</f>
        <v>18970</v>
      </c>
      <c r="C59" s="41">
        <f>Inputs!J34</f>
        <v>54</v>
      </c>
      <c r="E59" s="30">
        <f t="shared" si="2"/>
        <v>420000</v>
      </c>
      <c r="F59" s="29">
        <f t="shared" si="1"/>
        <v>455000</v>
      </c>
      <c r="G59" s="37">
        <f>IF('Detailed Inputs'!G24&lt;&gt;"",'Detailed Inputs'!G24,'Detailed Inputs'!F24)</f>
        <v>0.670656089337205</v>
      </c>
    </row>
    <row r="60" spans="1:7" x14ac:dyDescent="0.2">
      <c r="A60" s="40">
        <f t="shared" si="3"/>
        <v>15</v>
      </c>
      <c r="B60" s="49">
        <f>Inputs!I35</f>
        <v>0</v>
      </c>
      <c r="C60" s="42">
        <f>Inputs!J35</f>
        <v>0</v>
      </c>
      <c r="E60" s="30">
        <f t="shared" si="2"/>
        <v>455000</v>
      </c>
      <c r="F60" s="29">
        <f t="shared" si="1"/>
        <v>490000</v>
      </c>
      <c r="G60" s="37">
        <f>IF('Detailed Inputs'!G25&lt;&gt;"",'Detailed Inputs'!G25,'Detailed Inputs'!F25)</f>
        <v>0.67615623308621597</v>
      </c>
    </row>
    <row r="61" spans="1:7" x14ac:dyDescent="0.2">
      <c r="A61" s="40">
        <f t="shared" si="3"/>
        <v>16</v>
      </c>
      <c r="B61" s="49">
        <f>Inputs!I36</f>
        <v>0</v>
      </c>
      <c r="C61" s="42">
        <f>Inputs!J36</f>
        <v>0</v>
      </c>
      <c r="E61" s="30">
        <f t="shared" si="2"/>
        <v>490000</v>
      </c>
      <c r="F61" s="29">
        <f t="shared" si="1"/>
        <v>525000</v>
      </c>
      <c r="G61" s="37">
        <f>IF('Detailed Inputs'!G26&lt;&gt;"",'Detailed Inputs'!G26,'Detailed Inputs'!F26)</f>
        <v>0.68333817733845204</v>
      </c>
    </row>
    <row r="62" spans="1:7" x14ac:dyDescent="0.2">
      <c r="A62" s="40">
        <f t="shared" si="3"/>
        <v>17</v>
      </c>
      <c r="B62" s="49">
        <f>Inputs!I37</f>
        <v>0</v>
      </c>
      <c r="C62" s="42">
        <f>Inputs!J37</f>
        <v>0</v>
      </c>
      <c r="E62" s="30">
        <f t="shared" si="2"/>
        <v>525000</v>
      </c>
      <c r="F62" s="29">
        <f t="shared" si="1"/>
        <v>560000</v>
      </c>
      <c r="G62" s="37">
        <f>IF('Detailed Inputs'!L12&lt;&gt;"",'Detailed Inputs'!L12,'Detailed Inputs'!K12)</f>
        <v>0.69258909617161502</v>
      </c>
    </row>
    <row r="63" spans="1:7" x14ac:dyDescent="0.2">
      <c r="A63" s="40">
        <f t="shared" si="3"/>
        <v>18</v>
      </c>
      <c r="B63" s="49">
        <f>Inputs!I38</f>
        <v>0</v>
      </c>
      <c r="C63" s="42">
        <f>Inputs!J38</f>
        <v>0</v>
      </c>
      <c r="E63" s="30">
        <f t="shared" si="2"/>
        <v>560000</v>
      </c>
      <c r="F63" s="29">
        <f t="shared" si="1"/>
        <v>595000</v>
      </c>
      <c r="G63" s="37">
        <f>IF('Detailed Inputs'!L13&lt;&gt;"",'Detailed Inputs'!L13,'Detailed Inputs'!K13)</f>
        <v>0.70416615955199502</v>
      </c>
    </row>
    <row r="64" spans="1:7" x14ac:dyDescent="0.2">
      <c r="A64" s="40">
        <f t="shared" si="3"/>
        <v>19</v>
      </c>
      <c r="B64" s="49">
        <f>Inputs!I39</f>
        <v>0</v>
      </c>
      <c r="C64" s="42">
        <f>Inputs!J39</f>
        <v>0</v>
      </c>
      <c r="E64" s="30">
        <f t="shared" si="2"/>
        <v>595000</v>
      </c>
      <c r="F64" s="29">
        <f t="shared" si="1"/>
        <v>630000</v>
      </c>
      <c r="G64" s="37">
        <f>IF('Detailed Inputs'!L14&lt;&gt;"",'Detailed Inputs'!L14,'Detailed Inputs'!K14)</f>
        <v>0.718158673708854</v>
      </c>
    </row>
    <row r="65" spans="1:7" x14ac:dyDescent="0.2">
      <c r="A65" s="40">
        <f t="shared" si="3"/>
        <v>20</v>
      </c>
      <c r="B65" s="49">
        <f>Inputs!I40</f>
        <v>0</v>
      </c>
      <c r="C65" s="42">
        <f>Inputs!J40</f>
        <v>0</v>
      </c>
      <c r="E65" s="30">
        <f t="shared" si="2"/>
        <v>630000</v>
      </c>
      <c r="F65" s="29">
        <f t="shared" si="1"/>
        <v>665000</v>
      </c>
      <c r="G65" s="37">
        <f>IF('Detailed Inputs'!L15&lt;&gt;"",'Detailed Inputs'!L15,'Detailed Inputs'!K15)</f>
        <v>0.73444722151180797</v>
      </c>
    </row>
    <row r="66" spans="1:7" x14ac:dyDescent="0.2">
      <c r="A66" s="40">
        <f t="shared" si="3"/>
        <v>21</v>
      </c>
      <c r="B66" s="49"/>
      <c r="C66" s="42"/>
      <c r="E66" s="30">
        <f t="shared" si="2"/>
        <v>665000</v>
      </c>
      <c r="F66" s="29">
        <f t="shared" si="1"/>
        <v>700000</v>
      </c>
      <c r="G66" s="37">
        <f>IF('Detailed Inputs'!L16&lt;&gt;"",'Detailed Inputs'!L16,'Detailed Inputs'!K16)</f>
        <v>0.75265990635344604</v>
      </c>
    </row>
    <row r="67" spans="1:7" x14ac:dyDescent="0.2">
      <c r="A67" s="40">
        <f t="shared" si="3"/>
        <v>22</v>
      </c>
      <c r="B67" s="49"/>
      <c r="C67" s="42"/>
      <c r="E67" s="30">
        <f t="shared" si="2"/>
        <v>700000</v>
      </c>
      <c r="F67" s="29">
        <f t="shared" si="1"/>
        <v>735000</v>
      </c>
      <c r="G67" s="37">
        <f>IF('Detailed Inputs'!L17&lt;&gt;"",'Detailed Inputs'!L17,'Detailed Inputs'!K17)</f>
        <v>0.77213201476753801</v>
      </c>
    </row>
    <row r="68" spans="1:7" x14ac:dyDescent="0.2">
      <c r="A68" s="40">
        <f t="shared" si="3"/>
        <v>23</v>
      </c>
      <c r="B68" s="49"/>
      <c r="C68" s="42"/>
      <c r="E68" s="30">
        <f t="shared" si="2"/>
        <v>735000</v>
      </c>
      <c r="F68" s="29">
        <f t="shared" si="1"/>
        <v>770000</v>
      </c>
      <c r="G68" s="37">
        <f>IF('Detailed Inputs'!L18&lt;&gt;"",'Detailed Inputs'!L18,'Detailed Inputs'!K18)</f>
        <v>0.79187968331879</v>
      </c>
    </row>
    <row r="69" spans="1:7" x14ac:dyDescent="0.2">
      <c r="A69" s="40">
        <f t="shared" si="3"/>
        <v>24</v>
      </c>
      <c r="B69" s="49"/>
      <c r="C69" s="42"/>
      <c r="E69" s="30">
        <f t="shared" si="2"/>
        <v>770000</v>
      </c>
      <c r="F69" s="29">
        <f t="shared" si="1"/>
        <v>805000</v>
      </c>
      <c r="G69" s="37">
        <f>IF('Detailed Inputs'!L19&lt;&gt;"",'Detailed Inputs'!L19,'Detailed Inputs'!K19)</f>
        <v>0.81060127345570998</v>
      </c>
    </row>
    <row r="70" spans="1:7" x14ac:dyDescent="0.2">
      <c r="A70" s="40">
        <f t="shared" si="3"/>
        <v>25</v>
      </c>
      <c r="B70" s="49"/>
      <c r="C70" s="42"/>
      <c r="E70" s="30">
        <f t="shared" si="2"/>
        <v>805000</v>
      </c>
      <c r="F70" s="29">
        <f t="shared" si="1"/>
        <v>840000</v>
      </c>
      <c r="G70" s="37">
        <f>IF('Detailed Inputs'!L20&lt;&gt;"",'Detailed Inputs'!L20,'Detailed Inputs'!K20)</f>
        <v>0.82672120626999002</v>
      </c>
    </row>
    <row r="71" spans="1:7" x14ac:dyDescent="0.2">
      <c r="A71" s="40">
        <f t="shared" si="3"/>
        <v>26</v>
      </c>
      <c r="B71" s="49"/>
      <c r="C71" s="42"/>
      <c r="E71" s="30">
        <f t="shared" si="2"/>
        <v>840000</v>
      </c>
      <c r="F71" s="29">
        <f t="shared" si="1"/>
        <v>875000</v>
      </c>
      <c r="G71" s="37">
        <f>IF('Detailed Inputs'!L21&lt;&gt;"",'Detailed Inputs'!L21,'Detailed Inputs'!K21)</f>
        <v>0.83848768162697496</v>
      </c>
    </row>
    <row r="72" spans="1:7" x14ac:dyDescent="0.2">
      <c r="A72" s="40">
        <f t="shared" si="3"/>
        <v>27</v>
      </c>
      <c r="B72" s="49"/>
      <c r="C72" s="42"/>
      <c r="E72" s="30">
        <f t="shared" si="2"/>
        <v>875000</v>
      </c>
      <c r="F72" s="29">
        <f t="shared" si="1"/>
        <v>910000</v>
      </c>
      <c r="G72" s="37">
        <f>IF('Detailed Inputs'!L22&lt;&gt;"",'Detailed Inputs'!L22,'Detailed Inputs'!K22)</f>
        <v>0.83848768162697496</v>
      </c>
    </row>
    <row r="73" spans="1:7" x14ac:dyDescent="0.2">
      <c r="A73" s="40">
        <f t="shared" si="3"/>
        <v>28</v>
      </c>
      <c r="B73" s="49"/>
      <c r="C73" s="42"/>
      <c r="E73" s="30">
        <f t="shared" si="2"/>
        <v>910000</v>
      </c>
      <c r="F73" s="29">
        <f t="shared" si="1"/>
        <v>945000</v>
      </c>
      <c r="G73" s="37">
        <f>IF('Detailed Inputs'!L23&lt;&gt;"",'Detailed Inputs'!L23,'Detailed Inputs'!K23)</f>
        <v>0.83848768162697496</v>
      </c>
    </row>
    <row r="74" spans="1:7" x14ac:dyDescent="0.2">
      <c r="A74" s="40">
        <f t="shared" si="3"/>
        <v>29</v>
      </c>
      <c r="B74" s="49"/>
      <c r="C74" s="42"/>
      <c r="E74" s="30">
        <f t="shared" si="2"/>
        <v>945000</v>
      </c>
      <c r="F74" s="29">
        <f t="shared" si="1"/>
        <v>980000</v>
      </c>
      <c r="G74" s="37">
        <f>IF('Detailed Inputs'!L24&lt;&gt;"",'Detailed Inputs'!L24,'Detailed Inputs'!K24)</f>
        <v>0.83848768162697496</v>
      </c>
    </row>
    <row r="75" spans="1:7" x14ac:dyDescent="0.2">
      <c r="A75" s="40">
        <f t="shared" si="3"/>
        <v>30</v>
      </c>
      <c r="B75" s="49"/>
      <c r="C75" s="42"/>
      <c r="E75" s="30">
        <f t="shared" si="2"/>
        <v>980000</v>
      </c>
      <c r="F75" s="29">
        <f t="shared" si="1"/>
        <v>1015000</v>
      </c>
      <c r="G75" s="37">
        <f>IF('Detailed Inputs'!L25&lt;&gt;"",'Detailed Inputs'!L25,'Detailed Inputs'!K25)</f>
        <v>0.83848768162697496</v>
      </c>
    </row>
    <row r="76" spans="1:7" ht="13.5" thickBot="1" x14ac:dyDescent="0.25">
      <c r="A76" s="40">
        <f t="shared" si="3"/>
        <v>31</v>
      </c>
      <c r="B76" s="49"/>
      <c r="C76" s="42"/>
      <c r="E76" s="31">
        <f t="shared" si="2"/>
        <v>1015000</v>
      </c>
      <c r="F76" s="32">
        <f t="shared" si="1"/>
        <v>1050000</v>
      </c>
      <c r="G76" s="38">
        <f>IF('Detailed Inputs'!L26&lt;&gt;"",'Detailed Inputs'!L26,'Detailed Inputs'!K26)</f>
        <v>0.83848768162697496</v>
      </c>
    </row>
    <row r="77" spans="1:7" x14ac:dyDescent="0.2">
      <c r="A77" s="40">
        <f t="shared" si="3"/>
        <v>32</v>
      </c>
      <c r="B77" s="49"/>
      <c r="C77" s="42"/>
    </row>
    <row r="78" spans="1:7" x14ac:dyDescent="0.2">
      <c r="A78" s="40">
        <f t="shared" si="3"/>
        <v>33</v>
      </c>
      <c r="B78" s="49"/>
      <c r="C78" s="42"/>
    </row>
    <row r="79" spans="1:7" x14ac:dyDescent="0.2">
      <c r="A79" s="40">
        <f t="shared" si="3"/>
        <v>34</v>
      </c>
      <c r="B79" s="49"/>
      <c r="C79" s="42"/>
    </row>
    <row r="80" spans="1:7" x14ac:dyDescent="0.2">
      <c r="A80" s="40">
        <f t="shared" si="3"/>
        <v>35</v>
      </c>
      <c r="B80" s="49"/>
      <c r="C80" s="42"/>
    </row>
    <row r="81" spans="1:3" x14ac:dyDescent="0.2">
      <c r="A81" s="40">
        <f t="shared" si="3"/>
        <v>36</v>
      </c>
      <c r="B81" s="49"/>
      <c r="C81" s="42"/>
    </row>
    <row r="82" spans="1:3" x14ac:dyDescent="0.2">
      <c r="A82" s="40">
        <f t="shared" si="3"/>
        <v>37</v>
      </c>
      <c r="B82" s="49"/>
      <c r="C82" s="42"/>
    </row>
    <row r="83" spans="1:3" x14ac:dyDescent="0.2">
      <c r="A83" s="40">
        <f t="shared" si="3"/>
        <v>38</v>
      </c>
      <c r="B83" s="49"/>
      <c r="C83" s="42"/>
    </row>
    <row r="84" spans="1:3" x14ac:dyDescent="0.2">
      <c r="A84" s="40">
        <f t="shared" si="3"/>
        <v>39</v>
      </c>
      <c r="B84" s="49"/>
      <c r="C84" s="42"/>
    </row>
    <row r="85" spans="1:3" x14ac:dyDescent="0.2">
      <c r="A85" s="40">
        <f t="shared" si="3"/>
        <v>40</v>
      </c>
      <c r="B85" s="49"/>
      <c r="C85" s="42"/>
    </row>
    <row r="86" spans="1:3" x14ac:dyDescent="0.2">
      <c r="A86" s="40">
        <f t="shared" si="3"/>
        <v>41</v>
      </c>
      <c r="B86" s="49"/>
      <c r="C86" s="42"/>
    </row>
    <row r="87" spans="1:3" x14ac:dyDescent="0.2">
      <c r="A87" s="40">
        <f t="shared" si="3"/>
        <v>42</v>
      </c>
      <c r="B87" s="49"/>
      <c r="C87" s="42"/>
    </row>
    <row r="88" spans="1:3" x14ac:dyDescent="0.2">
      <c r="A88" s="40">
        <f t="shared" si="3"/>
        <v>43</v>
      </c>
      <c r="B88" s="49"/>
      <c r="C88" s="42"/>
    </row>
    <row r="89" spans="1:3" x14ac:dyDescent="0.2">
      <c r="A89" s="40">
        <f t="shared" si="3"/>
        <v>44</v>
      </c>
      <c r="B89" s="49"/>
      <c r="C89" s="42"/>
    </row>
    <row r="90" spans="1:3" x14ac:dyDescent="0.2">
      <c r="A90" s="40">
        <f t="shared" si="3"/>
        <v>45</v>
      </c>
      <c r="B90" s="49"/>
      <c r="C90" s="42"/>
    </row>
    <row r="91" spans="1:3" x14ac:dyDescent="0.2">
      <c r="A91" s="40">
        <f t="shared" si="3"/>
        <v>46</v>
      </c>
      <c r="B91" s="49"/>
      <c r="C91" s="42"/>
    </row>
    <row r="92" spans="1:3" x14ac:dyDescent="0.2">
      <c r="A92" s="40">
        <f t="shared" si="3"/>
        <v>47</v>
      </c>
      <c r="B92" s="49"/>
      <c r="C92" s="42"/>
    </row>
    <row r="93" spans="1:3" x14ac:dyDescent="0.2">
      <c r="A93" s="40">
        <f t="shared" si="3"/>
        <v>48</v>
      </c>
      <c r="B93" s="49"/>
      <c r="C93" s="42"/>
    </row>
    <row r="94" spans="1:3" x14ac:dyDescent="0.2">
      <c r="A94" s="40">
        <f t="shared" si="3"/>
        <v>49</v>
      </c>
      <c r="B94" s="49"/>
      <c r="C94" s="42"/>
    </row>
    <row r="95" spans="1:3" ht="13.5" thickBot="1" x14ac:dyDescent="0.25">
      <c r="A95" s="43">
        <f t="shared" si="3"/>
        <v>50</v>
      </c>
      <c r="B95" s="50"/>
      <c r="C95" s="44"/>
    </row>
    <row r="97" spans="1:22" ht="13.5" thickBot="1" x14ac:dyDescent="0.25">
      <c r="A97" s="10" t="s">
        <v>75</v>
      </c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22" x14ac:dyDescent="0.2">
      <c r="A98" s="72"/>
      <c r="B98" s="295" t="s">
        <v>3</v>
      </c>
      <c r="C98" s="290" t="s">
        <v>38</v>
      </c>
      <c r="D98" s="291"/>
      <c r="E98" s="291"/>
      <c r="F98" s="291"/>
      <c r="G98" s="291"/>
      <c r="H98" s="301"/>
      <c r="I98" s="290" t="s">
        <v>39</v>
      </c>
      <c r="J98" s="291"/>
      <c r="K98" s="291"/>
      <c r="L98" s="291"/>
      <c r="M98" s="291"/>
      <c r="N98" s="291"/>
      <c r="O98" s="291"/>
      <c r="P98" s="292" t="s">
        <v>69</v>
      </c>
      <c r="Q98" s="289"/>
      <c r="R98" s="292" t="s">
        <v>74</v>
      </c>
      <c r="S98" s="304"/>
      <c r="T98" s="304"/>
      <c r="U98" s="289"/>
      <c r="V98" s="306" t="s">
        <v>73</v>
      </c>
    </row>
    <row r="99" spans="1:22" ht="25.5" customHeight="1" x14ac:dyDescent="0.2">
      <c r="A99" s="73"/>
      <c r="B99" s="296"/>
      <c r="C99" s="298" t="s">
        <v>59</v>
      </c>
      <c r="D99" s="299"/>
      <c r="E99" s="299"/>
      <c r="F99" s="300"/>
      <c r="G99" s="296" t="s">
        <v>25</v>
      </c>
      <c r="H99" s="302" t="s">
        <v>37</v>
      </c>
      <c r="I99" s="298" t="s">
        <v>59</v>
      </c>
      <c r="J99" s="299"/>
      <c r="K99" s="299"/>
      <c r="L99" s="299"/>
      <c r="M99" s="299"/>
      <c r="N99" s="310" t="s">
        <v>25</v>
      </c>
      <c r="O99" s="310" t="s">
        <v>37</v>
      </c>
      <c r="P99" s="293"/>
      <c r="Q99" s="294"/>
      <c r="R99" s="293"/>
      <c r="S99" s="305"/>
      <c r="T99" s="305"/>
      <c r="U99" s="294"/>
      <c r="V99" s="307"/>
    </row>
    <row r="100" spans="1:22" ht="51" x14ac:dyDescent="0.2">
      <c r="A100" s="75" t="s">
        <v>76</v>
      </c>
      <c r="B100" s="297"/>
      <c r="C100" s="77" t="s">
        <v>61</v>
      </c>
      <c r="D100" s="21" t="s">
        <v>60</v>
      </c>
      <c r="E100" s="21" t="s">
        <v>298</v>
      </c>
      <c r="F100" s="8" t="s">
        <v>10</v>
      </c>
      <c r="G100" s="297"/>
      <c r="H100" s="303"/>
      <c r="I100" s="77" t="s">
        <v>6</v>
      </c>
      <c r="J100" s="21" t="s">
        <v>61</v>
      </c>
      <c r="K100" s="21" t="s">
        <v>60</v>
      </c>
      <c r="L100" s="21" t="s">
        <v>298</v>
      </c>
      <c r="M100" s="21" t="s">
        <v>10</v>
      </c>
      <c r="N100" s="297"/>
      <c r="O100" s="297"/>
      <c r="P100" s="82" t="s">
        <v>68</v>
      </c>
      <c r="Q100" s="76" t="s">
        <v>28</v>
      </c>
      <c r="R100" s="82" t="s">
        <v>71</v>
      </c>
      <c r="S100" s="76" t="s">
        <v>72</v>
      </c>
      <c r="T100" s="113" t="s">
        <v>98</v>
      </c>
      <c r="U100" s="76" t="s">
        <v>37</v>
      </c>
      <c r="V100" s="308"/>
    </row>
    <row r="101" spans="1:22" x14ac:dyDescent="0.2">
      <c r="A101" s="28">
        <f>Calculations!A196</f>
        <v>1</v>
      </c>
      <c r="B101" s="22">
        <f>AnnMiles*Calculations!A196</f>
        <v>35394.667808219179</v>
      </c>
      <c r="C101" s="22">
        <f>+Calculations!C196</f>
        <v>5821.089073333841</v>
      </c>
      <c r="D101" s="22">
        <f>+Calculations!D196</f>
        <v>49349.147965358068</v>
      </c>
      <c r="E101" s="22">
        <f>+Calculations!E196</f>
        <v>22992.175970652694</v>
      </c>
      <c r="F101" s="78">
        <f t="shared" ref="F101:F110" si="4">SUM(C101:E101)</f>
        <v>78162.4130093446</v>
      </c>
      <c r="G101" s="22">
        <f>+Calculations!F196</f>
        <v>3171.5625666820188</v>
      </c>
      <c r="H101" s="78">
        <f t="shared" ref="H101:H110" si="5">SUM(F101:G101)</f>
        <v>81333.975576026613</v>
      </c>
      <c r="I101" s="22">
        <f>+Calculations!M196</f>
        <v>424790</v>
      </c>
      <c r="J101" s="22">
        <f>+Calculations!N196</f>
        <v>5821.089073333841</v>
      </c>
      <c r="K101" s="22">
        <f>+Calculations!O196</f>
        <v>49349.147965358075</v>
      </c>
      <c r="L101" s="22">
        <f>+Calculations!P196</f>
        <v>22992.175970652697</v>
      </c>
      <c r="M101" s="80">
        <f t="shared" ref="M101:M110" si="6">SUM(I101:L101)</f>
        <v>502952.4130093446</v>
      </c>
      <c r="N101" s="22">
        <f>+Calculations!Q196</f>
        <v>3171.5625666820192</v>
      </c>
      <c r="O101" s="22">
        <f t="shared" ref="O101:O110" si="7">SUM(M101:N101)</f>
        <v>506123.9755760266</v>
      </c>
      <c r="P101" s="22">
        <f>O101</f>
        <v>506123.9755760266</v>
      </c>
      <c r="Q101" s="13">
        <f>A101</f>
        <v>1</v>
      </c>
      <c r="R101" s="80">
        <f t="shared" ref="R101:R110" si="8">F101-$F$41</f>
        <v>-77138.411844995513</v>
      </c>
      <c r="S101" s="29">
        <f t="shared" ref="S101:S110" si="9">G101-$F$42</f>
        <v>-1793.8012831319274</v>
      </c>
      <c r="T101" s="29">
        <f>OtherBen*AnnMiles</f>
        <v>0</v>
      </c>
      <c r="U101" s="29">
        <f t="shared" ref="U101:U110" si="10">H101-$F$40+T101</f>
        <v>-78932.213128127434</v>
      </c>
      <c r="V101" s="83">
        <f>U101/NewBusCost</f>
        <v>-0.19882169553684492</v>
      </c>
    </row>
    <row r="102" spans="1:22" x14ac:dyDescent="0.2">
      <c r="A102" s="28">
        <f>Calculations!A197</f>
        <v>2</v>
      </c>
      <c r="B102" s="22">
        <f>AnnMiles*Calculations!A197</f>
        <v>70789.335616438359</v>
      </c>
      <c r="C102" s="22">
        <f>+Calculations!C197</f>
        <v>13668.457186737569</v>
      </c>
      <c r="D102" s="22">
        <f>+Calculations!D197</f>
        <v>51599.799252738681</v>
      </c>
      <c r="E102" s="22">
        <f>+Calculations!E197</f>
        <v>23508.132840152346</v>
      </c>
      <c r="F102" s="78">
        <f t="shared" si="4"/>
        <v>88776.389279628595</v>
      </c>
      <c r="G102" s="22">
        <f>+Calculations!F197</f>
        <v>3401.8038394382725</v>
      </c>
      <c r="H102" s="78">
        <f t="shared" si="5"/>
        <v>92178.193119066869</v>
      </c>
      <c r="I102" s="22">
        <f>+Calculations!M197</f>
        <v>219577.43961352648</v>
      </c>
      <c r="J102" s="22">
        <f>+Calculations!N197</f>
        <v>9612.0881619346692</v>
      </c>
      <c r="K102" s="22">
        <f>+Calculations!O197</f>
        <v>50436.41911868201</v>
      </c>
      <c r="L102" s="22">
        <f>+Calculations!P197</f>
        <v>23241.430496981022</v>
      </c>
      <c r="M102" s="80">
        <f t="shared" si="6"/>
        <v>302867.37739112414</v>
      </c>
      <c r="N102" s="22">
        <f>+Calculations!Q197</f>
        <v>3282.7902346802075</v>
      </c>
      <c r="O102" s="22">
        <f t="shared" si="7"/>
        <v>306150.16762580437</v>
      </c>
      <c r="P102" s="22">
        <f>IF(O102&lt;P101,O102,P101)</f>
        <v>306150.16762580437</v>
      </c>
      <c r="Q102" s="13">
        <f>IF(O102&lt;P101,A102,Q101)</f>
        <v>2</v>
      </c>
      <c r="R102" s="80">
        <f t="shared" si="8"/>
        <v>-66524.435574711519</v>
      </c>
      <c r="S102" s="29">
        <f t="shared" si="9"/>
        <v>-1563.5600103756738</v>
      </c>
      <c r="T102" s="29">
        <f>OtherBen*AnnMiles</f>
        <v>0</v>
      </c>
      <c r="U102" s="29">
        <f t="shared" si="10"/>
        <v>-68087.995585087177</v>
      </c>
      <c r="V102" s="83">
        <f>U102/NewBusCost</f>
        <v>-0.17150628610853194</v>
      </c>
    </row>
    <row r="103" spans="1:22" x14ac:dyDescent="0.2">
      <c r="A103" s="28">
        <f>Calculations!A198</f>
        <v>3</v>
      </c>
      <c r="B103" s="22">
        <f>AnnMiles*Calculations!A198</f>
        <v>106184.00342465754</v>
      </c>
      <c r="C103" s="22">
        <f>+Calculations!C198</f>
        <v>19080.225349358461</v>
      </c>
      <c r="D103" s="22">
        <f>+Calculations!D198</f>
        <v>53953.095295423744</v>
      </c>
      <c r="E103" s="22">
        <f>+Calculations!E198</f>
        <v>24035.668060980024</v>
      </c>
      <c r="F103" s="78">
        <f t="shared" si="4"/>
        <v>97068.988705762225</v>
      </c>
      <c r="G103" s="22">
        <f>+Calculations!F198</f>
        <v>3648.7595999480745</v>
      </c>
      <c r="H103" s="78">
        <f t="shared" si="5"/>
        <v>100717.74830571029</v>
      </c>
      <c r="I103" s="22">
        <f>+Calculations!M198</f>
        <v>151277.51127562279</v>
      </c>
      <c r="J103" s="22">
        <f>+Calculations!N198</f>
        <v>12557.168004985393</v>
      </c>
      <c r="K103" s="22">
        <f>+Calculations!O198</f>
        <v>51530.28710112055</v>
      </c>
      <c r="L103" s="22">
        <f>+Calculations!P198</f>
        <v>23488.479414209851</v>
      </c>
      <c r="M103" s="80">
        <f t="shared" si="6"/>
        <v>238853.44579593858</v>
      </c>
      <c r="N103" s="22">
        <f>+Calculations!Q198</f>
        <v>3396.6256153352392</v>
      </c>
      <c r="O103" s="22">
        <f t="shared" si="7"/>
        <v>242250.07141127382</v>
      </c>
      <c r="P103" s="22">
        <f t="shared" ref="P103:P160" si="11">IF(O103&lt;P102,O103,P102)</f>
        <v>242250.07141127382</v>
      </c>
      <c r="Q103" s="13">
        <f t="shared" ref="Q103:Q160" si="12">IF(O103&lt;P102,A103,Q102)</f>
        <v>3</v>
      </c>
      <c r="R103" s="80">
        <f t="shared" si="8"/>
        <v>-58231.836148577888</v>
      </c>
      <c r="S103" s="29">
        <f t="shared" si="9"/>
        <v>-1316.6042498658717</v>
      </c>
      <c r="T103" s="29">
        <f>OtherBen*AnnMiles</f>
        <v>0</v>
      </c>
      <c r="U103" s="29">
        <f t="shared" si="10"/>
        <v>-59548.440398443752</v>
      </c>
      <c r="V103" s="83">
        <f>U103/NewBusCost</f>
        <v>-0.14999607153260391</v>
      </c>
    </row>
    <row r="104" spans="1:22" x14ac:dyDescent="0.2">
      <c r="A104" s="28">
        <f>Calculations!A199</f>
        <v>4</v>
      </c>
      <c r="B104" s="22">
        <f>AnnMiles*Calculations!A199</f>
        <v>141578.67123287672</v>
      </c>
      <c r="C104" s="22">
        <f>+Calculations!C199</f>
        <v>21777.645298729996</v>
      </c>
      <c r="D104" s="22">
        <f>+Calculations!D199</f>
        <v>56413.717380936854</v>
      </c>
      <c r="E104" s="22">
        <f>+Calculations!E199</f>
        <v>24575.041457604391</v>
      </c>
      <c r="F104" s="78">
        <f t="shared" si="4"/>
        <v>102766.40413727125</v>
      </c>
      <c r="G104" s="22">
        <f>+Calculations!F199</f>
        <v>3913.6432453470434</v>
      </c>
      <c r="H104" s="78">
        <f t="shared" si="5"/>
        <v>106680.0473826183</v>
      </c>
      <c r="I104" s="22">
        <f>+Calculations!M199</f>
        <v>117205.56231690361</v>
      </c>
      <c r="J104" s="22">
        <f>+Calculations!N199</f>
        <v>14633.878740628763</v>
      </c>
      <c r="K104" s="22">
        <f>+Calculations!O199</f>
        <v>52630.172905919477</v>
      </c>
      <c r="L104" s="22">
        <f>+Calculations!P199</f>
        <v>23733.203736885745</v>
      </c>
      <c r="M104" s="80">
        <f t="shared" si="6"/>
        <v>208202.81770033762</v>
      </c>
      <c r="N104" s="22">
        <f>+Calculations!Q199</f>
        <v>3513.0725224265716</v>
      </c>
      <c r="O104" s="22">
        <f t="shared" si="7"/>
        <v>211715.8902227642</v>
      </c>
      <c r="P104" s="22">
        <f t="shared" si="11"/>
        <v>211715.8902227642</v>
      </c>
      <c r="Q104" s="13">
        <f t="shared" si="12"/>
        <v>4</v>
      </c>
      <c r="R104" s="80">
        <f t="shared" si="8"/>
        <v>-52534.420717068861</v>
      </c>
      <c r="S104" s="29">
        <f t="shared" si="9"/>
        <v>-1051.7206044669028</v>
      </c>
      <c r="T104" s="29">
        <f>OtherBen*AnnMiles</f>
        <v>0</v>
      </c>
      <c r="U104" s="29">
        <f t="shared" si="10"/>
        <v>-53586.141321535746</v>
      </c>
      <c r="V104" s="83">
        <f>U104/NewBusCost</f>
        <v>-0.13497768594845277</v>
      </c>
    </row>
    <row r="105" spans="1:22" x14ac:dyDescent="0.2">
      <c r="A105" s="28">
        <f>Calculations!A200</f>
        <v>5</v>
      </c>
      <c r="B105" s="22">
        <f>AnnMiles*Calculations!A200</f>
        <v>176973.3390410959</v>
      </c>
      <c r="C105" s="22">
        <f>+Calculations!C200</f>
        <v>22974.410765089026</v>
      </c>
      <c r="D105" s="22">
        <f>+Calculations!D200</f>
        <v>58986.560294829906</v>
      </c>
      <c r="E105" s="22">
        <f>+Calculations!E200</f>
        <v>25126.518685095787</v>
      </c>
      <c r="F105" s="78">
        <f t="shared" si="4"/>
        <v>107087.48974501471</v>
      </c>
      <c r="G105" s="22">
        <f>+Calculations!F200</f>
        <v>4197.7562599817502</v>
      </c>
      <c r="H105" s="78">
        <f t="shared" si="5"/>
        <v>111285.24600499646</v>
      </c>
      <c r="I105" s="22">
        <f>+Calculations!M200</f>
        <v>96824.605693225487</v>
      </c>
      <c r="J105" s="22">
        <f>+Calculations!N200</f>
        <v>16084.219646372678</v>
      </c>
      <c r="K105" s="22">
        <f>+Calculations!O200</f>
        <v>53735.489523115502</v>
      </c>
      <c r="L105" s="22">
        <f>+Calculations!P200</f>
        <v>23975.488240805535</v>
      </c>
      <c r="M105" s="80">
        <f t="shared" si="6"/>
        <v>190619.8031035192</v>
      </c>
      <c r="N105" s="22">
        <f>+Calculations!Q200</f>
        <v>3632.1326530227566</v>
      </c>
      <c r="O105" s="22">
        <f t="shared" si="7"/>
        <v>194251.93575654196</v>
      </c>
      <c r="P105" s="22">
        <f t="shared" si="11"/>
        <v>194251.93575654196</v>
      </c>
      <c r="Q105" s="13">
        <f t="shared" si="12"/>
        <v>5</v>
      </c>
      <c r="R105" s="80">
        <f t="shared" si="8"/>
        <v>-48213.335109325402</v>
      </c>
      <c r="S105" s="29">
        <f t="shared" si="9"/>
        <v>-767.60758983219603</v>
      </c>
      <c r="T105" s="29">
        <f t="shared" ref="T105:T160" si="13">OtherBen*AnnMiles</f>
        <v>0</v>
      </c>
      <c r="U105" s="29">
        <f t="shared" si="10"/>
        <v>-48980.942699157589</v>
      </c>
      <c r="V105" s="83">
        <f t="shared" ref="V105:V160" si="14">U105/NewBusCost</f>
        <v>-0.12337768941853297</v>
      </c>
    </row>
    <row r="106" spans="1:22" x14ac:dyDescent="0.2">
      <c r="A106" s="28">
        <f>Calculations!A201</f>
        <v>6</v>
      </c>
      <c r="B106" s="22">
        <f>AnnMiles*Calculations!A201</f>
        <v>212368.00684931508</v>
      </c>
      <c r="C106" s="22">
        <f>+Calculations!C201</f>
        <v>23491.06620412046</v>
      </c>
      <c r="D106" s="22">
        <f>+Calculations!D201</f>
        <v>61676.742057621545</v>
      </c>
      <c r="E106" s="22">
        <f>+Calculations!E201</f>
        <v>25690.371359968063</v>
      </c>
      <c r="F106" s="78">
        <f t="shared" si="4"/>
        <v>110858.17962171006</v>
      </c>
      <c r="G106" s="22">
        <f>+Calculations!F201</f>
        <v>4502.4946101476889</v>
      </c>
      <c r="H106" s="78">
        <f t="shared" si="5"/>
        <v>115360.67423185776</v>
      </c>
      <c r="I106" s="22">
        <f>+Calculations!M201</f>
        <v>83288.932504056284</v>
      </c>
      <c r="J106" s="22">
        <f>+Calculations!N201</f>
        <v>17119.665684600248</v>
      </c>
      <c r="K106" s="22">
        <f>+Calculations!O201</f>
        <v>54845.643272259636</v>
      </c>
      <c r="L106" s="22">
        <f>+Calculations!P201</f>
        <v>24215.22169794092</v>
      </c>
      <c r="M106" s="80">
        <f t="shared" si="6"/>
        <v>179469.46315885711</v>
      </c>
      <c r="N106" s="22">
        <f>+Calculations!Q201</f>
        <v>3753.805598898261</v>
      </c>
      <c r="O106" s="22">
        <f t="shared" si="7"/>
        <v>183223.26875775537</v>
      </c>
      <c r="P106" s="22">
        <f t="shared" si="11"/>
        <v>183223.26875775537</v>
      </c>
      <c r="Q106" s="13">
        <f t="shared" si="12"/>
        <v>6</v>
      </c>
      <c r="R106" s="80">
        <f t="shared" si="8"/>
        <v>-44442.64523263005</v>
      </c>
      <c r="S106" s="29">
        <f t="shared" si="9"/>
        <v>-462.86923966625727</v>
      </c>
      <c r="T106" s="29">
        <f t="shared" si="13"/>
        <v>0</v>
      </c>
      <c r="U106" s="29">
        <f t="shared" si="10"/>
        <v>-44905.514472296287</v>
      </c>
      <c r="V106" s="83">
        <f t="shared" si="14"/>
        <v>-0.11311212713424758</v>
      </c>
    </row>
    <row r="107" spans="1:22" x14ac:dyDescent="0.2">
      <c r="A107" s="28">
        <f>Calculations!A202</f>
        <v>7</v>
      </c>
      <c r="B107" s="22">
        <f>AnnMiles*Calculations!A202</f>
        <v>247762.67465753425</v>
      </c>
      <c r="C107" s="22">
        <f>+Calculations!C202</f>
        <v>23737.906033854084</v>
      </c>
      <c r="D107" s="22">
        <f>+Calculations!D202</f>
        <v>64489.614105805056</v>
      </c>
      <c r="E107" s="22">
        <f>+Calculations!E202</f>
        <v>26266.877193956614</v>
      </c>
      <c r="F107" s="78">
        <f t="shared" si="4"/>
        <v>114494.39733361575</v>
      </c>
      <c r="G107" s="22">
        <f>+Calculations!F202</f>
        <v>4829.3556030566497</v>
      </c>
      <c r="H107" s="78">
        <f t="shared" si="5"/>
        <v>119323.7529366724</v>
      </c>
      <c r="I107" s="22">
        <f>+Calculations!M202</f>
        <v>73664.628193570243</v>
      </c>
      <c r="J107" s="22">
        <f>+Calculations!N202</f>
        <v>17884.424665249375</v>
      </c>
      <c r="K107" s="22">
        <f>+Calculations!O202</f>
        <v>55960.035152104792</v>
      </c>
      <c r="L107" s="22">
        <f>+Calculations!P202</f>
        <v>24452.297096079488</v>
      </c>
      <c r="M107" s="80">
        <f t="shared" si="6"/>
        <v>171961.38510700388</v>
      </c>
      <c r="N107" s="22">
        <f>+Calculations!Q202</f>
        <v>3878.0888647530692</v>
      </c>
      <c r="O107" s="22">
        <f t="shared" si="7"/>
        <v>175839.47397175696</v>
      </c>
      <c r="P107" s="22">
        <f t="shared" si="11"/>
        <v>175839.47397175696</v>
      </c>
      <c r="Q107" s="13">
        <f t="shared" si="12"/>
        <v>7</v>
      </c>
      <c r="R107" s="80">
        <f t="shared" si="8"/>
        <v>-40806.427520724363</v>
      </c>
      <c r="S107" s="29">
        <f t="shared" si="9"/>
        <v>-136.00824675729655</v>
      </c>
      <c r="T107" s="29">
        <f t="shared" si="13"/>
        <v>0</v>
      </c>
      <c r="U107" s="29">
        <f t="shared" si="10"/>
        <v>-40942.435767481642</v>
      </c>
      <c r="V107" s="83">
        <f t="shared" si="14"/>
        <v>-0.10312956112715779</v>
      </c>
    </row>
    <row r="108" spans="1:22" x14ac:dyDescent="0.2">
      <c r="A108" s="28">
        <f>Calculations!A203</f>
        <v>8</v>
      </c>
      <c r="B108" s="22">
        <f>AnnMiles*Calculations!A203</f>
        <v>283157.34246575343</v>
      </c>
      <c r="C108" s="22">
        <f>+Calculations!C203</f>
        <v>23893.854109361862</v>
      </c>
      <c r="D108" s="22">
        <f>+Calculations!D203</f>
        <v>67430.771937178273</v>
      </c>
      <c r="E108" s="22">
        <f>+Calculations!E203</f>
        <v>26856.320130798453</v>
      </c>
      <c r="F108" s="78">
        <f t="shared" si="4"/>
        <v>118180.94617733858</v>
      </c>
      <c r="G108" s="22">
        <f>+Calculations!F203</f>
        <v>5179.9452437344789</v>
      </c>
      <c r="H108" s="78">
        <f t="shared" si="5"/>
        <v>123360.89142107306</v>
      </c>
      <c r="I108" s="22">
        <f>+Calculations!M203</f>
        <v>66484.701708829598</v>
      </c>
      <c r="J108" s="22">
        <f>+Calculations!N203</f>
        <v>18470.150307013078</v>
      </c>
      <c r="K108" s="22">
        <f>+Calculations!O203</f>
        <v>57078.062200666296</v>
      </c>
      <c r="L108" s="22">
        <f>+Calculations!P203</f>
        <v>24686.611842249782</v>
      </c>
      <c r="M108" s="80">
        <f t="shared" si="6"/>
        <v>166719.52605875875</v>
      </c>
      <c r="N108" s="22">
        <f>+Calculations!Q203</f>
        <v>4004.9778930967027</v>
      </c>
      <c r="O108" s="22">
        <f t="shared" si="7"/>
        <v>170724.50395185547</v>
      </c>
      <c r="P108" s="22">
        <f t="shared" si="11"/>
        <v>170724.50395185547</v>
      </c>
      <c r="Q108" s="13">
        <f t="shared" si="12"/>
        <v>8</v>
      </c>
      <c r="R108" s="80">
        <f t="shared" si="8"/>
        <v>-37119.878677001529</v>
      </c>
      <c r="S108" s="29">
        <f t="shared" si="9"/>
        <v>214.58139392053272</v>
      </c>
      <c r="T108" s="29">
        <f t="shared" si="13"/>
        <v>0</v>
      </c>
      <c r="U108" s="29">
        <f t="shared" si="10"/>
        <v>-36905.297283080989</v>
      </c>
      <c r="V108" s="83">
        <f t="shared" si="14"/>
        <v>-9.2960446556879059E-2</v>
      </c>
    </row>
    <row r="109" spans="1:22" x14ac:dyDescent="0.2">
      <c r="A109" s="28">
        <f>Calculations!A204</f>
        <v>9</v>
      </c>
      <c r="B109" s="22">
        <f>AnnMiles*Calculations!A204</f>
        <v>318552.01027397264</v>
      </c>
      <c r="C109" s="22">
        <f>+Calculations!C204</f>
        <v>24023.5075502494</v>
      </c>
      <c r="D109" s="22">
        <f>+Calculations!D204</f>
        <v>70506.066241671899</v>
      </c>
      <c r="E109" s="22">
        <f>+Calculations!E204</f>
        <v>27458.990486081664</v>
      </c>
      <c r="F109" s="78">
        <f t="shared" si="4"/>
        <v>121988.56427800296</v>
      </c>
      <c r="G109" s="22">
        <f>+Calculations!F204</f>
        <v>5555.9861259967593</v>
      </c>
      <c r="H109" s="78">
        <f t="shared" si="5"/>
        <v>127544.55040399972</v>
      </c>
      <c r="I109" s="22">
        <f>+Calculations!M204</f>
        <v>60934.128644953504</v>
      </c>
      <c r="J109" s="22">
        <f>+Calculations!N204</f>
        <v>18933.780500668519</v>
      </c>
      <c r="K109" s="22">
        <f>+Calculations!O204</f>
        <v>58199.118859054317</v>
      </c>
      <c r="L109" s="22">
        <f>+Calculations!P204</f>
        <v>24918.067949110449</v>
      </c>
      <c r="M109" s="80">
        <f t="shared" si="6"/>
        <v>162985.09595378677</v>
      </c>
      <c r="N109" s="22">
        <f>+Calculations!Q204</f>
        <v>4134.4660956171601</v>
      </c>
      <c r="O109" s="22">
        <f t="shared" si="7"/>
        <v>167119.56204940393</v>
      </c>
      <c r="P109" s="22">
        <f t="shared" si="11"/>
        <v>167119.56204940393</v>
      </c>
      <c r="Q109" s="13">
        <f t="shared" si="12"/>
        <v>9</v>
      </c>
      <c r="R109" s="80">
        <f t="shared" si="8"/>
        <v>-33312.260576337154</v>
      </c>
      <c r="S109" s="29">
        <f t="shared" si="9"/>
        <v>590.62227618281304</v>
      </c>
      <c r="T109" s="29">
        <f t="shared" si="13"/>
        <v>0</v>
      </c>
      <c r="U109" s="29">
        <f t="shared" si="10"/>
        <v>-32721.638300154329</v>
      </c>
      <c r="V109" s="83">
        <f t="shared" si="14"/>
        <v>-8.2422262720791756E-2</v>
      </c>
    </row>
    <row r="110" spans="1:22" x14ac:dyDescent="0.2">
      <c r="A110" s="28">
        <f>Calculations!A205</f>
        <v>10</v>
      </c>
      <c r="B110" s="22">
        <f>AnnMiles*Calculations!A205</f>
        <v>353946.67808219179</v>
      </c>
      <c r="C110" s="22">
        <f>+Calculations!C205</f>
        <v>24145.10290942392</v>
      </c>
      <c r="D110" s="22">
        <f>+Calculations!D205</f>
        <v>73721.614539817878</v>
      </c>
      <c r="E110" s="22">
        <f>+Calculations!E205</f>
        <v>28075.18509023323</v>
      </c>
      <c r="F110" s="78">
        <f t="shared" si="4"/>
        <v>125941.90253947504</v>
      </c>
      <c r="G110" s="22">
        <f>+Calculations!F205</f>
        <v>5959.3258962740492</v>
      </c>
      <c r="H110" s="78">
        <f t="shared" si="5"/>
        <v>131901.22843574907</v>
      </c>
      <c r="I110" s="22">
        <f>+Calculations!M205</f>
        <v>56523.868582763789</v>
      </c>
      <c r="J110" s="22">
        <f>+Calculations!N205</f>
        <v>19310.963002521388</v>
      </c>
      <c r="K110" s="22">
        <f>+Calculations!O205</f>
        <v>59322.598332524292</v>
      </c>
      <c r="L110" s="22">
        <f>+Calculations!P205</f>
        <v>25146.572203602675</v>
      </c>
      <c r="M110" s="80">
        <f t="shared" si="6"/>
        <v>160304.00212141214</v>
      </c>
      <c r="N110" s="22">
        <f>+Calculations!Q205</f>
        <v>4266.5448908162616</v>
      </c>
      <c r="O110" s="22">
        <f t="shared" si="7"/>
        <v>164570.5470122284</v>
      </c>
      <c r="P110" s="22">
        <f t="shared" si="11"/>
        <v>164570.5470122284</v>
      </c>
      <c r="Q110" s="13">
        <f t="shared" si="12"/>
        <v>10</v>
      </c>
      <c r="R110" s="80">
        <f t="shared" si="8"/>
        <v>-29358.922314865078</v>
      </c>
      <c r="S110" s="29">
        <f t="shared" si="9"/>
        <v>993.96204646010301</v>
      </c>
      <c r="T110" s="29">
        <f t="shared" si="13"/>
        <v>0</v>
      </c>
      <c r="U110" s="29">
        <f t="shared" si="10"/>
        <v>-28364.960268404975</v>
      </c>
      <c r="V110" s="83">
        <f t="shared" si="14"/>
        <v>-7.1448262640818577E-2</v>
      </c>
    </row>
    <row r="111" spans="1:22" x14ac:dyDescent="0.2">
      <c r="A111" s="28">
        <f>Calculations!A206</f>
        <v>11</v>
      </c>
      <c r="B111" s="22">
        <f>AnnMiles*Calculations!A206</f>
        <v>389341.34589041094</v>
      </c>
      <c r="C111" s="22">
        <f>+Calculations!C206</f>
        <v>24266.114007495249</v>
      </c>
      <c r="D111" s="22">
        <f>+Calculations!D206</f>
        <v>77083.813352009965</v>
      </c>
      <c r="E111" s="22">
        <f>+Calculations!E206</f>
        <v>28705.207434715525</v>
      </c>
      <c r="F111" s="78">
        <f t="shared" ref="F111:F160" si="15">SUM(C111:E111)</f>
        <v>130055.13479422074</v>
      </c>
      <c r="G111" s="22">
        <f>+Calculations!F206</f>
        <v>6391.9463318730432</v>
      </c>
      <c r="H111" s="78">
        <f t="shared" ref="H111:H160" si="16">SUM(F111:G111)</f>
        <v>136447.08112609378</v>
      </c>
      <c r="I111" s="22">
        <f>+Calculations!M206</f>
        <v>52942.691219989203</v>
      </c>
      <c r="J111" s="22">
        <f>+Calculations!N206</f>
        <v>19624.906033192736</v>
      </c>
      <c r="K111" s="22">
        <f>+Calculations!O206</f>
        <v>60447.89394228992</v>
      </c>
      <c r="L111" s="22">
        <f>+Calculations!P206</f>
        <v>25372.036317287195</v>
      </c>
      <c r="M111" s="80">
        <f t="shared" ref="M111:M160" si="17">SUM(I111:L111)</f>
        <v>158387.52751275906</v>
      </c>
      <c r="N111" s="22">
        <f>+Calculations!Q206</f>
        <v>4401.2037476561136</v>
      </c>
      <c r="O111" s="22">
        <f t="shared" ref="O111:O160" si="18">SUM(M111:N111)</f>
        <v>162788.73126041517</v>
      </c>
      <c r="P111" s="22">
        <f t="shared" si="11"/>
        <v>162788.73126041517</v>
      </c>
      <c r="Q111" s="13">
        <f t="shared" si="12"/>
        <v>11</v>
      </c>
      <c r="R111" s="80">
        <f t="shared" ref="R111:R160" si="19">F111-$F$41</f>
        <v>-25245.690060119377</v>
      </c>
      <c r="S111" s="29">
        <f t="shared" ref="S111:S160" si="20">G111-$F$42</f>
        <v>1426.5824820590969</v>
      </c>
      <c r="T111" s="29">
        <f t="shared" si="13"/>
        <v>0</v>
      </c>
      <c r="U111" s="29">
        <f t="shared" ref="U111:U160" si="21">H111-$F$40+T111</f>
        <v>-23819.10757806027</v>
      </c>
      <c r="V111" s="83">
        <f t="shared" si="14"/>
        <v>-5.999775208579413E-2</v>
      </c>
    </row>
    <row r="112" spans="1:22" x14ac:dyDescent="0.2">
      <c r="A112" s="28">
        <f>Calculations!A207</f>
        <v>12</v>
      </c>
      <c r="B112" s="22">
        <f>AnnMiles*Calculations!A207</f>
        <v>424736.01369863015</v>
      </c>
      <c r="C112" s="22">
        <f>+Calculations!C207</f>
        <v>24397.263736148747</v>
      </c>
      <c r="D112" s="22">
        <f>+Calculations!D207</f>
        <v>80599.350922763813</v>
      </c>
      <c r="E112" s="22">
        <f>+Calculations!E207</f>
        <v>29349.367821503554</v>
      </c>
      <c r="F112" s="78">
        <f t="shared" si="15"/>
        <v>134345.9824804161</v>
      </c>
      <c r="G112" s="22">
        <f>+Calculations!F207</f>
        <v>6855.9730782789156</v>
      </c>
      <c r="H112" s="78">
        <f t="shared" si="16"/>
        <v>141201.95555869502</v>
      </c>
      <c r="I112" s="22">
        <f>+Calculations!M207</f>
        <v>49983.089496043118</v>
      </c>
      <c r="J112" s="22">
        <f>+Calculations!N207</f>
        <v>19891.690319361081</v>
      </c>
      <c r="K112" s="22">
        <f>+Calculations!O207</f>
        <v>61574.400461794503</v>
      </c>
      <c r="L112" s="22">
        <f>+Calculations!P207</f>
        <v>25594.377057913156</v>
      </c>
      <c r="M112" s="80">
        <f t="shared" si="17"/>
        <v>157043.55733511187</v>
      </c>
      <c r="N112" s="22">
        <f>+Calculations!Q207</f>
        <v>4538.4302349272812</v>
      </c>
      <c r="O112" s="22">
        <f t="shared" si="18"/>
        <v>161581.98757003914</v>
      </c>
      <c r="P112" s="22">
        <f t="shared" si="11"/>
        <v>161581.98757003914</v>
      </c>
      <c r="Q112" s="13">
        <f t="shared" si="12"/>
        <v>12</v>
      </c>
      <c r="R112" s="80">
        <f t="shared" si="19"/>
        <v>-20954.84237392401</v>
      </c>
      <c r="S112" s="29">
        <f t="shared" si="20"/>
        <v>1890.6092284649694</v>
      </c>
      <c r="T112" s="29">
        <f t="shared" si="13"/>
        <v>0</v>
      </c>
      <c r="U112" s="29">
        <f t="shared" si="21"/>
        <v>-19064.233145459031</v>
      </c>
      <c r="V112" s="83">
        <f t="shared" si="14"/>
        <v>-4.8020738401660025E-2</v>
      </c>
    </row>
    <row r="113" spans="1:22" x14ac:dyDescent="0.2">
      <c r="A113" s="28">
        <f>Calculations!A208</f>
        <v>13</v>
      </c>
      <c r="B113" s="22">
        <f>AnnMiles*Calculations!A208</f>
        <v>460130.68150684936</v>
      </c>
      <c r="C113" s="22">
        <f>+Calculations!C208</f>
        <v>24554.415566834465</v>
      </c>
      <c r="D113" s="22">
        <f>+Calculations!D208</f>
        <v>84275.220525288634</v>
      </c>
      <c r="E113" s="22">
        <f>+Calculations!E208</f>
        <v>30007.983515916538</v>
      </c>
      <c r="F113" s="78">
        <f t="shared" si="15"/>
        <v>138837.61960803962</v>
      </c>
      <c r="G113" s="22">
        <f>+Calculations!F208</f>
        <v>7353.6860933423241</v>
      </c>
      <c r="H113" s="78">
        <f t="shared" si="16"/>
        <v>146191.30570138193</v>
      </c>
      <c r="I113" s="22">
        <f>+Calculations!M208</f>
        <v>47501.386710094135</v>
      </c>
      <c r="J113" s="22">
        <f>+Calculations!N208</f>
        <v>20123.198582524481</v>
      </c>
      <c r="K113" s="22">
        <f>+Calculations!O208</f>
        <v>62701.515431335552</v>
      </c>
      <c r="L113" s="22">
        <f>+Calculations!P208</f>
        <v>25813.516361892689</v>
      </c>
      <c r="M113" s="80">
        <f t="shared" si="17"/>
        <v>156139.61708584687</v>
      </c>
      <c r="N113" s="22">
        <f>+Calculations!Q208</f>
        <v>4678.2100760181565</v>
      </c>
      <c r="O113" s="22">
        <f t="shared" si="18"/>
        <v>160817.82716186502</v>
      </c>
      <c r="P113" s="22">
        <f t="shared" si="11"/>
        <v>160817.82716186502</v>
      </c>
      <c r="Q113" s="13">
        <f t="shared" si="12"/>
        <v>13</v>
      </c>
      <c r="R113" s="80">
        <f t="shared" si="19"/>
        <v>-16463.205246300495</v>
      </c>
      <c r="S113" s="29">
        <f t="shared" si="20"/>
        <v>2388.3222435283778</v>
      </c>
      <c r="T113" s="29">
        <f t="shared" si="13"/>
        <v>0</v>
      </c>
      <c r="U113" s="29">
        <f t="shared" si="21"/>
        <v>-14074.883002772112</v>
      </c>
      <c r="V113" s="83">
        <f t="shared" si="14"/>
        <v>-3.5453105800433531E-2</v>
      </c>
    </row>
    <row r="114" spans="1:22" x14ac:dyDescent="0.2">
      <c r="A114" s="28">
        <f>Calculations!A209</f>
        <v>14</v>
      </c>
      <c r="B114" s="22">
        <f>AnnMiles*Calculations!A209</f>
        <v>495525.34931506851</v>
      </c>
      <c r="C114" s="22">
        <f>+Calculations!C209</f>
        <v>24755.789739734337</v>
      </c>
      <c r="D114" s="22">
        <f>+Calculations!D209</f>
        <v>88118.734372836174</v>
      </c>
      <c r="E114" s="22">
        <f>+Calculations!E209</f>
        <v>30681.378902879125</v>
      </c>
      <c r="F114" s="78">
        <f t="shared" si="15"/>
        <v>143555.90301544964</v>
      </c>
      <c r="G114" s="22">
        <f>+Calculations!F209</f>
        <v>7887.5308496677153</v>
      </c>
      <c r="H114" s="78">
        <f t="shared" si="16"/>
        <v>151443.43386511735</v>
      </c>
      <c r="I114" s="22">
        <f>+Calculations!M209</f>
        <v>45394.940632077589</v>
      </c>
      <c r="J114" s="22">
        <f>+Calculations!N209</f>
        <v>20328.630553041778</v>
      </c>
      <c r="K114" s="22">
        <f>+Calculations!O209</f>
        <v>63828.640445183504</v>
      </c>
      <c r="L114" s="22">
        <f>+Calculations!P209</f>
        <v>26029.381427482564</v>
      </c>
      <c r="M114" s="80">
        <f t="shared" si="17"/>
        <v>155581.59305778542</v>
      </c>
      <c r="N114" s="22">
        <f>+Calculations!Q209</f>
        <v>4820.5272087370322</v>
      </c>
      <c r="O114" s="22">
        <f t="shared" si="18"/>
        <v>160402.12026652246</v>
      </c>
      <c r="P114" s="22">
        <f t="shared" si="11"/>
        <v>160402.12026652246</v>
      </c>
      <c r="Q114" s="13">
        <f t="shared" si="12"/>
        <v>14</v>
      </c>
      <c r="R114" s="80">
        <f t="shared" si="19"/>
        <v>-11744.92183889047</v>
      </c>
      <c r="S114" s="29">
        <f t="shared" si="20"/>
        <v>2922.1669998537691</v>
      </c>
      <c r="T114" s="29">
        <f t="shared" si="13"/>
        <v>0</v>
      </c>
      <c r="U114" s="29">
        <f t="shared" si="21"/>
        <v>-8822.754839036701</v>
      </c>
      <c r="V114" s="83">
        <f t="shared" si="14"/>
        <v>-2.2223563826288921E-2</v>
      </c>
    </row>
    <row r="115" spans="1:22" x14ac:dyDescent="0.2">
      <c r="A115" s="28">
        <f>Calculations!A210</f>
        <v>15</v>
      </c>
      <c r="B115" s="22">
        <f>AnnMiles*Calculations!A210</f>
        <v>530920.01712328766</v>
      </c>
      <c r="C115" s="22">
        <f>+Calculations!C210</f>
        <v>25018.738882448484</v>
      </c>
      <c r="D115" s="22">
        <f>+Calculations!D210</f>
        <v>92137.538164500264</v>
      </c>
      <c r="E115" s="22">
        <f>+Calculations!E210</f>
        <v>31369.885646689203</v>
      </c>
      <c r="F115" s="78">
        <f t="shared" si="15"/>
        <v>148526.16269363795</v>
      </c>
      <c r="G115" s="22">
        <f>+Calculations!F210</f>
        <v>8460.1303502449919</v>
      </c>
      <c r="H115" s="78">
        <f t="shared" si="16"/>
        <v>156986.29304388294</v>
      </c>
      <c r="I115" s="22">
        <f>+Calculations!M210</f>
        <v>43588.46600629959</v>
      </c>
      <c r="J115" s="22">
        <f>+Calculations!N210</f>
        <v>20515.271653817581</v>
      </c>
      <c r="K115" s="22">
        <f>+Calculations!O210</f>
        <v>64955.182405622887</v>
      </c>
      <c r="L115" s="22">
        <f>+Calculations!P210</f>
        <v>26241.904788600033</v>
      </c>
      <c r="M115" s="80">
        <f t="shared" si="17"/>
        <v>155300.82485434011</v>
      </c>
      <c r="N115" s="22">
        <f>+Calculations!Q210</f>
        <v>4965.3638498139462</v>
      </c>
      <c r="O115" s="22">
        <f t="shared" si="18"/>
        <v>160266.18870415405</v>
      </c>
      <c r="P115" s="22">
        <f t="shared" si="11"/>
        <v>160266.18870415405</v>
      </c>
      <c r="Q115" s="13">
        <f t="shared" si="12"/>
        <v>15</v>
      </c>
      <c r="R115" s="80">
        <f t="shared" si="19"/>
        <v>-6774.6621607021661</v>
      </c>
      <c r="S115" s="29">
        <f t="shared" si="20"/>
        <v>3494.7665004310456</v>
      </c>
      <c r="T115" s="29">
        <f t="shared" si="13"/>
        <v>0</v>
      </c>
      <c r="U115" s="29">
        <f t="shared" si="21"/>
        <v>-3279.8956602711114</v>
      </c>
      <c r="V115" s="83">
        <f t="shared" si="14"/>
        <v>-8.261701915040583E-3</v>
      </c>
    </row>
    <row r="116" spans="1:22" x14ac:dyDescent="0.2">
      <c r="A116" s="28">
        <f>Calculations!A211</f>
        <v>16</v>
      </c>
      <c r="B116" s="22">
        <f>AnnMiles*Calculations!A211</f>
        <v>566314.68493150687</v>
      </c>
      <c r="C116" s="22">
        <f>+Calculations!C211</f>
        <v>25357.438417151923</v>
      </c>
      <c r="D116" s="22">
        <f>+Calculations!D211</f>
        <v>96339.626294402347</v>
      </c>
      <c r="E116" s="22">
        <f>+Calculations!E211</f>
        <v>32073.842854370945</v>
      </c>
      <c r="F116" s="78">
        <f t="shared" si="15"/>
        <v>153770.90756592521</v>
      </c>
      <c r="G116" s="22">
        <f>+Calculations!F211</f>
        <v>9074.2980163623324</v>
      </c>
      <c r="H116" s="78">
        <f t="shared" si="16"/>
        <v>162845.20558228754</v>
      </c>
      <c r="I116" s="22">
        <f>+Calculations!M211</f>
        <v>42025.486147318392</v>
      </c>
      <c r="J116" s="22">
        <f>+Calculations!N211</f>
        <v>20688.900363848948</v>
      </c>
      <c r="K116" s="22">
        <f>+Calculations!O211</f>
        <v>66080.554738670777</v>
      </c>
      <c r="L116" s="22">
        <f>+Calculations!P211</f>
        <v>26451.024369323713</v>
      </c>
      <c r="M116" s="80">
        <f t="shared" si="17"/>
        <v>155245.96561916184</v>
      </c>
      <c r="N116" s="22">
        <f>+Calculations!Q211</f>
        <v>5112.7005636883614</v>
      </c>
      <c r="O116" s="22">
        <f t="shared" si="18"/>
        <v>160358.6661828502</v>
      </c>
      <c r="P116" s="22">
        <f t="shared" si="11"/>
        <v>160266.18870415405</v>
      </c>
      <c r="Q116" s="13">
        <f t="shared" si="12"/>
        <v>15</v>
      </c>
      <c r="R116" s="80">
        <f t="shared" si="19"/>
        <v>-1529.9172884149011</v>
      </c>
      <c r="S116" s="29">
        <f t="shared" si="20"/>
        <v>4108.9341665483862</v>
      </c>
      <c r="T116" s="29">
        <f t="shared" si="13"/>
        <v>0</v>
      </c>
      <c r="U116" s="29">
        <f t="shared" si="21"/>
        <v>2579.0168781334942</v>
      </c>
      <c r="V116" s="83">
        <f t="shared" si="14"/>
        <v>6.4962641766586754E-3</v>
      </c>
    </row>
    <row r="117" spans="1:22" x14ac:dyDescent="0.2">
      <c r="A117" s="28">
        <f>Calculations!A212</f>
        <v>17</v>
      </c>
      <c r="B117" s="22">
        <f>AnnMiles*Calculations!A212</f>
        <v>601709.35273972608</v>
      </c>
      <c r="C117" s="22">
        <f>+Calculations!C212</f>
        <v>25781.30398671138</v>
      </c>
      <c r="D117" s="22">
        <f>+Calculations!D212</f>
        <v>100733.35775451732</v>
      </c>
      <c r="E117" s="22">
        <f>+Calculations!E212</f>
        <v>32793.59724269365</v>
      </c>
      <c r="F117" s="78">
        <f t="shared" si="15"/>
        <v>159308.25898392237</v>
      </c>
      <c r="G117" s="22">
        <f>+Calculations!F212</f>
        <v>9733.0515111239165</v>
      </c>
      <c r="H117" s="78">
        <f t="shared" si="16"/>
        <v>169041.31049504629</v>
      </c>
      <c r="I117" s="22">
        <f>+Calculations!M212</f>
        <v>40662.801645481246</v>
      </c>
      <c r="J117" s="22">
        <f>+Calculations!N212</f>
        <v>20854.022534468189</v>
      </c>
      <c r="K117" s="22">
        <f>+Calculations!O212</f>
        <v>67204.178566587478</v>
      </c>
      <c r="L117" s="22">
        <f>+Calculations!P212</f>
        <v>26656.683519250422</v>
      </c>
      <c r="M117" s="80">
        <f t="shared" si="17"/>
        <v>155377.68626578734</v>
      </c>
      <c r="N117" s="22">
        <f>+Calculations!Q212</f>
        <v>5262.5163351716092</v>
      </c>
      <c r="O117" s="22">
        <f t="shared" si="18"/>
        <v>160640.20260095896</v>
      </c>
      <c r="P117" s="22">
        <f t="shared" si="11"/>
        <v>160266.18870415405</v>
      </c>
      <c r="Q117" s="13">
        <f t="shared" si="12"/>
        <v>15</v>
      </c>
      <c r="R117" s="80">
        <f t="shared" si="19"/>
        <v>4007.4341295822524</v>
      </c>
      <c r="S117" s="29">
        <f t="shared" si="20"/>
        <v>4767.6876613099703</v>
      </c>
      <c r="T117" s="29">
        <f t="shared" si="13"/>
        <v>0</v>
      </c>
      <c r="U117" s="29">
        <f t="shared" si="21"/>
        <v>8775.1217908922408</v>
      </c>
      <c r="V117" s="83">
        <f t="shared" si="14"/>
        <v>2.2103581337260054E-2</v>
      </c>
    </row>
    <row r="118" spans="1:22" x14ac:dyDescent="0.2">
      <c r="A118" s="28">
        <f>Calculations!A213</f>
        <v>18</v>
      </c>
      <c r="B118" s="22">
        <f>AnnMiles*Calculations!A213</f>
        <v>637104.02054794529</v>
      </c>
      <c r="C118" s="22">
        <f>+Calculations!C213</f>
        <v>26293.605318041842</v>
      </c>
      <c r="D118" s="22">
        <f>+Calculations!D213</f>
        <v>105327.47276277492</v>
      </c>
      <c r="E118" s="22">
        <f>+Calculations!E213</f>
        <v>33529.503308938518</v>
      </c>
      <c r="F118" s="78">
        <f t="shared" si="15"/>
        <v>165150.5813897553</v>
      </c>
      <c r="G118" s="22">
        <f>+Calculations!F213</f>
        <v>10439.627566493289</v>
      </c>
      <c r="H118" s="78">
        <f t="shared" si="16"/>
        <v>175590.20895624859</v>
      </c>
      <c r="I118" s="22">
        <f>+Calculations!M213</f>
        <v>39466.802858369716</v>
      </c>
      <c r="J118" s="22">
        <f>+Calculations!N213</f>
        <v>21014.014816069124</v>
      </c>
      <c r="K118" s="22">
        <f>+Calculations!O213</f>
        <v>68325.483832684477</v>
      </c>
      <c r="L118" s="22">
        <f>+Calculations!P213</f>
        <v>26858.831029994224</v>
      </c>
      <c r="M118" s="80">
        <f t="shared" si="17"/>
        <v>155665.13253711752</v>
      </c>
      <c r="N118" s="22">
        <f>+Calculations!Q213</f>
        <v>5414.7886455595062</v>
      </c>
      <c r="O118" s="22">
        <f t="shared" si="18"/>
        <v>161079.92118267703</v>
      </c>
      <c r="P118" s="22">
        <f t="shared" si="11"/>
        <v>160266.18870415405</v>
      </c>
      <c r="Q118" s="13">
        <f t="shared" si="12"/>
        <v>15</v>
      </c>
      <c r="R118" s="80">
        <f t="shared" si="19"/>
        <v>9849.7565354151884</v>
      </c>
      <c r="S118" s="29">
        <f t="shared" si="20"/>
        <v>5474.2637166793429</v>
      </c>
      <c r="T118" s="29">
        <f t="shared" si="13"/>
        <v>0</v>
      </c>
      <c r="U118" s="29">
        <f t="shared" si="21"/>
        <v>15324.020252094546</v>
      </c>
      <c r="V118" s="83">
        <f t="shared" si="14"/>
        <v>3.8599547234495081E-2</v>
      </c>
    </row>
    <row r="119" spans="1:22" x14ac:dyDescent="0.2">
      <c r="A119" s="28">
        <f>Calculations!A214</f>
        <v>19</v>
      </c>
      <c r="B119" s="22">
        <f>AnnMiles*Calculations!A214</f>
        <v>672498.68835616438</v>
      </c>
      <c r="C119" s="22">
        <f>+Calculations!C214</f>
        <v>26889.970247985661</v>
      </c>
      <c r="D119" s="22">
        <f>+Calculations!D214</f>
        <v>110131.11014951345</v>
      </c>
      <c r="E119" s="22">
        <f>+Calculations!E214</f>
        <v>34281.923505497543</v>
      </c>
      <c r="F119" s="78">
        <f t="shared" si="15"/>
        <v>171303.00390299666</v>
      </c>
      <c r="G119" s="22">
        <f>+Calculations!F214</f>
        <v>11197.497886713802</v>
      </c>
      <c r="H119" s="78">
        <f t="shared" si="16"/>
        <v>182500.50178971046</v>
      </c>
      <c r="I119" s="22">
        <f>+Calculations!M214</f>
        <v>38410.946895420653</v>
      </c>
      <c r="J119" s="22">
        <f>+Calculations!N214</f>
        <v>21171.214338996695</v>
      </c>
      <c r="K119" s="22">
        <f>+Calculations!O214</f>
        <v>69443.91037434907</v>
      </c>
      <c r="L119" s="22">
        <f>+Calculations!P214</f>
        <v>27057.421133223739</v>
      </c>
      <c r="M119" s="80">
        <f t="shared" si="17"/>
        <v>156083.49274199017</v>
      </c>
      <c r="N119" s="22">
        <f>+Calculations!Q214</f>
        <v>5569.4935517609119</v>
      </c>
      <c r="O119" s="22">
        <f t="shared" si="18"/>
        <v>161652.98629375108</v>
      </c>
      <c r="P119" s="22">
        <f t="shared" si="11"/>
        <v>160266.18870415405</v>
      </c>
      <c r="Q119" s="13">
        <f t="shared" si="12"/>
        <v>15</v>
      </c>
      <c r="R119" s="80">
        <f t="shared" si="19"/>
        <v>16002.179048656544</v>
      </c>
      <c r="S119" s="29">
        <f t="shared" si="20"/>
        <v>6232.1340368998553</v>
      </c>
      <c r="T119" s="29">
        <f t="shared" si="13"/>
        <v>0</v>
      </c>
      <c r="U119" s="29">
        <f t="shared" si="21"/>
        <v>22234.313085556409</v>
      </c>
      <c r="V119" s="83">
        <f t="shared" si="14"/>
        <v>5.6005826411980882E-2</v>
      </c>
    </row>
    <row r="120" spans="1:22" x14ac:dyDescent="0.2">
      <c r="A120" s="28">
        <f>Calculations!A215</f>
        <v>20</v>
      </c>
      <c r="B120" s="22">
        <f>AnnMiles*Calculations!A215</f>
        <v>707893.35616438359</v>
      </c>
      <c r="C120" s="22">
        <f>+Calculations!C215</f>
        <v>27556.782701192977</v>
      </c>
      <c r="D120" s="22">
        <f>+Calculations!D215</f>
        <v>115153.82553687241</v>
      </c>
      <c r="E120" s="22">
        <f>+Calculations!E215</f>
        <v>35051.228418390529</v>
      </c>
      <c r="F120" s="78">
        <f t="shared" si="15"/>
        <v>177761.83665645591</v>
      </c>
      <c r="G120" s="22">
        <f>+Calculations!F215</f>
        <v>12010.386206246338</v>
      </c>
      <c r="H120" s="78">
        <f t="shared" si="16"/>
        <v>189772.22286270224</v>
      </c>
      <c r="I120" s="22">
        <f>+Calculations!M215</f>
        <v>37473.991520072508</v>
      </c>
      <c r="J120" s="22">
        <f>+Calculations!N215</f>
        <v>21326.977033884228</v>
      </c>
      <c r="K120" s="22">
        <f>+Calculations!O215</f>
        <v>70558.908940639012</v>
      </c>
      <c r="L120" s="22">
        <f>+Calculations!P215</f>
        <v>27252.413480736708</v>
      </c>
      <c r="M120" s="80">
        <f t="shared" si="17"/>
        <v>156612.29097533243</v>
      </c>
      <c r="N120" s="22">
        <f>+Calculations!Q215</f>
        <v>5726.6057680020549</v>
      </c>
      <c r="O120" s="22">
        <f t="shared" si="18"/>
        <v>162338.89674333448</v>
      </c>
      <c r="P120" s="22">
        <f t="shared" si="11"/>
        <v>160266.18870415405</v>
      </c>
      <c r="Q120" s="13">
        <f t="shared" si="12"/>
        <v>15</v>
      </c>
      <c r="R120" s="80">
        <f t="shared" si="19"/>
        <v>22461.011802115798</v>
      </c>
      <c r="S120" s="29">
        <f t="shared" si="20"/>
        <v>7045.0223564323915</v>
      </c>
      <c r="T120" s="29">
        <f t="shared" si="13"/>
        <v>0</v>
      </c>
      <c r="U120" s="29">
        <f t="shared" si="21"/>
        <v>29506.034158548195</v>
      </c>
      <c r="V120" s="83">
        <f t="shared" si="14"/>
        <v>7.4322504177703266E-2</v>
      </c>
    </row>
    <row r="121" spans="1:22" x14ac:dyDescent="0.2">
      <c r="A121" s="28">
        <f>Calculations!A216</f>
        <v>21</v>
      </c>
      <c r="B121" s="22">
        <f>AnnMiles*Calculations!A216</f>
        <v>743288.02397260279</v>
      </c>
      <c r="C121" s="22">
        <f>+Calculations!C216</f>
        <v>28269.705836558216</v>
      </c>
      <c r="D121" s="22">
        <f>+Calculations!D216</f>
        <v>120405.61034728687</v>
      </c>
      <c r="E121" s="22">
        <f>+Calculations!E216</f>
        <v>35837.796949788077</v>
      </c>
      <c r="F121" s="78">
        <f t="shared" si="15"/>
        <v>184513.11313363316</v>
      </c>
      <c r="G121" s="22">
        <f>+Calculations!F216</f>
        <v>12882.286586037124</v>
      </c>
      <c r="H121" s="78">
        <f t="shared" si="16"/>
        <v>197395.3997196703</v>
      </c>
      <c r="I121" s="22">
        <f>+Calculations!M216</f>
        <v>36638.733660714817</v>
      </c>
      <c r="J121" s="22">
        <f>+Calculations!N216</f>
        <v>21481.723527721599</v>
      </c>
      <c r="K121" s="22">
        <f>+Calculations!O216</f>
        <v>71669.942151250114</v>
      </c>
      <c r="L121" s="22">
        <f>+Calculations!P216</f>
        <v>27443.773107166784</v>
      </c>
      <c r="M121" s="80">
        <f t="shared" si="17"/>
        <v>157234.17244685331</v>
      </c>
      <c r="N121" s="22">
        <f>+Calculations!Q216</f>
        <v>5886.0987496642174</v>
      </c>
      <c r="O121" s="22">
        <f t="shared" si="18"/>
        <v>163120.27119651751</v>
      </c>
      <c r="P121" s="22">
        <f t="shared" si="11"/>
        <v>160266.18870415405</v>
      </c>
      <c r="Q121" s="13">
        <f t="shared" si="12"/>
        <v>15</v>
      </c>
      <c r="R121" s="80">
        <f t="shared" si="19"/>
        <v>29212.288279293047</v>
      </c>
      <c r="S121" s="29">
        <f t="shared" si="20"/>
        <v>7916.9227362231777</v>
      </c>
      <c r="T121" s="29">
        <f t="shared" si="13"/>
        <v>0</v>
      </c>
      <c r="U121" s="29">
        <f t="shared" si="21"/>
        <v>37129.211015516252</v>
      </c>
      <c r="V121" s="83">
        <f t="shared" si="14"/>
        <v>9.3524460996262604E-2</v>
      </c>
    </row>
    <row r="122" spans="1:22" x14ac:dyDescent="0.2">
      <c r="A122" s="28">
        <f>Calculations!A217</f>
        <v>22</v>
      </c>
      <c r="B122" s="22">
        <f>AnnMiles*Calculations!A217</f>
        <v>778682.69178082189</v>
      </c>
      <c r="C122" s="22">
        <f>+Calculations!C217</f>
        <v>28992.717925455756</v>
      </c>
      <c r="D122" s="22">
        <f>+Calculations!D217</f>
        <v>125896.91167889645</v>
      </c>
      <c r="E122" s="22">
        <f>+Calculations!E217</f>
        <v>36642.016504630505</v>
      </c>
      <c r="F122" s="78">
        <f t="shared" si="15"/>
        <v>191531.64610898271</v>
      </c>
      <c r="G122" s="22">
        <f>+Calculations!F217</f>
        <v>13817.483038012837</v>
      </c>
      <c r="H122" s="78">
        <f t="shared" si="16"/>
        <v>205349.12914699555</v>
      </c>
      <c r="I122" s="22">
        <f>+Calculations!M217</f>
        <v>35891.091970378191</v>
      </c>
      <c r="J122" s="22">
        <f>+Calculations!N217</f>
        <v>21634.991176097017</v>
      </c>
      <c r="K122" s="22">
        <f>+Calculations!O217</f>
        <v>72776.485394117524</v>
      </c>
      <c r="L122" s="22">
        <f>+Calculations!P217</f>
        <v>27631.470376005018</v>
      </c>
      <c r="M122" s="80">
        <f t="shared" si="17"/>
        <v>157934.03891659775</v>
      </c>
      <c r="N122" s="22">
        <f>+Calculations!Q217</f>
        <v>6047.9447788136504</v>
      </c>
      <c r="O122" s="22">
        <f t="shared" si="18"/>
        <v>163981.98369541141</v>
      </c>
      <c r="P122" s="22">
        <f t="shared" si="11"/>
        <v>160266.18870415405</v>
      </c>
      <c r="Q122" s="13">
        <f t="shared" si="12"/>
        <v>15</v>
      </c>
      <c r="R122" s="80">
        <f t="shared" si="19"/>
        <v>36230.821254642593</v>
      </c>
      <c r="S122" s="29">
        <f t="shared" si="20"/>
        <v>8852.1191881988907</v>
      </c>
      <c r="T122" s="29">
        <f t="shared" si="13"/>
        <v>0</v>
      </c>
      <c r="U122" s="29">
        <f t="shared" si="21"/>
        <v>45082.9404428415</v>
      </c>
      <c r="V122" s="83">
        <f t="shared" si="14"/>
        <v>0.11355904393662847</v>
      </c>
    </row>
    <row r="123" spans="1:22" x14ac:dyDescent="0.2">
      <c r="A123" s="28">
        <f>Calculations!A218</f>
        <v>23</v>
      </c>
      <c r="B123" s="22">
        <f>AnnMiles*Calculations!A218</f>
        <v>814077.35958904109</v>
      </c>
      <c r="C123" s="22">
        <f>+Calculations!C218</f>
        <v>29678.162688580465</v>
      </c>
      <c r="D123" s="22">
        <f>+Calculations!D218</f>
        <v>131638.65308740578</v>
      </c>
      <c r="E123" s="22">
        <f>+Calculations!E218</f>
        <v>37464.283181434606</v>
      </c>
      <c r="F123" s="78">
        <f t="shared" si="15"/>
        <v>198781.09895742085</v>
      </c>
      <c r="G123" s="22">
        <f>+Calculations!F218</f>
        <v>14820.570574226334</v>
      </c>
      <c r="H123" s="78">
        <f t="shared" si="16"/>
        <v>213601.66953164717</v>
      </c>
      <c r="I123" s="22">
        <f>+Calculations!M218</f>
        <v>35219.428722132754</v>
      </c>
      <c r="J123" s="22">
        <f>+Calculations!N218</f>
        <v>21785.510494615613</v>
      </c>
      <c r="K123" s="22">
        <f>+Calculations!O218</f>
        <v>73878.02765937573</v>
      </c>
      <c r="L123" s="22">
        <f>+Calculations!P218</f>
        <v>27815.480909697744</v>
      </c>
      <c r="M123" s="80">
        <f t="shared" si="17"/>
        <v>158698.44778582183</v>
      </c>
      <c r="N123" s="22">
        <f>+Calculations!Q218</f>
        <v>6212.1150509873569</v>
      </c>
      <c r="O123" s="22">
        <f t="shared" si="18"/>
        <v>164910.5628368092</v>
      </c>
      <c r="P123" s="22">
        <f t="shared" si="11"/>
        <v>160266.18870415405</v>
      </c>
      <c r="Q123" s="13">
        <f t="shared" si="12"/>
        <v>15</v>
      </c>
      <c r="R123" s="80">
        <f t="shared" si="19"/>
        <v>43480.274103080737</v>
      </c>
      <c r="S123" s="29">
        <f t="shared" si="20"/>
        <v>9855.2067244123882</v>
      </c>
      <c r="T123" s="29">
        <f t="shared" si="13"/>
        <v>0</v>
      </c>
      <c r="U123" s="29">
        <f t="shared" si="21"/>
        <v>53335.480827493127</v>
      </c>
      <c r="V123" s="83">
        <f t="shared" si="14"/>
        <v>0.13434629931358472</v>
      </c>
    </row>
    <row r="124" spans="1:22" x14ac:dyDescent="0.2">
      <c r="A124" s="28">
        <f>Calculations!A219</f>
        <v>24</v>
      </c>
      <c r="B124" s="22">
        <f>AnnMiles*Calculations!A219</f>
        <v>849472.0273972603</v>
      </c>
      <c r="C124" s="22">
        <f>+Calculations!C219</f>
        <v>30268.354197349825</v>
      </c>
      <c r="D124" s="22">
        <f>+Calculations!D219</f>
        <v>137642.256315737</v>
      </c>
      <c r="E124" s="22">
        <f>+Calculations!E219</f>
        <v>38305.001967382246</v>
      </c>
      <c r="F124" s="78">
        <f t="shared" si="15"/>
        <v>206215.61248046908</v>
      </c>
      <c r="G124" s="22">
        <f>+Calculations!F219</f>
        <v>15896.477784076395</v>
      </c>
      <c r="H124" s="78">
        <f t="shared" si="16"/>
        <v>222112.09026454546</v>
      </c>
      <c r="I124" s="22">
        <f>+Calculations!M219</f>
        <v>34614.041231572861</v>
      </c>
      <c r="J124" s="22">
        <f>+Calculations!N219</f>
        <v>21931.322270908931</v>
      </c>
      <c r="K124" s="22">
        <f>+Calculations!O219</f>
        <v>74974.072307865514</v>
      </c>
      <c r="L124" s="22">
        <f>+Calculations!P219</f>
        <v>27995.785504652627</v>
      </c>
      <c r="M124" s="80">
        <f t="shared" si="17"/>
        <v>159515.22131499994</v>
      </c>
      <c r="N124" s="22">
        <f>+Calculations!Q219</f>
        <v>6378.5797628062655</v>
      </c>
      <c r="O124" s="22">
        <f t="shared" si="18"/>
        <v>165893.80107780622</v>
      </c>
      <c r="P124" s="22">
        <f t="shared" si="11"/>
        <v>160266.18870415405</v>
      </c>
      <c r="Q124" s="13">
        <f t="shared" si="12"/>
        <v>15</v>
      </c>
      <c r="R124" s="80">
        <f t="shared" si="19"/>
        <v>50914.787626128964</v>
      </c>
      <c r="S124" s="29">
        <f t="shared" si="20"/>
        <v>10931.113934262448</v>
      </c>
      <c r="T124" s="29">
        <f t="shared" si="13"/>
        <v>0</v>
      </c>
      <c r="U124" s="29">
        <f t="shared" si="21"/>
        <v>61845.901560391416</v>
      </c>
      <c r="V124" s="83">
        <f t="shared" si="14"/>
        <v>0.15578312735614966</v>
      </c>
    </row>
    <row r="125" spans="1:22" x14ac:dyDescent="0.2">
      <c r="A125" s="28">
        <f>Calculations!A220</f>
        <v>25</v>
      </c>
      <c r="B125" s="22">
        <f>AnnMiles*Calculations!A220</f>
        <v>884866.69520547951</v>
      </c>
      <c r="C125" s="22">
        <f>+Calculations!C220</f>
        <v>30699.154618408938</v>
      </c>
      <c r="D125" s="22">
        <f>+Calculations!D220</f>
        <v>143919.66401469964</v>
      </c>
      <c r="E125" s="22">
        <f>+Calculations!E220</f>
        <v>39164.586937786749</v>
      </c>
      <c r="F125" s="78">
        <f t="shared" si="15"/>
        <v>213783.40557089532</v>
      </c>
      <c r="G125" s="22">
        <f>+Calculations!F220</f>
        <v>17050.491050532695</v>
      </c>
      <c r="H125" s="78">
        <f t="shared" si="16"/>
        <v>230833.89662142802</v>
      </c>
      <c r="I125" s="22">
        <f>+Calculations!M220</f>
        <v>34066.775336604253</v>
      </c>
      <c r="J125" s="22">
        <f>+Calculations!N220</f>
        <v>22069.946235226991</v>
      </c>
      <c r="K125" s="22">
        <f>+Calculations!O220</f>
        <v>76064.137772835413</v>
      </c>
      <c r="L125" s="22">
        <f>+Calculations!P220</f>
        <v>28172.370032045394</v>
      </c>
      <c r="M125" s="80">
        <f t="shared" si="17"/>
        <v>160373.22937671206</v>
      </c>
      <c r="N125" s="22">
        <f>+Calculations!Q220</f>
        <v>6547.3081999982805</v>
      </c>
      <c r="O125" s="22">
        <f t="shared" si="18"/>
        <v>166920.53757671034</v>
      </c>
      <c r="P125" s="22">
        <f t="shared" si="11"/>
        <v>160266.18870415405</v>
      </c>
      <c r="Q125" s="13">
        <f t="shared" si="12"/>
        <v>15</v>
      </c>
      <c r="R125" s="80">
        <f t="shared" si="19"/>
        <v>58482.580716555211</v>
      </c>
      <c r="S125" s="29">
        <f t="shared" si="20"/>
        <v>12085.127200718749</v>
      </c>
      <c r="T125" s="29">
        <f t="shared" si="13"/>
        <v>0</v>
      </c>
      <c r="U125" s="29">
        <f t="shared" si="21"/>
        <v>70567.707917273976</v>
      </c>
      <c r="V125" s="83">
        <f t="shared" si="14"/>
        <v>0.17775241288985888</v>
      </c>
    </row>
    <row r="126" spans="1:22" x14ac:dyDescent="0.2">
      <c r="A126" s="28">
        <f>Calculations!A221</f>
        <v>26</v>
      </c>
      <c r="B126" s="22">
        <f>AnnMiles*Calculations!A221</f>
        <v>920261.36301369872</v>
      </c>
      <c r="C126" s="22">
        <f>+Calculations!C221</f>
        <v>30699.154618408938</v>
      </c>
      <c r="D126" s="22">
        <f>+Calculations!D221</f>
        <v>150483.36349987512</v>
      </c>
      <c r="E126" s="22">
        <f>+Calculations!E221</f>
        <v>40043.461460035542</v>
      </c>
      <c r="F126" s="78">
        <f t="shared" si="15"/>
        <v>221225.97957831959</v>
      </c>
      <c r="G126" s="22">
        <f>+Calculations!F221</f>
        <v>18288.280524350557</v>
      </c>
      <c r="H126" s="78">
        <f t="shared" si="16"/>
        <v>239514.26010267014</v>
      </c>
      <c r="I126" s="22">
        <f>+Calculations!M221</f>
        <v>33570.728070926067</v>
      </c>
      <c r="J126" s="22">
        <f>+Calculations!N221</f>
        <v>22195.59637913261</v>
      </c>
      <c r="K126" s="22">
        <f>+Calculations!O221</f>
        <v>77147.758193935864</v>
      </c>
      <c r="L126" s="22">
        <f>+Calculations!P221</f>
        <v>28345.225325371117</v>
      </c>
      <c r="M126" s="80">
        <f t="shared" si="17"/>
        <v>161259.30796936565</v>
      </c>
      <c r="N126" s="22">
        <f>+Calculations!Q221</f>
        <v>6718.2688254273717</v>
      </c>
      <c r="O126" s="22">
        <f t="shared" si="18"/>
        <v>167977.57679479301</v>
      </c>
      <c r="P126" s="22">
        <f t="shared" si="11"/>
        <v>160266.18870415405</v>
      </c>
      <c r="Q126" s="13">
        <f t="shared" si="12"/>
        <v>15</v>
      </c>
      <c r="R126" s="80">
        <f t="shared" si="19"/>
        <v>65925.154723979475</v>
      </c>
      <c r="S126" s="29">
        <f t="shared" si="20"/>
        <v>13322.916674536611</v>
      </c>
      <c r="T126" s="29">
        <f t="shared" si="13"/>
        <v>0</v>
      </c>
      <c r="U126" s="29">
        <f t="shared" si="21"/>
        <v>79248.071398516098</v>
      </c>
      <c r="V126" s="83">
        <f t="shared" si="14"/>
        <v>0.19961730830860477</v>
      </c>
    </row>
    <row r="127" spans="1:22" x14ac:dyDescent="0.2">
      <c r="A127" s="28">
        <f>Calculations!A222</f>
        <v>27</v>
      </c>
      <c r="B127" s="22">
        <f>AnnMiles*Calculations!A222</f>
        <v>955656.03082191781</v>
      </c>
      <c r="C127" s="22">
        <f>+Calculations!C222</f>
        <v>30699.154618408938</v>
      </c>
      <c r="D127" s="22">
        <f>+Calculations!D222</f>
        <v>157346.41159197403</v>
      </c>
      <c r="E127" s="22">
        <f>+Calculations!E222</f>
        <v>40942.058402109295</v>
      </c>
      <c r="F127" s="78">
        <f t="shared" si="15"/>
        <v>228987.62461249228</v>
      </c>
      <c r="G127" s="22">
        <f>+Calculations!F222</f>
        <v>19615.9279838976</v>
      </c>
      <c r="H127" s="78">
        <f t="shared" si="16"/>
        <v>248603.55259638987</v>
      </c>
      <c r="I127" s="22">
        <f>+Calculations!M222</f>
        <v>33120.016405062284</v>
      </c>
      <c r="J127" s="22">
        <f>+Calculations!N222</f>
        <v>22309.762890257913</v>
      </c>
      <c r="K127" s="22">
        <f>+Calculations!O222</f>
        <v>78224.483983042781</v>
      </c>
      <c r="L127" s="22">
        <f>+Calculations!P222</f>
        <v>28514.347055725888</v>
      </c>
      <c r="M127" s="80">
        <f t="shared" si="17"/>
        <v>162168.61033408888</v>
      </c>
      <c r="N127" s="22">
        <f>+Calculations!Q222</f>
        <v>6891.4293667410948</v>
      </c>
      <c r="O127" s="22">
        <f t="shared" si="18"/>
        <v>169060.03970082998</v>
      </c>
      <c r="P127" s="22">
        <f t="shared" si="11"/>
        <v>160266.18870415405</v>
      </c>
      <c r="Q127" s="13">
        <f t="shared" si="12"/>
        <v>15</v>
      </c>
      <c r="R127" s="80">
        <f t="shared" si="19"/>
        <v>73686.799758152163</v>
      </c>
      <c r="S127" s="29">
        <f t="shared" si="20"/>
        <v>14650.564134083654</v>
      </c>
      <c r="T127" s="29">
        <f t="shared" si="13"/>
        <v>0</v>
      </c>
      <c r="U127" s="29">
        <f t="shared" si="21"/>
        <v>88337.363892235822</v>
      </c>
      <c r="V127" s="83">
        <f t="shared" si="14"/>
        <v>0.22251225161772248</v>
      </c>
    </row>
    <row r="128" spans="1:22" x14ac:dyDescent="0.2">
      <c r="A128" s="28">
        <f>Calculations!A223</f>
        <v>28</v>
      </c>
      <c r="B128" s="22">
        <f>AnnMiles*Calculations!A223</f>
        <v>991050.69863013702</v>
      </c>
      <c r="C128" s="22">
        <f>+Calculations!C223</f>
        <v>30699.154618408938</v>
      </c>
      <c r="D128" s="22">
        <f>+Calculations!D223</f>
        <v>164522.4605900801</v>
      </c>
      <c r="E128" s="22">
        <f>+Calculations!E223</f>
        <v>41860.820345780376</v>
      </c>
      <c r="F128" s="78">
        <f t="shared" si="15"/>
        <v>237082.43555426941</v>
      </c>
      <c r="G128" s="22">
        <f>+Calculations!F223</f>
        <v>21039.956717479388</v>
      </c>
      <c r="H128" s="78">
        <f t="shared" si="16"/>
        <v>258122.3922717488</v>
      </c>
      <c r="I128" s="22">
        <f>+Calculations!M223</f>
        <v>32709.59553636998</v>
      </c>
      <c r="J128" s="22">
        <f>+Calculations!N223</f>
        <v>22413.723631060609</v>
      </c>
      <c r="K128" s="22">
        <f>+Calculations!O223</f>
        <v>79293.882321868325</v>
      </c>
      <c r="L128" s="22">
        <f>+Calculations!P223</f>
        <v>28679.735595836803</v>
      </c>
      <c r="M128" s="80">
        <f t="shared" si="17"/>
        <v>163096.93708513569</v>
      </c>
      <c r="N128" s="22">
        <f>+Calculations!Q223</f>
        <v>7066.7569032672918</v>
      </c>
      <c r="O128" s="22">
        <f t="shared" si="18"/>
        <v>170163.69398840299</v>
      </c>
      <c r="P128" s="22">
        <f t="shared" si="11"/>
        <v>160266.18870415405</v>
      </c>
      <c r="Q128" s="13">
        <f t="shared" si="12"/>
        <v>15</v>
      </c>
      <c r="R128" s="80">
        <f t="shared" si="19"/>
        <v>81781.610699929297</v>
      </c>
      <c r="S128" s="29">
        <f t="shared" si="20"/>
        <v>16074.592867665442</v>
      </c>
      <c r="T128" s="29">
        <f t="shared" si="13"/>
        <v>0</v>
      </c>
      <c r="U128" s="29">
        <f t="shared" si="21"/>
        <v>97856.203567594755</v>
      </c>
      <c r="V128" s="83">
        <f t="shared" si="14"/>
        <v>0.24648917775212784</v>
      </c>
    </row>
    <row r="129" spans="1:22" x14ac:dyDescent="0.2">
      <c r="A129" s="28">
        <f>Calculations!A224</f>
        <v>29</v>
      </c>
      <c r="B129" s="22">
        <f>AnnMiles*Calculations!A224</f>
        <v>1026445.3664383562</v>
      </c>
      <c r="C129" s="22">
        <f>+Calculations!C224</f>
        <v>30699.154618408938</v>
      </c>
      <c r="D129" s="22">
        <f>+Calculations!D224</f>
        <v>172025.78542944754</v>
      </c>
      <c r="E129" s="22">
        <f>+Calculations!E224</f>
        <v>42800.199804595606</v>
      </c>
      <c r="F129" s="78">
        <f t="shared" si="15"/>
        <v>245525.13985245209</v>
      </c>
      <c r="G129" s="22">
        <f>+Calculations!F224</f>
        <v>22567.363574988372</v>
      </c>
      <c r="H129" s="78">
        <f t="shared" si="16"/>
        <v>268092.50342744048</v>
      </c>
      <c r="I129" s="22">
        <f>+Calculations!M224</f>
        <v>32335.114766406412</v>
      </c>
      <c r="J129" s="22">
        <f>+Calculations!N224</f>
        <v>22508.580645485388</v>
      </c>
      <c r="K129" s="22">
        <f>+Calculations!O224</f>
        <v>80355.537591720276</v>
      </c>
      <c r="L129" s="22">
        <f>+Calculations!P224</f>
        <v>28841.395873881494</v>
      </c>
      <c r="M129" s="80">
        <f t="shared" si="17"/>
        <v>164040.62887749358</v>
      </c>
      <c r="N129" s="22">
        <f>+Calculations!Q224</f>
        <v>7244.2179518111143</v>
      </c>
      <c r="O129" s="22">
        <f t="shared" si="18"/>
        <v>171284.8468293047</v>
      </c>
      <c r="P129" s="22">
        <f t="shared" si="11"/>
        <v>160266.18870415405</v>
      </c>
      <c r="Q129" s="13">
        <f t="shared" si="12"/>
        <v>15</v>
      </c>
      <c r="R129" s="80">
        <f t="shared" si="19"/>
        <v>90224.314998111979</v>
      </c>
      <c r="S129" s="29">
        <f t="shared" si="20"/>
        <v>17601.999725174428</v>
      </c>
      <c r="T129" s="29">
        <f t="shared" si="13"/>
        <v>0</v>
      </c>
      <c r="U129" s="29">
        <f t="shared" si="21"/>
        <v>107826.31472328643</v>
      </c>
      <c r="V129" s="83">
        <f t="shared" si="14"/>
        <v>0.27160280786722024</v>
      </c>
    </row>
    <row r="130" spans="1:22" x14ac:dyDescent="0.2">
      <c r="A130" s="28">
        <f>Calculations!A225</f>
        <v>30</v>
      </c>
      <c r="B130" s="22">
        <f>AnnMiles*Calculations!A225</f>
        <v>1061840.0342465753</v>
      </c>
      <c r="C130" s="22">
        <f>+Calculations!C225</f>
        <v>30699.154618408938</v>
      </c>
      <c r="D130" s="22">
        <f>+Calculations!D225</f>
        <v>179871.31207787577</v>
      </c>
      <c r="E130" s="22">
        <f>+Calculations!E225</f>
        <v>43760.659446750651</v>
      </c>
      <c r="F130" s="78">
        <f t="shared" si="15"/>
        <v>254331.12614303536</v>
      </c>
      <c r="G130" s="22">
        <f>+Calculations!F225</f>
        <v>24205.653346359413</v>
      </c>
      <c r="H130" s="78">
        <f t="shared" si="16"/>
        <v>278536.7794893948</v>
      </c>
      <c r="I130" s="22">
        <f>+Calculations!M225</f>
        <v>31992.802193911146</v>
      </c>
      <c r="J130" s="22">
        <f>+Calculations!N225</f>
        <v>22595.289366550365</v>
      </c>
      <c r="K130" s="22">
        <f>+Calculations!O225</f>
        <v>81409.051736151465</v>
      </c>
      <c r="L130" s="22">
        <f>+Calculations!P225</f>
        <v>28999.337218152512</v>
      </c>
      <c r="M130" s="80">
        <f t="shared" si="17"/>
        <v>164996.48051476548</v>
      </c>
      <c r="N130" s="22">
        <f>+Calculations!Q225</f>
        <v>7423.7785510254462</v>
      </c>
      <c r="O130" s="22">
        <f t="shared" si="18"/>
        <v>172420.25906579092</v>
      </c>
      <c r="P130" s="22">
        <f t="shared" si="11"/>
        <v>160266.18870415405</v>
      </c>
      <c r="Q130" s="13">
        <f t="shared" si="12"/>
        <v>15</v>
      </c>
      <c r="R130" s="80">
        <f t="shared" si="19"/>
        <v>99030.301288695249</v>
      </c>
      <c r="S130" s="29">
        <f t="shared" si="20"/>
        <v>19240.289496545469</v>
      </c>
      <c r="T130" s="29">
        <f t="shared" si="13"/>
        <v>0</v>
      </c>
      <c r="U130" s="29">
        <f t="shared" si="21"/>
        <v>118270.59078524075</v>
      </c>
      <c r="V130" s="83">
        <f t="shared" si="14"/>
        <v>0.29791080802327646</v>
      </c>
    </row>
    <row r="131" spans="1:22" x14ac:dyDescent="0.2">
      <c r="A131" s="28">
        <f>Calculations!A226</f>
        <v>31</v>
      </c>
      <c r="B131" s="22">
        <f>AnnMiles*Calculations!A226</f>
        <v>1097234.7020547946</v>
      </c>
      <c r="C131" s="22">
        <f>+Calculations!C226</f>
        <v>30699.154618408938</v>
      </c>
      <c r="D131" s="22">
        <f>+Calculations!D226</f>
        <v>188074.64722714905</v>
      </c>
      <c r="E131" s="22">
        <f>+Calculations!E226</f>
        <v>44742.672322965831</v>
      </c>
      <c r="F131" s="78">
        <f t="shared" si="15"/>
        <v>263516.4741685238</v>
      </c>
      <c r="G131" s="22">
        <f>+Calculations!F226</f>
        <v>25962.875635747485</v>
      </c>
      <c r="H131" s="78">
        <f t="shared" si="16"/>
        <v>289479.3498042713</v>
      </c>
      <c r="I131" s="22">
        <f>+Calculations!M226</f>
        <v>31679.371715445548</v>
      </c>
      <c r="J131" s="22">
        <f>+Calculations!N226</f>
        <v>22674.682173342204</v>
      </c>
      <c r="K131" s="22">
        <f>+Calculations!O226</f>
        <v>82454.044557596906</v>
      </c>
      <c r="L131" s="22">
        <f>+Calculations!P226</f>
        <v>29153.573193627173</v>
      </c>
      <c r="M131" s="80">
        <f t="shared" si="17"/>
        <v>165961.67164001183</v>
      </c>
      <c r="N131" s="22">
        <f>+Calculations!Q226</f>
        <v>7605.4043440511814</v>
      </c>
      <c r="O131" s="22">
        <f t="shared" si="18"/>
        <v>173567.07598406301</v>
      </c>
      <c r="P131" s="22">
        <f t="shared" si="11"/>
        <v>160266.18870415405</v>
      </c>
      <c r="Q131" s="13">
        <f t="shared" si="12"/>
        <v>15</v>
      </c>
      <c r="R131" s="80">
        <f t="shared" si="19"/>
        <v>108215.64931418368</v>
      </c>
      <c r="S131" s="29">
        <f t="shared" si="20"/>
        <v>20997.511785933537</v>
      </c>
      <c r="T131" s="29">
        <f t="shared" si="13"/>
        <v>0</v>
      </c>
      <c r="U131" s="29">
        <f t="shared" si="21"/>
        <v>129213.16110011726</v>
      </c>
      <c r="V131" s="83">
        <f t="shared" si="14"/>
        <v>0.32547395743102586</v>
      </c>
    </row>
    <row r="132" spans="1:22" x14ac:dyDescent="0.2">
      <c r="A132" s="28">
        <f>Calculations!A227</f>
        <v>32</v>
      </c>
      <c r="B132" s="22">
        <f>AnnMiles*Calculations!A227</f>
        <v>1132629.3698630137</v>
      </c>
      <c r="C132" s="22">
        <f>+Calculations!C227</f>
        <v>30699.154618408938</v>
      </c>
      <c r="D132" s="22">
        <f>+Calculations!D227</f>
        <v>196652.10933860388</v>
      </c>
      <c r="E132" s="22">
        <f>+Calculations!E227</f>
        <v>45746.722099475563</v>
      </c>
      <c r="F132" s="78">
        <f t="shared" si="15"/>
        <v>273097.98605648836</v>
      </c>
      <c r="G132" s="22">
        <f>+Calculations!F227</f>
        <v>27847.664412605984</v>
      </c>
      <c r="H132" s="78">
        <f t="shared" si="16"/>
        <v>300945.65046909434</v>
      </c>
      <c r="I132" s="22">
        <f>+Calculations!M227</f>
        <v>31391.947452831559</v>
      </c>
      <c r="J132" s="22">
        <f>+Calculations!N227</f>
        <v>22747.487533754862</v>
      </c>
      <c r="K132" s="22">
        <f>+Calculations!O227</f>
        <v>83490.15394942624</v>
      </c>
      <c r="L132" s="22">
        <f>+Calculations!P227</f>
        <v>29304.121431500917</v>
      </c>
      <c r="M132" s="80">
        <f t="shared" si="17"/>
        <v>166933.71036751356</v>
      </c>
      <c r="N132" s="22">
        <f>+Calculations!Q227</f>
        <v>7789.0606591481219</v>
      </c>
      <c r="O132" s="22">
        <f t="shared" si="18"/>
        <v>174722.77102666168</v>
      </c>
      <c r="P132" s="22">
        <f t="shared" si="11"/>
        <v>160266.18870415405</v>
      </c>
      <c r="Q132" s="13">
        <f t="shared" si="12"/>
        <v>15</v>
      </c>
      <c r="R132" s="80">
        <f t="shared" si="19"/>
        <v>117797.16120214824</v>
      </c>
      <c r="S132" s="29">
        <f t="shared" si="20"/>
        <v>22882.300562792036</v>
      </c>
      <c r="T132" s="29">
        <f t="shared" si="13"/>
        <v>0</v>
      </c>
      <c r="U132" s="29">
        <f t="shared" si="21"/>
        <v>140679.46176494029</v>
      </c>
      <c r="V132" s="83">
        <f t="shared" si="14"/>
        <v>0.35435632686382945</v>
      </c>
    </row>
    <row r="133" spans="1:22" x14ac:dyDescent="0.2">
      <c r="A133" s="28">
        <f>Calculations!A228</f>
        <v>33</v>
      </c>
      <c r="B133" s="22">
        <f>AnnMiles*Calculations!A228</f>
        <v>1168024.0376712328</v>
      </c>
      <c r="C133" s="22">
        <f>+Calculations!C228</f>
        <v>30699.154618408938</v>
      </c>
      <c r="D133" s="22">
        <f>+Calculations!D228</f>
        <v>205620.76110458237</v>
      </c>
      <c r="E133" s="22">
        <f>+Calculations!E228</f>
        <v>46773.303296246311</v>
      </c>
      <c r="F133" s="78">
        <f t="shared" si="15"/>
        <v>283093.21901923761</v>
      </c>
      <c r="G133" s="22">
        <f>+Calculations!F228</f>
        <v>29869.280433996704</v>
      </c>
      <c r="H133" s="78">
        <f t="shared" si="16"/>
        <v>312962.49945323431</v>
      </c>
      <c r="I133" s="22">
        <f>+Calculations!M228</f>
        <v>31128.001909878516</v>
      </c>
      <c r="J133" s="22">
        <f>+Calculations!N228</f>
        <v>22814.345669561648</v>
      </c>
      <c r="K133" s="22">
        <f>+Calculations!O228</f>
        <v>84517.036065140419</v>
      </c>
      <c r="L133" s="22">
        <f>+Calculations!P228</f>
        <v>29451.003452731482</v>
      </c>
      <c r="M133" s="80">
        <f t="shared" si="17"/>
        <v>167910.38709731205</v>
      </c>
      <c r="N133" s="22">
        <f>+Calculations!Q228</f>
        <v>7974.7125880624335</v>
      </c>
      <c r="O133" s="22">
        <f t="shared" si="18"/>
        <v>175885.09968537447</v>
      </c>
      <c r="P133" s="22">
        <f t="shared" si="11"/>
        <v>160266.18870415405</v>
      </c>
      <c r="Q133" s="13">
        <f t="shared" si="12"/>
        <v>15</v>
      </c>
      <c r="R133" s="80">
        <f t="shared" si="19"/>
        <v>127792.3941648975</v>
      </c>
      <c r="S133" s="29">
        <f t="shared" si="20"/>
        <v>24903.916584182756</v>
      </c>
      <c r="T133" s="29">
        <f t="shared" si="13"/>
        <v>0</v>
      </c>
      <c r="U133" s="29">
        <f t="shared" si="21"/>
        <v>152696.31074908026</v>
      </c>
      <c r="V133" s="83">
        <f t="shared" si="14"/>
        <v>0.38462546788181429</v>
      </c>
    </row>
    <row r="134" spans="1:22" x14ac:dyDescent="0.2">
      <c r="A134" s="28">
        <f>Calculations!A229</f>
        <v>34</v>
      </c>
      <c r="B134" s="22">
        <f>AnnMiles*Calculations!A229</f>
        <v>1203418.7054794522</v>
      </c>
      <c r="C134" s="22">
        <f>+Calculations!C229</f>
        <v>30699.154618408938</v>
      </c>
      <c r="D134" s="22">
        <f>+Calculations!D229</f>
        <v>214998.44339034482</v>
      </c>
      <c r="E134" s="22">
        <f>+Calculations!E229</f>
        <v>47822.921530540123</v>
      </c>
      <c r="F134" s="78">
        <f t="shared" si="15"/>
        <v>293520.51953929389</v>
      </c>
      <c r="G134" s="22">
        <f>+Calculations!F229</f>
        <v>32037.656746569806</v>
      </c>
      <c r="H134" s="78">
        <f t="shared" si="16"/>
        <v>325558.17628586368</v>
      </c>
      <c r="I134" s="22">
        <f>+Calculations!M229</f>
        <v>30885.305030995674</v>
      </c>
      <c r="J134" s="22">
        <f>+Calculations!N229</f>
        <v>22875.821460009527</v>
      </c>
      <c r="K134" s="22">
        <f>+Calculations!O229</f>
        <v>85534.365426714998</v>
      </c>
      <c r="L134" s="22">
        <f>+Calculations!P229</f>
        <v>29594.24448662388</v>
      </c>
      <c r="M134" s="80">
        <f t="shared" si="17"/>
        <v>168889.73640434406</v>
      </c>
      <c r="N134" s="22">
        <f>+Calculations!Q229</f>
        <v>8162.3250619022219</v>
      </c>
      <c r="O134" s="22">
        <f t="shared" si="18"/>
        <v>177052.06146624629</v>
      </c>
      <c r="P134" s="22">
        <f t="shared" si="11"/>
        <v>160266.18870415405</v>
      </c>
      <c r="Q134" s="13">
        <f t="shared" si="12"/>
        <v>15</v>
      </c>
      <c r="R134" s="80">
        <f t="shared" si="19"/>
        <v>138219.69468495378</v>
      </c>
      <c r="S134" s="29">
        <f t="shared" si="20"/>
        <v>27072.292896755862</v>
      </c>
      <c r="T134" s="29">
        <f t="shared" si="13"/>
        <v>0</v>
      </c>
      <c r="U134" s="29">
        <f t="shared" si="21"/>
        <v>165291.98758170963</v>
      </c>
      <c r="V134" s="83">
        <f t="shared" si="14"/>
        <v>0.41635261355594366</v>
      </c>
    </row>
    <row r="135" spans="1:22" x14ac:dyDescent="0.2">
      <c r="A135" s="28">
        <f>Calculations!A230</f>
        <v>35</v>
      </c>
      <c r="B135" s="22">
        <f>AnnMiles*Calculations!A230</f>
        <v>1238813.3732876712</v>
      </c>
      <c r="C135" s="22">
        <f>+Calculations!C230</f>
        <v>30699.154618408938</v>
      </c>
      <c r="D135" s="22">
        <f>+Calculations!D230</f>
        <v>224803.81072396081</v>
      </c>
      <c r="E135" s="22">
        <f>+Calculations!E230</f>
        <v>48896.09376594401</v>
      </c>
      <c r="F135" s="78">
        <f t="shared" si="15"/>
        <v>304399.05910831376</v>
      </c>
      <c r="G135" s="22">
        <f>+Calculations!F230</f>
        <v>34363.447491784427</v>
      </c>
      <c r="H135" s="78">
        <f t="shared" si="16"/>
        <v>338762.50660009816</v>
      </c>
      <c r="I135" s="22">
        <f>+Calculations!M230</f>
        <v>30661.881980654292</v>
      </c>
      <c r="J135" s="22">
        <f>+Calculations!N230</f>
        <v>22932.415136398096</v>
      </c>
      <c r="K135" s="22">
        <f>+Calculations!O230</f>
        <v>86541.834974334328</v>
      </c>
      <c r="L135" s="22">
        <f>+Calculations!P230</f>
        <v>29733.873285461621</v>
      </c>
      <c r="M135" s="80">
        <f t="shared" si="17"/>
        <v>169870.00537684833</v>
      </c>
      <c r="N135" s="22">
        <f>+Calculations!Q230</f>
        <v>8351.8629243185842</v>
      </c>
      <c r="O135" s="22">
        <f t="shared" si="18"/>
        <v>178221.86830116692</v>
      </c>
      <c r="P135" s="22">
        <f t="shared" si="11"/>
        <v>160266.18870415405</v>
      </c>
      <c r="Q135" s="13">
        <f t="shared" si="12"/>
        <v>15</v>
      </c>
      <c r="R135" s="80">
        <f t="shared" si="19"/>
        <v>149098.23425397364</v>
      </c>
      <c r="S135" s="29">
        <f t="shared" si="20"/>
        <v>29398.083641970479</v>
      </c>
      <c r="T135" s="29">
        <f t="shared" si="13"/>
        <v>0</v>
      </c>
      <c r="U135" s="29">
        <f t="shared" si="21"/>
        <v>178496.31789594411</v>
      </c>
      <c r="V135" s="83">
        <f t="shared" si="14"/>
        <v>0.44961289142555194</v>
      </c>
    </row>
    <row r="136" spans="1:22" x14ac:dyDescent="0.2">
      <c r="A136" s="28">
        <f>Calculations!A231</f>
        <v>36</v>
      </c>
      <c r="B136" s="22">
        <f>AnnMiles*Calculations!A231</f>
        <v>1274208.0410958906</v>
      </c>
      <c r="C136" s="22">
        <f>+Calculations!C231</f>
        <v>30699.154618408938</v>
      </c>
      <c r="D136" s="22">
        <f>+Calculations!D231</f>
        <v>235056.3684047767</v>
      </c>
      <c r="E136" s="22">
        <f>+Calculations!E231</f>
        <v>49993.348566987625</v>
      </c>
      <c r="F136" s="78">
        <f t="shared" si="15"/>
        <v>315748.87159017328</v>
      </c>
      <c r="G136" s="22">
        <f>+Calculations!F231</f>
        <v>36858.080254170171</v>
      </c>
      <c r="H136" s="78">
        <f t="shared" si="16"/>
        <v>352606.95184434345</v>
      </c>
      <c r="I136" s="22">
        <f>+Calculations!M231</f>
        <v>30455.977947436826</v>
      </c>
      <c r="J136" s="22">
        <f>+Calculations!N231</f>
        <v>22984.571197311267</v>
      </c>
      <c r="K136" s="22">
        <f>+Calculations!O231</f>
        <v>87539.156059975212</v>
      </c>
      <c r="L136" s="22">
        <f>+Calculations!P231</f>
        <v>29869.92193615983</v>
      </c>
      <c r="M136" s="80">
        <f t="shared" si="17"/>
        <v>170849.62714088312</v>
      </c>
      <c r="N136" s="22">
        <f>+Calculations!Q231</f>
        <v>8543.2910018153743</v>
      </c>
      <c r="O136" s="22">
        <f t="shared" si="18"/>
        <v>179392.9181426985</v>
      </c>
      <c r="P136" s="22">
        <f t="shared" si="11"/>
        <v>160266.18870415405</v>
      </c>
      <c r="Q136" s="13">
        <f t="shared" si="12"/>
        <v>15</v>
      </c>
      <c r="R136" s="80">
        <f t="shared" si="19"/>
        <v>160448.04673583317</v>
      </c>
      <c r="S136" s="29">
        <f t="shared" si="20"/>
        <v>31892.716404356222</v>
      </c>
      <c r="T136" s="29">
        <f t="shared" si="13"/>
        <v>0</v>
      </c>
      <c r="U136" s="29">
        <f t="shared" si="21"/>
        <v>192340.7631401894</v>
      </c>
      <c r="V136" s="83">
        <f t="shared" si="14"/>
        <v>0.48448554947150985</v>
      </c>
    </row>
    <row r="137" spans="1:22" x14ac:dyDescent="0.2">
      <c r="A137" s="28">
        <f>Calculations!A232</f>
        <v>37</v>
      </c>
      <c r="B137" s="22">
        <f>AnnMiles*Calculations!A232</f>
        <v>1309602.7089041097</v>
      </c>
      <c r="C137" s="22">
        <f>+Calculations!C232</f>
        <v>30699.154618408938</v>
      </c>
      <c r="D137" s="22">
        <f>+Calculations!D232</f>
        <v>245776.51130427694</v>
      </c>
      <c r="E137" s="22">
        <f>+Calculations!E232</f>
        <v>51115.226359474611</v>
      </c>
      <c r="F137" s="78">
        <f t="shared" si="15"/>
        <v>327590.89228216046</v>
      </c>
      <c r="G137" s="22">
        <f>+Calculations!F232</f>
        <v>39533.812209838405</v>
      </c>
      <c r="H137" s="78">
        <f t="shared" si="16"/>
        <v>367124.70449199888</v>
      </c>
      <c r="I137" s="22">
        <f>+Calculations!M232</f>
        <v>30266.02864326433</v>
      </c>
      <c r="J137" s="22">
        <f>+Calculations!N232</f>
        <v>23032.685881244492</v>
      </c>
      <c r="K137" s="22">
        <f>+Calculations!O232</f>
        <v>88526.058387479701</v>
      </c>
      <c r="L137" s="22">
        <f>+Calculations!P232</f>
        <v>30002.425669880227</v>
      </c>
      <c r="M137" s="80">
        <f t="shared" si="17"/>
        <v>171827.19858186875</v>
      </c>
      <c r="N137" s="22">
        <f>+Calculations!Q232</f>
        <v>8736.57417103642</v>
      </c>
      <c r="O137" s="22">
        <f t="shared" si="18"/>
        <v>180563.77275290518</v>
      </c>
      <c r="P137" s="22">
        <f t="shared" si="11"/>
        <v>160266.18870415405</v>
      </c>
      <c r="Q137" s="13">
        <f t="shared" si="12"/>
        <v>15</v>
      </c>
      <c r="R137" s="80">
        <f t="shared" si="19"/>
        <v>172290.06742782035</v>
      </c>
      <c r="S137" s="29">
        <f t="shared" si="20"/>
        <v>34568.448360024457</v>
      </c>
      <c r="T137" s="29">
        <f t="shared" si="13"/>
        <v>0</v>
      </c>
      <c r="U137" s="29">
        <f t="shared" si="21"/>
        <v>206858.51578784484</v>
      </c>
      <c r="V137" s="83">
        <f t="shared" si="14"/>
        <v>0.52105419593915581</v>
      </c>
    </row>
    <row r="138" spans="1:22" x14ac:dyDescent="0.2">
      <c r="A138" s="28">
        <f>Calculations!A233</f>
        <v>38</v>
      </c>
      <c r="B138" s="22">
        <f>AnnMiles*Calculations!A233</f>
        <v>1344997.3767123288</v>
      </c>
      <c r="C138" s="22">
        <f>+Calculations!C233</f>
        <v>30699.154618408938</v>
      </c>
      <c r="D138" s="22">
        <f>+Calculations!D233</f>
        <v>256985.56443652534</v>
      </c>
      <c r="E138" s="22">
        <f>+Calculations!E233</f>
        <v>52262.279696656085</v>
      </c>
      <c r="F138" s="78">
        <f t="shared" si="15"/>
        <v>339946.99875159038</v>
      </c>
      <c r="G138" s="22">
        <f>+Calculations!F233</f>
        <v>42403.790351124917</v>
      </c>
      <c r="H138" s="78">
        <f t="shared" si="16"/>
        <v>382350.78910271532</v>
      </c>
      <c r="I138" s="22">
        <f>+Calculations!M233</f>
        <v>30090.635448358233</v>
      </c>
      <c r="J138" s="22">
        <f>+Calculations!N233</f>
        <v>23077.11346245469</v>
      </c>
      <c r="K138" s="22">
        <f>+Calculations!O233</f>
        <v>89502.28990191131</v>
      </c>
      <c r="L138" s="22">
        <f>+Calculations!P233</f>
        <v>30131.422670508135</v>
      </c>
      <c r="M138" s="80">
        <f t="shared" si="17"/>
        <v>172801.46148323236</v>
      </c>
      <c r="N138" s="22">
        <f>+Calculations!Q233</f>
        <v>8931.6774229040566</v>
      </c>
      <c r="O138" s="22">
        <f t="shared" si="18"/>
        <v>181733.13890613642</v>
      </c>
      <c r="P138" s="22">
        <f t="shared" si="11"/>
        <v>160266.18870415405</v>
      </c>
      <c r="Q138" s="13">
        <f t="shared" si="12"/>
        <v>15</v>
      </c>
      <c r="R138" s="80">
        <f t="shared" si="19"/>
        <v>184646.17389725026</v>
      </c>
      <c r="S138" s="29">
        <f t="shared" si="20"/>
        <v>37438.426501310969</v>
      </c>
      <c r="T138" s="29">
        <f t="shared" si="13"/>
        <v>0</v>
      </c>
      <c r="U138" s="29">
        <f t="shared" si="21"/>
        <v>222084.60039856128</v>
      </c>
      <c r="V138" s="83">
        <f t="shared" si="14"/>
        <v>0.55940705390065815</v>
      </c>
    </row>
    <row r="139" spans="1:22" x14ac:dyDescent="0.2">
      <c r="A139" s="28">
        <f>Calculations!A234</f>
        <v>39</v>
      </c>
      <c r="B139" s="22">
        <f>AnnMiles*Calculations!A234</f>
        <v>1380392.0445205481</v>
      </c>
      <c r="C139" s="22">
        <f>+Calculations!C234</f>
        <v>30699.154618408938</v>
      </c>
      <c r="D139" s="22">
        <f>+Calculations!D234</f>
        <v>268705.82537888875</v>
      </c>
      <c r="E139" s="22">
        <f>+Calculations!E234</f>
        <v>53435.073531377086</v>
      </c>
      <c r="F139" s="78">
        <f t="shared" si="15"/>
        <v>352840.05352867476</v>
      </c>
      <c r="G139" s="22">
        <f>+Calculations!F234</f>
        <v>45482.116083272187</v>
      </c>
      <c r="H139" s="78">
        <f t="shared" si="16"/>
        <v>398322.16961194697</v>
      </c>
      <c r="I139" s="22">
        <f>+Calculations!M234</f>
        <v>29928.544367846851</v>
      </c>
      <c r="J139" s="22">
        <f>+Calculations!N234</f>
        <v>23118.17158131002</v>
      </c>
      <c r="K139" s="22">
        <f>+Calculations!O234</f>
        <v>90467.616631111654</v>
      </c>
      <c r="L139" s="22">
        <f>+Calculations!P234</f>
        <v>30256.953882847632</v>
      </c>
      <c r="M139" s="80">
        <f t="shared" si="17"/>
        <v>173771.28646311615</v>
      </c>
      <c r="N139" s="22">
        <f>+Calculations!Q234</f>
        <v>9128.5659235072362</v>
      </c>
      <c r="O139" s="22">
        <f t="shared" si="18"/>
        <v>182899.85238662339</v>
      </c>
      <c r="P139" s="22">
        <f t="shared" si="11"/>
        <v>160266.18870415405</v>
      </c>
      <c r="Q139" s="13">
        <f t="shared" si="12"/>
        <v>15</v>
      </c>
      <c r="R139" s="80">
        <f t="shared" si="19"/>
        <v>197539.22867433465</v>
      </c>
      <c r="S139" s="29">
        <f t="shared" si="20"/>
        <v>40516.752233458239</v>
      </c>
      <c r="T139" s="29">
        <f t="shared" si="13"/>
        <v>0</v>
      </c>
      <c r="U139" s="29">
        <f t="shared" si="21"/>
        <v>238055.98090779292</v>
      </c>
      <c r="V139" s="83">
        <f t="shared" si="14"/>
        <v>0.59963723150577564</v>
      </c>
    </row>
    <row r="140" spans="1:22" x14ac:dyDescent="0.2">
      <c r="A140" s="28">
        <f>Calculations!A235</f>
        <v>40</v>
      </c>
      <c r="B140" s="22">
        <f>AnnMiles*Calculations!A235</f>
        <v>1415786.7123287672</v>
      </c>
      <c r="C140" s="22">
        <f>+Calculations!C235</f>
        <v>30699.154618408938</v>
      </c>
      <c r="D140" s="22">
        <f>+Calculations!D235</f>
        <v>280960.60862743011</v>
      </c>
      <c r="E140" s="22">
        <f>+Calculations!E235</f>
        <v>54634.185494330224</v>
      </c>
      <c r="F140" s="78">
        <f t="shared" si="15"/>
        <v>366293.94874016929</v>
      </c>
      <c r="G140" s="22">
        <f>+Calculations!F235</f>
        <v>48783.914510542549</v>
      </c>
      <c r="H140" s="78">
        <f t="shared" si="16"/>
        <v>415077.86325071182</v>
      </c>
      <c r="I140" s="22">
        <f>+Calculations!M235</f>
        <v>29778.628132823298</v>
      </c>
      <c r="J140" s="22">
        <f>+Calculations!N235</f>
        <v>23156.14577814133</v>
      </c>
      <c r="K140" s="22">
        <f>+Calculations!O235</f>
        <v>91421.822482470758</v>
      </c>
      <c r="L140" s="22">
        <f>+Calculations!P235</f>
        <v>30379.062821343712</v>
      </c>
      <c r="M140" s="80">
        <f t="shared" si="17"/>
        <v>174735.65921477909</v>
      </c>
      <c r="N140" s="22">
        <f>+Calculations!Q235</f>
        <v>9327.2050716611229</v>
      </c>
      <c r="O140" s="22">
        <f t="shared" si="18"/>
        <v>184062.86428644022</v>
      </c>
      <c r="P140" s="22">
        <f t="shared" si="11"/>
        <v>160266.18870415405</v>
      </c>
      <c r="Q140" s="13">
        <f t="shared" si="12"/>
        <v>15</v>
      </c>
      <c r="R140" s="80">
        <f t="shared" si="19"/>
        <v>210993.12388582918</v>
      </c>
      <c r="S140" s="29">
        <f t="shared" si="20"/>
        <v>43818.550660728601</v>
      </c>
      <c r="T140" s="29">
        <f t="shared" si="13"/>
        <v>0</v>
      </c>
      <c r="U140" s="29">
        <f t="shared" si="21"/>
        <v>254811.67454655777</v>
      </c>
      <c r="V140" s="83">
        <f t="shared" si="14"/>
        <v>0.64184300893339485</v>
      </c>
    </row>
    <row r="141" spans="1:22" x14ac:dyDescent="0.2">
      <c r="A141" s="28">
        <f>Calculations!A236</f>
        <v>41</v>
      </c>
      <c r="B141" s="22">
        <f>AnnMiles*Calculations!A236</f>
        <v>1451181.3801369863</v>
      </c>
      <c r="C141" s="22">
        <f>+Calculations!C236</f>
        <v>30699.154618408938</v>
      </c>
      <c r="D141" s="22">
        <f>+Calculations!D236</f>
        <v>293774.2919752046</v>
      </c>
      <c r="E141" s="22">
        <f>+Calculations!E236</f>
        <v>55860.206178553351</v>
      </c>
      <c r="F141" s="78">
        <f t="shared" si="15"/>
        <v>380333.65277216688</v>
      </c>
      <c r="G141" s="22">
        <f>+Calculations!F236</f>
        <v>52325.408752193347</v>
      </c>
      <c r="H141" s="78">
        <f t="shared" si="16"/>
        <v>432659.06152436021</v>
      </c>
      <c r="I141" s="22">
        <f>+Calculations!M236</f>
        <v>29639.870908918012</v>
      </c>
      <c r="J141" s="22">
        <f>+Calculations!N236</f>
        <v>23191.293366603095</v>
      </c>
      <c r="K141" s="22">
        <f>+Calculations!O236</f>
        <v>92364.708997992988</v>
      </c>
      <c r="L141" s="22">
        <f>+Calculations!P236</f>
        <v>30497.795380090491</v>
      </c>
      <c r="M141" s="80">
        <f t="shared" si="17"/>
        <v>175693.66865360457</v>
      </c>
      <c r="N141" s="22">
        <f>+Calculations!Q236</f>
        <v>9527.5605530826524</v>
      </c>
      <c r="O141" s="22">
        <f t="shared" si="18"/>
        <v>185221.22920668722</v>
      </c>
      <c r="P141" s="22">
        <f t="shared" si="11"/>
        <v>160266.18870415405</v>
      </c>
      <c r="Q141" s="13">
        <f t="shared" si="12"/>
        <v>15</v>
      </c>
      <c r="R141" s="80">
        <f t="shared" si="19"/>
        <v>225032.82791782677</v>
      </c>
      <c r="S141" s="29">
        <f t="shared" si="20"/>
        <v>47360.044902379399</v>
      </c>
      <c r="T141" s="29">
        <f t="shared" si="13"/>
        <v>0</v>
      </c>
      <c r="U141" s="29">
        <f t="shared" si="21"/>
        <v>272392.87282020616</v>
      </c>
      <c r="V141" s="83">
        <f t="shared" si="14"/>
        <v>0.68612814312394499</v>
      </c>
    </row>
    <row r="142" spans="1:22" x14ac:dyDescent="0.2">
      <c r="A142" s="28">
        <f>Calculations!A237</f>
        <v>42</v>
      </c>
      <c r="B142" s="22">
        <f>AnnMiles*Calculations!A237</f>
        <v>1486576.0479452056</v>
      </c>
      <c r="C142" s="22">
        <f>+Calculations!C237</f>
        <v>30699.154618408938</v>
      </c>
      <c r="D142" s="22">
        <f>+Calculations!D237</f>
        <v>307172.36500571482</v>
      </c>
      <c r="E142" s="22">
        <f>+Calculations!E237</f>
        <v>57113.739430311674</v>
      </c>
      <c r="F142" s="78">
        <f t="shared" si="15"/>
        <v>394985.25905443542</v>
      </c>
      <c r="G142" s="22">
        <f>+Calculations!F237</f>
        <v>56123.999653459992</v>
      </c>
      <c r="H142" s="78">
        <f t="shared" si="16"/>
        <v>451109.25870789541</v>
      </c>
      <c r="I142" s="22">
        <f>+Calculations!M237</f>
        <v>29511.355177789363</v>
      </c>
      <c r="J142" s="22">
        <f>+Calculations!N237</f>
        <v>23223.846756628085</v>
      </c>
      <c r="K142" s="22">
        <f>+Calculations!O237</f>
        <v>93296.095070783151</v>
      </c>
      <c r="L142" s="22">
        <f>+Calculations!P237</f>
        <v>30613.199644832555</v>
      </c>
      <c r="M142" s="80">
        <f t="shared" si="17"/>
        <v>176644.49665003314</v>
      </c>
      <c r="N142" s="22">
        <f>+Calculations!Q237</f>
        <v>9729.5983911480962</v>
      </c>
      <c r="O142" s="22">
        <f t="shared" si="18"/>
        <v>186374.09504118122</v>
      </c>
      <c r="P142" s="22">
        <f t="shared" si="11"/>
        <v>160266.18870415405</v>
      </c>
      <c r="Q142" s="13">
        <f t="shared" si="12"/>
        <v>15</v>
      </c>
      <c r="R142" s="80">
        <f t="shared" si="19"/>
        <v>239684.4342000953</v>
      </c>
      <c r="S142" s="29">
        <f t="shared" si="20"/>
        <v>51158.635803646044</v>
      </c>
      <c r="T142" s="29">
        <f t="shared" si="13"/>
        <v>0</v>
      </c>
      <c r="U142" s="29">
        <f t="shared" si="21"/>
        <v>290843.07000374136</v>
      </c>
      <c r="V142" s="83">
        <f t="shared" si="14"/>
        <v>0.73260219144519234</v>
      </c>
    </row>
    <row r="143" spans="1:22" x14ac:dyDescent="0.2">
      <c r="A143" s="28">
        <f>Calculations!A238</f>
        <v>43</v>
      </c>
      <c r="B143" s="22">
        <f>AnnMiles*Calculations!A238</f>
        <v>1521970.7157534247</v>
      </c>
      <c r="C143" s="22">
        <f>+Calculations!C238</f>
        <v>30699.154618408938</v>
      </c>
      <c r="D143" s="22">
        <f>+Calculations!D238</f>
        <v>321181.47979799367</v>
      </c>
      <c r="E143" s="22">
        <f>+Calculations!E238</f>
        <v>58395.402646507297</v>
      </c>
      <c r="F143" s="78">
        <f t="shared" si="15"/>
        <v>410276.03706290992</v>
      </c>
      <c r="G143" s="22">
        <f>+Calculations!F238</f>
        <v>60198.35128320026</v>
      </c>
      <c r="H143" s="78">
        <f t="shared" si="16"/>
        <v>470474.38834611018</v>
      </c>
      <c r="I143" s="22">
        <f>+Calculations!M238</f>
        <v>29392.250437851802</v>
      </c>
      <c r="J143" s="22">
        <f>+Calculations!N238</f>
        <v>23254.01631656415</v>
      </c>
      <c r="K143" s="22">
        <f>+Calculations!O238</f>
        <v>94215.816626095999</v>
      </c>
      <c r="L143" s="22">
        <f>+Calculations!P238</f>
        <v>30725.325707613218</v>
      </c>
      <c r="M143" s="80">
        <f t="shared" si="17"/>
        <v>177587.40908812519</v>
      </c>
      <c r="N143" s="22">
        <f>+Calculations!Q238</f>
        <v>9933.2849942189423</v>
      </c>
      <c r="O143" s="22">
        <f t="shared" si="18"/>
        <v>187520.69408234413</v>
      </c>
      <c r="P143" s="22">
        <f t="shared" si="11"/>
        <v>160266.18870415405</v>
      </c>
      <c r="Q143" s="13">
        <f t="shared" si="12"/>
        <v>15</v>
      </c>
      <c r="R143" s="80">
        <f t="shared" si="19"/>
        <v>254975.21220856981</v>
      </c>
      <c r="S143" s="29">
        <f t="shared" si="20"/>
        <v>55232.987433386312</v>
      </c>
      <c r="T143" s="29">
        <f t="shared" si="13"/>
        <v>0</v>
      </c>
      <c r="U143" s="29">
        <f t="shared" si="21"/>
        <v>310208.19964195613</v>
      </c>
      <c r="V143" s="83">
        <f t="shared" si="14"/>
        <v>0.7813808555213001</v>
      </c>
    </row>
    <row r="144" spans="1:22" x14ac:dyDescent="0.2">
      <c r="A144" s="28">
        <f>Calculations!A239</f>
        <v>44</v>
      </c>
      <c r="B144" s="22">
        <f>AnnMiles*Calculations!A239</f>
        <v>1557365.3835616438</v>
      </c>
      <c r="C144" s="22">
        <f>+Calculations!C239</f>
        <v>30699.154618408938</v>
      </c>
      <c r="D144" s="22">
        <f>+Calculations!D239</f>
        <v>335829.50394417759</v>
      </c>
      <c r="E144" s="22">
        <f>+Calculations!E239</f>
        <v>59705.827078762923</v>
      </c>
      <c r="F144" s="78">
        <f t="shared" si="15"/>
        <v>426234.48564134946</v>
      </c>
      <c r="G144" s="22">
        <f>+Calculations!F239</f>
        <v>64568.482638285634</v>
      </c>
      <c r="H144" s="78">
        <f t="shared" si="16"/>
        <v>490802.96827963507</v>
      </c>
      <c r="I144" s="22">
        <f>+Calculations!M239</f>
        <v>29281.803434921661</v>
      </c>
      <c r="J144" s="22">
        <f>+Calculations!N239</f>
        <v>23281.992847778653</v>
      </c>
      <c r="K144" s="22">
        <f>+Calculations!O239</f>
        <v>95123.726270088955</v>
      </c>
      <c r="L144" s="22">
        <f>+Calculations!P239</f>
        <v>30834.225484669216</v>
      </c>
      <c r="M144" s="80">
        <f t="shared" si="17"/>
        <v>178521.74803745848</v>
      </c>
      <c r="N144" s="22">
        <f>+Calculations!Q239</f>
        <v>10138.587199541467</v>
      </c>
      <c r="O144" s="22">
        <f t="shared" si="18"/>
        <v>188660.33523699996</v>
      </c>
      <c r="P144" s="22">
        <f t="shared" si="11"/>
        <v>160266.18870415405</v>
      </c>
      <c r="Q144" s="13">
        <f t="shared" si="12"/>
        <v>15</v>
      </c>
      <c r="R144" s="80">
        <f t="shared" si="19"/>
        <v>270933.66078700934</v>
      </c>
      <c r="S144" s="29">
        <f t="shared" si="20"/>
        <v>59603.118788471686</v>
      </c>
      <c r="T144" s="29">
        <f t="shared" si="13"/>
        <v>0</v>
      </c>
      <c r="U144" s="29">
        <f t="shared" si="21"/>
        <v>330536.77957548102</v>
      </c>
      <c r="V144" s="83">
        <f t="shared" si="14"/>
        <v>0.83258634653773556</v>
      </c>
    </row>
    <row r="145" spans="1:22" x14ac:dyDescent="0.2">
      <c r="A145" s="28">
        <f>Calculations!A240</f>
        <v>45</v>
      </c>
      <c r="B145" s="22">
        <f>AnnMiles*Calculations!A240</f>
        <v>1592760.0513698631</v>
      </c>
      <c r="C145" s="22">
        <f>+Calculations!C240</f>
        <v>30699.154618408938</v>
      </c>
      <c r="D145" s="22">
        <f>+Calculations!D240</f>
        <v>351145.57598503487</v>
      </c>
      <c r="E145" s="22">
        <f>+Calculations!E240</f>
        <v>61045.658144329173</v>
      </c>
      <c r="F145" s="78">
        <f t="shared" si="15"/>
        <v>442890.38874777296</v>
      </c>
      <c r="G145" s="22">
        <f>+Calculations!F240</f>
        <v>69255.866005321499</v>
      </c>
      <c r="H145" s="78">
        <f t="shared" si="16"/>
        <v>512146.25475309446</v>
      </c>
      <c r="I145" s="22">
        <f>+Calculations!M240</f>
        <v>29179.329684944703</v>
      </c>
      <c r="J145" s="22">
        <f>+Calculations!N240</f>
        <v>23307.949731975063</v>
      </c>
      <c r="K145" s="22">
        <f>+Calculations!O240</f>
        <v>96019.692909392295</v>
      </c>
      <c r="L145" s="22">
        <f>+Calculations!P240</f>
        <v>30939.95253811701</v>
      </c>
      <c r="M145" s="80">
        <f t="shared" si="17"/>
        <v>179446.92486442908</v>
      </c>
      <c r="N145" s="22">
        <f>+Calculations!Q240</f>
        <v>10345.472313743034</v>
      </c>
      <c r="O145" s="22">
        <f t="shared" si="18"/>
        <v>189792.3971781721</v>
      </c>
      <c r="P145" s="22">
        <f t="shared" si="11"/>
        <v>160266.18870415405</v>
      </c>
      <c r="Q145" s="13">
        <f t="shared" si="12"/>
        <v>15</v>
      </c>
      <c r="R145" s="80">
        <f t="shared" si="19"/>
        <v>287589.56389343285</v>
      </c>
      <c r="S145" s="29">
        <f t="shared" si="20"/>
        <v>64290.502155507551</v>
      </c>
      <c r="T145" s="29">
        <f t="shared" si="13"/>
        <v>0</v>
      </c>
      <c r="U145" s="29">
        <f t="shared" si="21"/>
        <v>351880.06604894041</v>
      </c>
      <c r="V145" s="83">
        <f t="shared" si="14"/>
        <v>0.88634777342302373</v>
      </c>
    </row>
    <row r="146" spans="1:22" x14ac:dyDescent="0.2">
      <c r="A146" s="28">
        <f>Calculations!A241</f>
        <v>46</v>
      </c>
      <c r="B146" s="22">
        <f>AnnMiles*Calculations!A241</f>
        <v>1628154.7191780822</v>
      </c>
      <c r="C146" s="22">
        <f>+Calculations!C241</f>
        <v>30699.154618408938</v>
      </c>
      <c r="D146" s="22">
        <f>+Calculations!D241</f>
        <v>367160.16337372706</v>
      </c>
      <c r="E146" s="22">
        <f>+Calculations!E241</f>
        <v>62415.555743969024</v>
      </c>
      <c r="F146" s="78">
        <f t="shared" si="15"/>
        <v>460274.87373610504</v>
      </c>
      <c r="G146" s="22">
        <f>+Calculations!F241</f>
        <v>74283.532462989242</v>
      </c>
      <c r="H146" s="78">
        <f t="shared" si="16"/>
        <v>534558.40619909426</v>
      </c>
      <c r="I146" s="22">
        <f>+Calculations!M241</f>
        <v>29084.206092376171</v>
      </c>
      <c r="J146" s="22">
        <f>+Calculations!N241</f>
        <v>23332.044800977641</v>
      </c>
      <c r="K146" s="22">
        <f>+Calculations!O241</f>
        <v>96903.601344567825</v>
      </c>
      <c r="L146" s="22">
        <f>+Calculations!P241</f>
        <v>31042.561901921115</v>
      </c>
      <c r="M146" s="80">
        <f t="shared" si="17"/>
        <v>180362.41413984276</v>
      </c>
      <c r="N146" s="22">
        <f>+Calculations!Q241</f>
        <v>10553.908149964365</v>
      </c>
      <c r="O146" s="22">
        <f t="shared" si="18"/>
        <v>190916.32228980714</v>
      </c>
      <c r="P146" s="22">
        <f t="shared" si="11"/>
        <v>160266.18870415405</v>
      </c>
      <c r="Q146" s="13">
        <f t="shared" si="12"/>
        <v>15</v>
      </c>
      <c r="R146" s="80">
        <f t="shared" si="19"/>
        <v>304974.04888176493</v>
      </c>
      <c r="S146" s="29">
        <f t="shared" si="20"/>
        <v>69318.168613175294</v>
      </c>
      <c r="T146" s="29">
        <f t="shared" si="13"/>
        <v>0</v>
      </c>
      <c r="U146" s="29">
        <f t="shared" si="21"/>
        <v>374292.21749494021</v>
      </c>
      <c r="V146" s="83">
        <f t="shared" si="14"/>
        <v>0.94280155540287203</v>
      </c>
    </row>
    <row r="147" spans="1:22" x14ac:dyDescent="0.2">
      <c r="A147" s="28">
        <f>Calculations!A242</f>
        <v>47</v>
      </c>
      <c r="B147" s="22">
        <f>AnnMiles*Calculations!A242</f>
        <v>1663549.3869863015</v>
      </c>
      <c r="C147" s="22">
        <f>+Calculations!C242</f>
        <v>30699.154618408938</v>
      </c>
      <c r="D147" s="22">
        <f>+Calculations!D242</f>
        <v>383905.12308310298</v>
      </c>
      <c r="E147" s="22">
        <f>+Calculations!E242</f>
        <v>63816.194586975638</v>
      </c>
      <c r="F147" s="78">
        <f t="shared" si="15"/>
        <v>478420.47228848754</v>
      </c>
      <c r="G147" s="22">
        <f>+Calculations!F242</f>
        <v>79676.185043386475</v>
      </c>
      <c r="H147" s="78">
        <f t="shared" si="16"/>
        <v>558096.65733187401</v>
      </c>
      <c r="I147" s="22">
        <f>+Calculations!M242</f>
        <v>28995.864501257634</v>
      </c>
      <c r="J147" s="22">
        <f>+Calculations!N242</f>
        <v>23354.421970261537</v>
      </c>
      <c r="K147" s="22">
        <f>+Calculations!O242</f>
        <v>97775.351840465606</v>
      </c>
      <c r="L147" s="22">
        <f>+Calculations!P242</f>
        <v>31142.109912581473</v>
      </c>
      <c r="M147" s="80">
        <f t="shared" si="17"/>
        <v>181267.74822456625</v>
      </c>
      <c r="N147" s="22">
        <f>+Calculations!Q242</f>
        <v>10763.863061681941</v>
      </c>
      <c r="O147" s="22">
        <f t="shared" si="18"/>
        <v>192031.6112862482</v>
      </c>
      <c r="P147" s="22">
        <f t="shared" si="11"/>
        <v>160266.18870415405</v>
      </c>
      <c r="Q147" s="13">
        <f t="shared" si="12"/>
        <v>15</v>
      </c>
      <c r="R147" s="80">
        <f t="shared" si="19"/>
        <v>323119.64743414742</v>
      </c>
      <c r="S147" s="29">
        <f t="shared" si="20"/>
        <v>74710.821193572527</v>
      </c>
      <c r="T147" s="29">
        <f t="shared" si="13"/>
        <v>0</v>
      </c>
      <c r="U147" s="29">
        <f t="shared" si="21"/>
        <v>397830.46862771997</v>
      </c>
      <c r="V147" s="83">
        <f t="shared" si="14"/>
        <v>1.0020918605232241</v>
      </c>
    </row>
    <row r="148" spans="1:22" x14ac:dyDescent="0.2">
      <c r="A148" s="28">
        <f>Calculations!A243</f>
        <v>48</v>
      </c>
      <c r="B148" s="22">
        <f>AnnMiles*Calculations!A243</f>
        <v>1698944.0547945206</v>
      </c>
      <c r="C148" s="22">
        <f>+Calculations!C243</f>
        <v>30699.154618408938</v>
      </c>
      <c r="D148" s="22">
        <f>+Calculations!D243</f>
        <v>401413.76497709338</v>
      </c>
      <c r="E148" s="22">
        <f>+Calculations!E243</f>
        <v>65248.264523483791</v>
      </c>
      <c r="F148" s="78">
        <f t="shared" si="15"/>
        <v>497361.18411898613</v>
      </c>
      <c r="G148" s="22">
        <f>+Calculations!F243</f>
        <v>85460.320108375498</v>
      </c>
      <c r="H148" s="78">
        <f t="shared" si="16"/>
        <v>582821.50422736164</v>
      </c>
      <c r="I148" s="22">
        <f>+Calculations!M243</f>
        <v>28913.786043227818</v>
      </c>
      <c r="J148" s="22">
        <f>+Calculations!N243</f>
        <v>23375.212670617275</v>
      </c>
      <c r="K148" s="22">
        <f>+Calculations!O243</f>
        <v>98634.859676412161</v>
      </c>
      <c r="L148" s="22">
        <f>+Calculations!P243</f>
        <v>31238.654044923795</v>
      </c>
      <c r="M148" s="80">
        <f t="shared" si="17"/>
        <v>182162.51243518107</v>
      </c>
      <c r="N148" s="22">
        <f>+Calculations!Q243</f>
        <v>10975.305973288088</v>
      </c>
      <c r="O148" s="22">
        <f t="shared" si="18"/>
        <v>193137.81840846915</v>
      </c>
      <c r="P148" s="22">
        <f t="shared" si="11"/>
        <v>160266.18870415405</v>
      </c>
      <c r="Q148" s="13">
        <f t="shared" si="12"/>
        <v>15</v>
      </c>
      <c r="R148" s="80">
        <f t="shared" si="19"/>
        <v>342060.35926464602</v>
      </c>
      <c r="S148" s="29">
        <f t="shared" si="20"/>
        <v>80494.956258561549</v>
      </c>
      <c r="T148" s="29">
        <f t="shared" si="13"/>
        <v>0</v>
      </c>
      <c r="U148" s="29">
        <f t="shared" si="21"/>
        <v>422555.3155232076</v>
      </c>
      <c r="V148" s="83">
        <f t="shared" si="14"/>
        <v>1.0643710718468704</v>
      </c>
    </row>
    <row r="149" spans="1:22" x14ac:dyDescent="0.2">
      <c r="A149" s="28">
        <f>Calculations!A244</f>
        <v>49</v>
      </c>
      <c r="B149" s="22">
        <f>AnnMiles*Calculations!A244</f>
        <v>1734338.7226027397</v>
      </c>
      <c r="C149" s="22">
        <f>+Calculations!C244</f>
        <v>30699.154618408938</v>
      </c>
      <c r="D149" s="22">
        <f>+Calculations!D244</f>
        <v>419720.91807226301</v>
      </c>
      <c r="E149" s="22">
        <f>+Calculations!E244</f>
        <v>66712.470884238544</v>
      </c>
      <c r="F149" s="78">
        <f t="shared" si="15"/>
        <v>517132.54357491049</v>
      </c>
      <c r="G149" s="22">
        <f>+Calculations!F244</f>
        <v>91664.35753731204</v>
      </c>
      <c r="H149" s="78">
        <f t="shared" si="16"/>
        <v>608796.90111222258</v>
      </c>
      <c r="I149" s="22">
        <f>+Calculations!M244</f>
        <v>28837.49616889875</v>
      </c>
      <c r="J149" s="22">
        <f>+Calculations!N244</f>
        <v>23394.537106716893</v>
      </c>
      <c r="K149" s="22">
        <f>+Calculations!O244</f>
        <v>99482.054679073248</v>
      </c>
      <c r="L149" s="22">
        <f>+Calculations!P244</f>
        <v>31332.252753325301</v>
      </c>
      <c r="M149" s="80">
        <f t="shared" si="17"/>
        <v>183046.34070801418</v>
      </c>
      <c r="N149" s="22">
        <f>+Calculations!Q244</f>
        <v>11188.206407508211</v>
      </c>
      <c r="O149" s="22">
        <f t="shared" si="18"/>
        <v>194234.54711552238</v>
      </c>
      <c r="P149" s="22">
        <f t="shared" si="11"/>
        <v>160266.18870415405</v>
      </c>
      <c r="Q149" s="13">
        <f t="shared" si="12"/>
        <v>15</v>
      </c>
      <c r="R149" s="80">
        <f t="shared" si="19"/>
        <v>361831.71872057038</v>
      </c>
      <c r="S149" s="29">
        <f t="shared" si="20"/>
        <v>86698.993687498092</v>
      </c>
      <c r="T149" s="29">
        <f t="shared" si="13"/>
        <v>0</v>
      </c>
      <c r="U149" s="29">
        <f t="shared" si="21"/>
        <v>448530.71240806853</v>
      </c>
      <c r="V149" s="83">
        <f t="shared" si="14"/>
        <v>1.1298002831437495</v>
      </c>
    </row>
    <row r="150" spans="1:22" x14ac:dyDescent="0.2">
      <c r="A150" s="28">
        <f>Calculations!A245</f>
        <v>50</v>
      </c>
      <c r="B150" s="22">
        <f>AnnMiles*Calculations!A245</f>
        <v>1769733.390410959</v>
      </c>
      <c r="C150" s="22">
        <f>+Calculations!C245</f>
        <v>30699.154618408938</v>
      </c>
      <c r="D150" s="22">
        <f>+Calculations!D245</f>
        <v>438862.9998213345</v>
      </c>
      <c r="E150" s="22">
        <f>+Calculations!E245</f>
        <v>68209.534827988522</v>
      </c>
      <c r="F150" s="78">
        <f t="shared" si="15"/>
        <v>537771.68926773197</v>
      </c>
      <c r="G150" s="22">
        <f>+Calculations!F245</f>
        <v>98318.780365821498</v>
      </c>
      <c r="H150" s="78">
        <f t="shared" si="16"/>
        <v>636090.46963355341</v>
      </c>
      <c r="I150" s="22">
        <f>+Calculations!M245</f>
        <v>28766.560267224246</v>
      </c>
      <c r="J150" s="22">
        <f>+Calculations!N245</f>
        <v>23412.505366740035</v>
      </c>
      <c r="K150" s="22">
        <f>+Calculations!O245</f>
        <v>100316.88074073305</v>
      </c>
      <c r="L150" s="22">
        <f>+Calculations!P245</f>
        <v>31422.965318658644</v>
      </c>
      <c r="M150" s="80">
        <f t="shared" si="17"/>
        <v>183918.91169335597</v>
      </c>
      <c r="N150" s="22">
        <f>+Calculations!Q245</f>
        <v>11402.534509745317</v>
      </c>
      <c r="O150" s="22">
        <f t="shared" si="18"/>
        <v>195321.44620310128</v>
      </c>
      <c r="P150" s="22">
        <f t="shared" si="11"/>
        <v>160266.18870415405</v>
      </c>
      <c r="Q150" s="13">
        <f t="shared" si="12"/>
        <v>15</v>
      </c>
      <c r="R150" s="80">
        <f t="shared" si="19"/>
        <v>382470.86441339186</v>
      </c>
      <c r="S150" s="29">
        <f t="shared" si="20"/>
        <v>93353.41651600755</v>
      </c>
      <c r="T150" s="29">
        <f t="shared" si="13"/>
        <v>0</v>
      </c>
      <c r="U150" s="29">
        <f t="shared" si="21"/>
        <v>475824.28092939936</v>
      </c>
      <c r="V150" s="83">
        <f t="shared" si="14"/>
        <v>1.1985498260186382</v>
      </c>
    </row>
    <row r="151" spans="1:22" x14ac:dyDescent="0.2">
      <c r="A151" s="28">
        <f>Calculations!A246</f>
        <v>51</v>
      </c>
      <c r="B151" s="22">
        <f>AnnMiles*Calculations!A246</f>
        <v>1805128.0582191781</v>
      </c>
      <c r="C151" s="22">
        <f>+Calculations!C246</f>
        <v>30699.154618408938</v>
      </c>
      <c r="D151" s="22">
        <f>+Calculations!D246</f>
        <v>458878.08855650283</v>
      </c>
      <c r="E151" s="22">
        <f>+Calculations!E246</f>
        <v>69740.193696674862</v>
      </c>
      <c r="F151" s="78">
        <f t="shared" si="15"/>
        <v>559317.4368715866</v>
      </c>
      <c r="G151" s="22">
        <f>+Calculations!F246</f>
        <v>105456.28456172685</v>
      </c>
      <c r="H151" s="78">
        <f t="shared" si="16"/>
        <v>664773.72143331345</v>
      </c>
      <c r="I151" s="22">
        <f>+Calculations!M246</f>
        <v>28700.579792468197</v>
      </c>
      <c r="J151" s="22">
        <f>+Calculations!N246</f>
        <v>23429.218403423598</v>
      </c>
      <c r="K151" s="22">
        <f>+Calculations!O246</f>
        <v>101139.29532561978</v>
      </c>
      <c r="L151" s="22">
        <f>+Calculations!P246</f>
        <v>31510.851701188651</v>
      </c>
      <c r="M151" s="80">
        <f t="shared" si="17"/>
        <v>184779.94522270025</v>
      </c>
      <c r="N151" s="22">
        <f>+Calculations!Q246</f>
        <v>11618.261069451084</v>
      </c>
      <c r="O151" s="22">
        <f t="shared" si="18"/>
        <v>196398.20629215133</v>
      </c>
      <c r="P151" s="22">
        <f t="shared" si="11"/>
        <v>160266.18870415405</v>
      </c>
      <c r="Q151" s="13">
        <f t="shared" si="12"/>
        <v>15</v>
      </c>
      <c r="R151" s="80">
        <f t="shared" si="19"/>
        <v>404016.61201724649</v>
      </c>
      <c r="S151" s="29">
        <f t="shared" si="20"/>
        <v>100490.9207119129</v>
      </c>
      <c r="T151" s="29">
        <f t="shared" si="13"/>
        <v>0</v>
      </c>
      <c r="U151" s="29">
        <f t="shared" si="21"/>
        <v>504507.5327291594</v>
      </c>
      <c r="V151" s="83">
        <f t="shared" si="14"/>
        <v>1.2707998305520387</v>
      </c>
    </row>
    <row r="152" spans="1:22" x14ac:dyDescent="0.2">
      <c r="A152" s="28">
        <f>Calculations!A247</f>
        <v>52</v>
      </c>
      <c r="B152" s="22">
        <f>AnnMiles*Calculations!A247</f>
        <v>1840522.7260273974</v>
      </c>
      <c r="C152" s="22">
        <f>+Calculations!C247</f>
        <v>30699.154618408938</v>
      </c>
      <c r="D152" s="22">
        <f>+Calculations!D247</f>
        <v>479805.99923665158</v>
      </c>
      <c r="E152" s="22">
        <f>+Calculations!E247</f>
        <v>71305.201378590864</v>
      </c>
      <c r="F152" s="78">
        <f t="shared" si="15"/>
        <v>581810.35523365135</v>
      </c>
      <c r="G152" s="22">
        <f>+Calculations!F247</f>
        <v>113111.93967403921</v>
      </c>
      <c r="H152" s="78">
        <f t="shared" si="16"/>
        <v>694922.29490769061</v>
      </c>
      <c r="I152" s="22">
        <f>+Calculations!M247</f>
        <v>28639.188830764822</v>
      </c>
      <c r="J152" s="22">
        <f>+Calculations!N247</f>
        <v>23444.768903761476</v>
      </c>
      <c r="K152" s="22">
        <f>+Calculations!O247</f>
        <v>101949.26896678797</v>
      </c>
      <c r="L152" s="22">
        <f>+Calculations!P247</f>
        <v>31595.972399610815</v>
      </c>
      <c r="M152" s="80">
        <f t="shared" si="17"/>
        <v>185629.19910092509</v>
      </c>
      <c r="N152" s="22">
        <f>+Calculations!Q247</f>
        <v>11835.357538630555</v>
      </c>
      <c r="O152" s="22">
        <f t="shared" si="18"/>
        <v>197464.55663955564</v>
      </c>
      <c r="P152" s="22">
        <f t="shared" si="11"/>
        <v>160266.18870415405</v>
      </c>
      <c r="Q152" s="13">
        <f t="shared" si="12"/>
        <v>15</v>
      </c>
      <c r="R152" s="80">
        <f t="shared" si="19"/>
        <v>426509.53037931124</v>
      </c>
      <c r="S152" s="29">
        <f t="shared" si="20"/>
        <v>108146.57582422526</v>
      </c>
      <c r="T152" s="29">
        <f t="shared" si="13"/>
        <v>0</v>
      </c>
      <c r="U152" s="29">
        <f t="shared" si="21"/>
        <v>534656.1062035365</v>
      </c>
      <c r="V152" s="83">
        <f t="shared" si="14"/>
        <v>1.3467408216713765</v>
      </c>
    </row>
    <row r="153" spans="1:22" x14ac:dyDescent="0.2">
      <c r="A153" s="28">
        <f>Calculations!A248</f>
        <v>53</v>
      </c>
      <c r="B153" s="22">
        <f>AnnMiles*Calculations!A248</f>
        <v>1875917.3938356165</v>
      </c>
      <c r="C153" s="22">
        <f>+Calculations!C248</f>
        <v>30699.154618408938</v>
      </c>
      <c r="D153" s="22">
        <f>+Calculations!D248</f>
        <v>501688.36264914571</v>
      </c>
      <c r="E153" s="22">
        <f>+Calculations!E248</f>
        <v>72905.328679691025</v>
      </c>
      <c r="F153" s="78">
        <f t="shared" si="15"/>
        <v>605292.84594724572</v>
      </c>
      <c r="G153" s="22">
        <f>+Calculations!F248</f>
        <v>121323.36114434764</v>
      </c>
      <c r="H153" s="78">
        <f t="shared" si="16"/>
        <v>726616.20709159342</v>
      </c>
      <c r="I153" s="22">
        <f>+Calculations!M248</f>
        <v>28582.051048541205</v>
      </c>
      <c r="J153" s="22">
        <f>+Calculations!N248</f>
        <v>23459.24206197762</v>
      </c>
      <c r="K153" s="22">
        <f>+Calculations!O248</f>
        <v>102746.7847559417</v>
      </c>
      <c r="L153" s="22">
        <f>+Calculations!P248</f>
        <v>31678.388316377059</v>
      </c>
      <c r="M153" s="80">
        <f t="shared" si="17"/>
        <v>186466.46618283758</v>
      </c>
      <c r="N153" s="22">
        <f>+Calculations!Q248</f>
        <v>12053.796047594262</v>
      </c>
      <c r="O153" s="22">
        <f t="shared" si="18"/>
        <v>198520.26223043184</v>
      </c>
      <c r="P153" s="22">
        <f t="shared" si="11"/>
        <v>160266.18870415405</v>
      </c>
      <c r="Q153" s="13">
        <f t="shared" si="12"/>
        <v>15</v>
      </c>
      <c r="R153" s="80">
        <f t="shared" si="19"/>
        <v>449992.0210929056</v>
      </c>
      <c r="S153" s="29">
        <f t="shared" si="20"/>
        <v>116357.99729453369</v>
      </c>
      <c r="T153" s="29">
        <f t="shared" si="13"/>
        <v>0</v>
      </c>
      <c r="U153" s="29">
        <f t="shared" si="21"/>
        <v>566350.01838743943</v>
      </c>
      <c r="V153" s="83">
        <f t="shared" si="14"/>
        <v>1.4265743536207542</v>
      </c>
    </row>
    <row r="154" spans="1:22" x14ac:dyDescent="0.2">
      <c r="A154" s="28">
        <f>Calculations!A249</f>
        <v>54</v>
      </c>
      <c r="B154" s="22">
        <f>AnnMiles*Calculations!A249</f>
        <v>1911312.0616438356</v>
      </c>
      <c r="C154" s="22">
        <f>+Calculations!C249</f>
        <v>30699.154618408938</v>
      </c>
      <c r="D154" s="22">
        <f>+Calculations!D249</f>
        <v>524568.70822376001</v>
      </c>
      <c r="E154" s="22">
        <f>+Calculations!E249</f>
        <v>74541.36370323252</v>
      </c>
      <c r="F154" s="78">
        <f t="shared" si="15"/>
        <v>629809.22654540138</v>
      </c>
      <c r="G154" s="22">
        <f>+Calculations!F249</f>
        <v>130130.89512724635</v>
      </c>
      <c r="H154" s="78">
        <f t="shared" si="16"/>
        <v>759940.12167264777</v>
      </c>
      <c r="I154" s="22">
        <f>+Calculations!M249</f>
        <v>28528.856973634433</v>
      </c>
      <c r="J154" s="22">
        <f>+Calculations!N249</f>
        <v>23472.716268226544</v>
      </c>
      <c r="K154" s="22">
        <f>+Calculations!O249</f>
        <v>103531.83782845073</v>
      </c>
      <c r="L154" s="22">
        <f>+Calculations!P249</f>
        <v>31758.160629413083</v>
      </c>
      <c r="M154" s="80">
        <f t="shared" si="17"/>
        <v>187291.57169972479</v>
      </c>
      <c r="N154" s="22">
        <f>+Calculations!Q249</f>
        <v>12273.549418076691</v>
      </c>
      <c r="O154" s="22">
        <f t="shared" si="18"/>
        <v>199565.12111780149</v>
      </c>
      <c r="P154" s="22">
        <f t="shared" si="11"/>
        <v>160266.18870415405</v>
      </c>
      <c r="Q154" s="13">
        <f t="shared" si="12"/>
        <v>15</v>
      </c>
      <c r="R154" s="80">
        <f t="shared" si="19"/>
        <v>474508.40169106127</v>
      </c>
      <c r="S154" s="29">
        <f t="shared" si="20"/>
        <v>125165.5312774324</v>
      </c>
      <c r="T154" s="29">
        <f t="shared" si="13"/>
        <v>0</v>
      </c>
      <c r="U154" s="29">
        <f t="shared" si="21"/>
        <v>599673.93296849378</v>
      </c>
      <c r="V154" s="83">
        <f t="shared" si="14"/>
        <v>1.5105136850591783</v>
      </c>
    </row>
    <row r="155" spans="1:22" x14ac:dyDescent="0.2">
      <c r="A155" s="28">
        <f>Calculations!A250</f>
        <v>55</v>
      </c>
      <c r="B155" s="22">
        <f>AnnMiles*Calculations!A250</f>
        <v>1946706.7294520549</v>
      </c>
      <c r="C155" s="22">
        <f>+Calculations!C250</f>
        <v>30699.154618408938</v>
      </c>
      <c r="D155" s="22">
        <f>+Calculations!D250</f>
        <v>548492.55062347394</v>
      </c>
      <c r="E155" s="22">
        <f>+Calculations!E250</f>
        <v>76214.112237936046</v>
      </c>
      <c r="F155" s="78">
        <f t="shared" si="15"/>
        <v>655405.81747981894</v>
      </c>
      <c r="G155" s="22">
        <f>+Calculations!F250</f>
        <v>139577.81672789835</v>
      </c>
      <c r="H155" s="78">
        <f t="shared" si="16"/>
        <v>794983.63420771726</v>
      </c>
      <c r="I155" s="22">
        <f>+Calculations!M250</f>
        <v>28479.321567094197</v>
      </c>
      <c r="J155" s="22">
        <f>+Calculations!N250</f>
        <v>23485.263723662454</v>
      </c>
      <c r="K155" s="22">
        <f>+Calculations!O250</f>
        <v>104304.43484567797</v>
      </c>
      <c r="L155" s="22">
        <f>+Calculations!P250</f>
        <v>31835.350670293308</v>
      </c>
      <c r="M155" s="80">
        <f t="shared" si="17"/>
        <v>188104.37080672791</v>
      </c>
      <c r="N155" s="22">
        <f>+Calculations!Q250</f>
        <v>12494.59117384441</v>
      </c>
      <c r="O155" s="22">
        <f t="shared" si="18"/>
        <v>200598.96198057232</v>
      </c>
      <c r="P155" s="22">
        <f t="shared" si="11"/>
        <v>160266.18870415405</v>
      </c>
      <c r="Q155" s="13">
        <f t="shared" si="12"/>
        <v>15</v>
      </c>
      <c r="R155" s="80">
        <f t="shared" si="19"/>
        <v>500104.99262547883</v>
      </c>
      <c r="S155" s="29">
        <f t="shared" si="20"/>
        <v>134612.45287808441</v>
      </c>
      <c r="T155" s="29">
        <f t="shared" si="13"/>
        <v>0</v>
      </c>
      <c r="U155" s="29">
        <f t="shared" si="21"/>
        <v>634717.44550356315</v>
      </c>
      <c r="V155" s="83">
        <f t="shared" si="14"/>
        <v>1.5987844974900836</v>
      </c>
    </row>
    <row r="156" spans="1:22" x14ac:dyDescent="0.2">
      <c r="A156" s="28">
        <f>Calculations!A251</f>
        <v>56</v>
      </c>
      <c r="B156" s="22">
        <f>AnnMiles*Calculations!A251</f>
        <v>1982101.397260274</v>
      </c>
      <c r="C156" s="22">
        <f>+Calculations!C251</f>
        <v>30699.154618408938</v>
      </c>
      <c r="D156" s="22">
        <f>+Calculations!D251</f>
        <v>573507.48028438608</v>
      </c>
      <c r="E156" s="22">
        <f>+Calculations!E251</f>
        <v>77924.398154857234</v>
      </c>
      <c r="F156" s="78">
        <f t="shared" si="15"/>
        <v>682131.0330576523</v>
      </c>
      <c r="G156" s="22">
        <f>+Calculations!F251</f>
        <v>149710.54263076157</v>
      </c>
      <c r="H156" s="78">
        <f t="shared" si="16"/>
        <v>831841.57568841381</v>
      </c>
      <c r="I156" s="22">
        <f>+Calculations!M251</f>
        <v>28433.182049666881</v>
      </c>
      <c r="J156" s="22">
        <f>+Calculations!N251</f>
        <v>23496.950990996855</v>
      </c>
      <c r="K156" s="22">
        <f>+Calculations!O251</f>
        <v>105064.59347659789</v>
      </c>
      <c r="L156" s="22">
        <f>+Calculations!P251</f>
        <v>31910.019808903675</v>
      </c>
      <c r="M156" s="80">
        <f t="shared" si="17"/>
        <v>188904.7463261653</v>
      </c>
      <c r="N156" s="22">
        <f>+Calculations!Q251</f>
        <v>12716.895548920105</v>
      </c>
      <c r="O156" s="22">
        <f t="shared" si="18"/>
        <v>201621.64187508542</v>
      </c>
      <c r="P156" s="22">
        <f t="shared" si="11"/>
        <v>160266.18870415405</v>
      </c>
      <c r="Q156" s="13">
        <f t="shared" si="12"/>
        <v>15</v>
      </c>
      <c r="R156" s="80">
        <f t="shared" si="19"/>
        <v>526830.20820331224</v>
      </c>
      <c r="S156" s="29">
        <f t="shared" si="20"/>
        <v>144745.17878094764</v>
      </c>
      <c r="T156" s="29">
        <f t="shared" si="13"/>
        <v>0</v>
      </c>
      <c r="U156" s="29">
        <f t="shared" si="21"/>
        <v>671575.38698425982</v>
      </c>
      <c r="V156" s="83">
        <f t="shared" si="14"/>
        <v>1.6916256599099744</v>
      </c>
    </row>
    <row r="157" spans="1:22" x14ac:dyDescent="0.2">
      <c r="A157" s="28">
        <f>Calculations!A252</f>
        <v>57</v>
      </c>
      <c r="B157" s="22">
        <f>AnnMiles*Calculations!A252</f>
        <v>2017496.0650684931</v>
      </c>
      <c r="C157" s="22">
        <f>+Calculations!C252</f>
        <v>30699.154618408938</v>
      </c>
      <c r="D157" s="22">
        <f>+Calculations!D252</f>
        <v>599663.25808485714</v>
      </c>
      <c r="E157" s="22">
        <f>+Calculations!E252</f>
        <v>79673.063813163928</v>
      </c>
      <c r="F157" s="78">
        <f t="shared" si="15"/>
        <v>710035.47651643003</v>
      </c>
      <c r="G157" s="22">
        <f>+Calculations!F252</f>
        <v>160578.85916421001</v>
      </c>
      <c r="H157" s="78">
        <f t="shared" si="16"/>
        <v>870614.33568064007</v>
      </c>
      <c r="I157" s="22">
        <f>+Calculations!M252</f>
        <v>28390.195952011902</v>
      </c>
      <c r="J157" s="22">
        <f>+Calculations!N252</f>
        <v>23507.839488384107</v>
      </c>
      <c r="K157" s="22">
        <f>+Calculations!O252</f>
        <v>105812.34188054845</v>
      </c>
      <c r="L157" s="22">
        <f>+Calculations!P252</f>
        <v>31982.229344589126</v>
      </c>
      <c r="M157" s="80">
        <f t="shared" si="17"/>
        <v>189692.60666553356</v>
      </c>
      <c r="N157" s="22">
        <f>+Calculations!Q252</f>
        <v>12940.437493550906</v>
      </c>
      <c r="O157" s="22">
        <f t="shared" si="18"/>
        <v>202633.04415908447</v>
      </c>
      <c r="P157" s="22">
        <f t="shared" si="11"/>
        <v>160266.18870415405</v>
      </c>
      <c r="Q157" s="13">
        <f t="shared" si="12"/>
        <v>15</v>
      </c>
      <c r="R157" s="80">
        <f t="shared" si="19"/>
        <v>554734.65166208986</v>
      </c>
      <c r="S157" s="29">
        <f t="shared" si="20"/>
        <v>155613.49531439607</v>
      </c>
      <c r="T157" s="29">
        <f t="shared" si="13"/>
        <v>0</v>
      </c>
      <c r="U157" s="29">
        <f t="shared" si="21"/>
        <v>710348.14697648608</v>
      </c>
      <c r="V157" s="83">
        <f t="shared" si="14"/>
        <v>1.7892900427619296</v>
      </c>
    </row>
    <row r="158" spans="1:22" x14ac:dyDescent="0.2">
      <c r="A158" s="28">
        <f>Calculations!A253</f>
        <v>58</v>
      </c>
      <c r="B158" s="22">
        <f>AnnMiles*Calculations!A253</f>
        <v>2052890.7328767125</v>
      </c>
      <c r="C158" s="22">
        <f>+Calculations!C253</f>
        <v>30699.154618408938</v>
      </c>
      <c r="D158" s="22">
        <f>+Calculations!D253</f>
        <v>627011.91433219402</v>
      </c>
      <c r="E158" s="22">
        <f>+Calculations!E253</f>
        <v>81460.970475019538</v>
      </c>
      <c r="F158" s="78">
        <f t="shared" si="15"/>
        <v>739172.03942562256</v>
      </c>
      <c r="G158" s="22">
        <f>+Calculations!F253</f>
        <v>172236.16692162663</v>
      </c>
      <c r="H158" s="78">
        <f t="shared" si="16"/>
        <v>911408.20634724922</v>
      </c>
      <c r="I158" s="22">
        <f>+Calculations!M253</f>
        <v>28350.139361969694</v>
      </c>
      <c r="J158" s="22">
        <f>+Calculations!N253</f>
        <v>23517.985933393305</v>
      </c>
      <c r="K158" s="22">
        <f>+Calculations!O253</f>
        <v>106547.71819282032</v>
      </c>
      <c r="L158" s="22">
        <f>+Calculations!P253</f>
        <v>32052.0404037525</v>
      </c>
      <c r="M158" s="80">
        <f t="shared" si="17"/>
        <v>190467.88389193584</v>
      </c>
      <c r="N158" s="22">
        <f>+Calculations!Q253</f>
        <v>13165.192678050496</v>
      </c>
      <c r="O158" s="22">
        <f t="shared" si="18"/>
        <v>203633.07656998633</v>
      </c>
      <c r="P158" s="22">
        <f t="shared" si="11"/>
        <v>160266.18870415405</v>
      </c>
      <c r="Q158" s="13">
        <f t="shared" si="12"/>
        <v>15</v>
      </c>
      <c r="R158" s="80">
        <f t="shared" si="19"/>
        <v>583871.2145712825</v>
      </c>
      <c r="S158" s="29">
        <f t="shared" si="20"/>
        <v>167270.8030718127</v>
      </c>
      <c r="T158" s="29">
        <f t="shared" si="13"/>
        <v>0</v>
      </c>
      <c r="U158" s="29">
        <f t="shared" si="21"/>
        <v>751142.01764309523</v>
      </c>
      <c r="V158" s="83">
        <f t="shared" si="14"/>
        <v>1.8920453844914238</v>
      </c>
    </row>
    <row r="159" spans="1:22" x14ac:dyDescent="0.2">
      <c r="A159" s="28">
        <f>Calculations!A254</f>
        <v>59</v>
      </c>
      <c r="B159" s="22">
        <f>AnnMiles*Calculations!A254</f>
        <v>2088285.4006849315</v>
      </c>
      <c r="C159" s="22">
        <f>+Calculations!C254</f>
        <v>30699.154618408938</v>
      </c>
      <c r="D159" s="22">
        <f>+Calculations!D254</f>
        <v>655607.85226379381</v>
      </c>
      <c r="E159" s="22">
        <f>+Calculations!E254</f>
        <v>83288.998729776387</v>
      </c>
      <c r="F159" s="78">
        <f t="shared" si="15"/>
        <v>769596.00561197917</v>
      </c>
      <c r="G159" s="22">
        <f>+Calculations!F254</f>
        <v>184739.74314089707</v>
      </c>
      <c r="H159" s="78">
        <f t="shared" si="16"/>
        <v>954335.74875287618</v>
      </c>
      <c r="I159" s="22">
        <f>+Calculations!M254</f>
        <v>28312.805345815887</v>
      </c>
      <c r="J159" s="22">
        <f>+Calculations!N254</f>
        <v>23527.442742909006</v>
      </c>
      <c r="K159" s="22">
        <f>+Calculations!O254</f>
        <v>107270.77001465079</v>
      </c>
      <c r="L159" s="22">
        <f>+Calculations!P254</f>
        <v>32119.513843843666</v>
      </c>
      <c r="M159" s="80">
        <f t="shared" si="17"/>
        <v>191230.53194721934</v>
      </c>
      <c r="N159" s="22">
        <f>+Calculations!Q254</f>
        <v>13391.137494644787</v>
      </c>
      <c r="O159" s="22">
        <f t="shared" si="18"/>
        <v>204621.66944186413</v>
      </c>
      <c r="P159" s="22">
        <f t="shared" si="11"/>
        <v>160266.18870415405</v>
      </c>
      <c r="Q159" s="13">
        <f t="shared" si="12"/>
        <v>15</v>
      </c>
      <c r="R159" s="80">
        <f t="shared" si="19"/>
        <v>614295.180757639</v>
      </c>
      <c r="S159" s="29">
        <f t="shared" si="20"/>
        <v>179774.37929108314</v>
      </c>
      <c r="T159" s="29">
        <f t="shared" si="13"/>
        <v>0</v>
      </c>
      <c r="U159" s="29">
        <f t="shared" si="21"/>
        <v>794069.5600487222</v>
      </c>
      <c r="V159" s="83">
        <f t="shared" si="14"/>
        <v>2.0001752142285194</v>
      </c>
    </row>
    <row r="160" spans="1:22" ht="13.5" thickBot="1" x14ac:dyDescent="0.25">
      <c r="A160" s="74">
        <f>Calculations!A255</f>
        <v>60</v>
      </c>
      <c r="B160" s="23">
        <f>AnnMiles*Calculations!A255</f>
        <v>2123680.0684931506</v>
      </c>
      <c r="C160" s="23">
        <f>+Calculations!C255</f>
        <v>30699.154618408938</v>
      </c>
      <c r="D160" s="23">
        <f>+Calculations!D255</f>
        <v>685507.95626863209</v>
      </c>
      <c r="E160" s="23">
        <f>+Calculations!E255</f>
        <v>85158.048927688418</v>
      </c>
      <c r="F160" s="79">
        <f t="shared" si="15"/>
        <v>801365.15981472947</v>
      </c>
      <c r="G160" s="23">
        <f>+Calculations!F255</f>
        <v>198151.02313147989</v>
      </c>
      <c r="H160" s="79">
        <f t="shared" si="16"/>
        <v>999516.18294620933</v>
      </c>
      <c r="I160" s="23">
        <f>+Calculations!M255</f>
        <v>28278.002523507723</v>
      </c>
      <c r="J160" s="23">
        <f>+Calculations!N255</f>
        <v>23536.258394025164</v>
      </c>
      <c r="K160" s="23">
        <f>+Calculations!O255</f>
        <v>107981.55390905366</v>
      </c>
      <c r="L160" s="23">
        <f>+Calculations!P255</f>
        <v>32184.710163652406</v>
      </c>
      <c r="M160" s="81">
        <f t="shared" si="17"/>
        <v>191980.52499023895</v>
      </c>
      <c r="N160" s="23">
        <f>+Calculations!Q255</f>
        <v>13618.249057450261</v>
      </c>
      <c r="O160" s="23">
        <f t="shared" si="18"/>
        <v>205598.77404768922</v>
      </c>
      <c r="P160" s="264">
        <f t="shared" si="11"/>
        <v>160266.18870415405</v>
      </c>
      <c r="Q160" s="265">
        <f t="shared" si="12"/>
        <v>15</v>
      </c>
      <c r="R160" s="81">
        <f t="shared" si="19"/>
        <v>646064.33496038942</v>
      </c>
      <c r="S160" s="32">
        <f t="shared" si="20"/>
        <v>193185.65928166595</v>
      </c>
      <c r="T160" s="32">
        <f t="shared" si="13"/>
        <v>0</v>
      </c>
      <c r="U160" s="32">
        <f t="shared" si="21"/>
        <v>839249.99424205534</v>
      </c>
      <c r="V160" s="263">
        <f t="shared" si="14"/>
        <v>2.1139798343628597</v>
      </c>
    </row>
    <row r="162" spans="1:27" ht="12.75" customHeight="1" x14ac:dyDescent="0.2">
      <c r="A162" s="110" t="s">
        <v>94</v>
      </c>
      <c r="B162" s="7"/>
      <c r="C162" s="7"/>
      <c r="D162" s="7"/>
    </row>
    <row r="163" spans="1:27" x14ac:dyDescent="0.2">
      <c r="A163" s="7"/>
      <c r="B163" s="4" t="s">
        <v>92</v>
      </c>
      <c r="C163" s="4" t="s">
        <v>93</v>
      </c>
      <c r="D163" s="4" t="s">
        <v>91</v>
      </c>
    </row>
    <row r="164" spans="1:27" x14ac:dyDescent="0.2">
      <c r="A164" s="7"/>
      <c r="B164" s="111">
        <f>+Calculations!B260</f>
        <v>3.5862697557531716E-4</v>
      </c>
      <c r="C164" s="111">
        <f>+Calculations!C260</f>
        <v>4.0841052522870092E-3</v>
      </c>
      <c r="D164" s="111">
        <f>+Calculations!D260</f>
        <v>-0.14976488233589708</v>
      </c>
    </row>
    <row r="165" spans="1:27" x14ac:dyDescent="0.2">
      <c r="U165" s="1"/>
      <c r="V165" s="1"/>
      <c r="W165" s="1"/>
      <c r="X165" s="1"/>
      <c r="Y165" s="1"/>
      <c r="Z165" s="1"/>
      <c r="AA165" s="1"/>
    </row>
    <row r="167" spans="1:27" x14ac:dyDescent="0.2">
      <c r="A167" s="10" t="s">
        <v>320</v>
      </c>
    </row>
    <row r="168" spans="1:27" x14ac:dyDescent="0.2">
      <c r="K168" s="11"/>
      <c r="L168" s="11"/>
      <c r="M168" s="7"/>
    </row>
    <row r="169" spans="1:27" x14ac:dyDescent="0.2">
      <c r="A169" s="266"/>
      <c r="B169" s="266" t="s">
        <v>321</v>
      </c>
      <c r="C169" s="266" t="s">
        <v>322</v>
      </c>
      <c r="K169" s="7"/>
      <c r="L169" s="7"/>
      <c r="M169" s="7"/>
    </row>
    <row r="170" spans="1:27" ht="12.75" customHeight="1" x14ac:dyDescent="0.2">
      <c r="A170" s="266" t="s">
        <v>28</v>
      </c>
      <c r="B170" s="266" t="s">
        <v>13</v>
      </c>
      <c r="C170" s="266" t="s">
        <v>323</v>
      </c>
      <c r="K170" s="309"/>
      <c r="L170" s="12"/>
      <c r="M170" s="7"/>
    </row>
    <row r="171" spans="1:27" ht="12.75" customHeight="1" x14ac:dyDescent="0.2">
      <c r="A171" s="3">
        <f t="shared" ref="A171:A179" si="22">+A172-1</f>
        <v>5</v>
      </c>
      <c r="B171" s="267">
        <f>INDEX($V$101:$V$160,A171)</f>
        <v>-0.12337768941853297</v>
      </c>
      <c r="C171" s="268">
        <f>INDEX($U$101:$U$160,A171)</f>
        <v>-48980.942699157589</v>
      </c>
      <c r="K171" s="309"/>
      <c r="L171" s="12"/>
      <c r="M171" s="7"/>
    </row>
    <row r="172" spans="1:27" x14ac:dyDescent="0.2">
      <c r="A172" s="3">
        <f t="shared" si="22"/>
        <v>6</v>
      </c>
      <c r="B172" s="267">
        <f t="shared" ref="B172:B191" si="23">INDEX($V$101:$V$160,A172)</f>
        <v>-0.11311212713424758</v>
      </c>
      <c r="C172" s="268">
        <f t="shared" ref="C172:C191" si="24">INDEX($U$101:$U$160,A172)</f>
        <v>-44905.514472296287</v>
      </c>
      <c r="K172" s="309"/>
      <c r="L172" s="12"/>
      <c r="M172" s="7"/>
    </row>
    <row r="173" spans="1:27" x14ac:dyDescent="0.2">
      <c r="A173" s="3">
        <f t="shared" si="22"/>
        <v>7</v>
      </c>
      <c r="B173" s="267">
        <f t="shared" si="23"/>
        <v>-0.10312956112715779</v>
      </c>
      <c r="C173" s="268">
        <f t="shared" si="24"/>
        <v>-40942.435767481642</v>
      </c>
      <c r="K173" s="13"/>
      <c r="L173" s="13"/>
      <c r="M173" s="7"/>
    </row>
    <row r="174" spans="1:27" x14ac:dyDescent="0.2">
      <c r="A174" s="3">
        <f t="shared" si="22"/>
        <v>8</v>
      </c>
      <c r="B174" s="267">
        <f t="shared" si="23"/>
        <v>-9.2960446556879059E-2</v>
      </c>
      <c r="C174" s="268">
        <f t="shared" si="24"/>
        <v>-36905.297283080989</v>
      </c>
      <c r="K174" s="13"/>
      <c r="L174" s="13"/>
      <c r="M174" s="7"/>
    </row>
    <row r="175" spans="1:27" x14ac:dyDescent="0.2">
      <c r="A175" s="3">
        <f t="shared" si="22"/>
        <v>9</v>
      </c>
      <c r="B175" s="267">
        <f t="shared" si="23"/>
        <v>-8.2422262720791756E-2</v>
      </c>
      <c r="C175" s="268">
        <f t="shared" si="24"/>
        <v>-32721.638300154329</v>
      </c>
      <c r="K175" s="13"/>
      <c r="L175" s="13"/>
      <c r="M175" s="7"/>
    </row>
    <row r="176" spans="1:27" x14ac:dyDescent="0.2">
      <c r="A176" s="3">
        <f t="shared" si="22"/>
        <v>10</v>
      </c>
      <c r="B176" s="267">
        <f t="shared" si="23"/>
        <v>-7.1448262640818577E-2</v>
      </c>
      <c r="C176" s="268">
        <f t="shared" si="24"/>
        <v>-28364.960268404975</v>
      </c>
      <c r="K176" s="13"/>
      <c r="L176" s="13"/>
      <c r="M176" s="7"/>
      <c r="U176" s="3"/>
    </row>
    <row r="177" spans="1:21" x14ac:dyDescent="0.2">
      <c r="A177" s="3">
        <f t="shared" si="22"/>
        <v>11</v>
      </c>
      <c r="B177" s="267">
        <f t="shared" si="23"/>
        <v>-5.999775208579413E-2</v>
      </c>
      <c r="C177" s="268">
        <f t="shared" si="24"/>
        <v>-23819.10757806027</v>
      </c>
      <c r="K177" s="13"/>
      <c r="L177" s="13"/>
      <c r="M177" s="7"/>
      <c r="U177" s="3"/>
    </row>
    <row r="178" spans="1:21" x14ac:dyDescent="0.2">
      <c r="A178" s="3">
        <f t="shared" si="22"/>
        <v>12</v>
      </c>
      <c r="B178" s="267">
        <f t="shared" si="23"/>
        <v>-4.8020738401660025E-2</v>
      </c>
      <c r="C178" s="268">
        <f t="shared" si="24"/>
        <v>-19064.233145459031</v>
      </c>
      <c r="K178" s="13"/>
      <c r="L178" s="13"/>
      <c r="M178" s="7"/>
    </row>
    <row r="179" spans="1:21" x14ac:dyDescent="0.2">
      <c r="A179" s="3">
        <f t="shared" si="22"/>
        <v>13</v>
      </c>
      <c r="B179" s="267">
        <f t="shared" si="23"/>
        <v>-3.5453105800433531E-2</v>
      </c>
      <c r="C179" s="268">
        <f t="shared" si="24"/>
        <v>-14074.883002772112</v>
      </c>
      <c r="K179" s="13"/>
      <c r="L179" s="13"/>
      <c r="M179" s="7"/>
    </row>
    <row r="180" spans="1:21" x14ac:dyDescent="0.2">
      <c r="A180" s="3">
        <f>+A181-1</f>
        <v>14</v>
      </c>
      <c r="B180" s="267">
        <f t="shared" si="23"/>
        <v>-2.2223563826288921E-2</v>
      </c>
      <c r="C180" s="268">
        <f t="shared" si="24"/>
        <v>-8822.754839036701</v>
      </c>
      <c r="K180" s="13"/>
      <c r="L180" s="13"/>
      <c r="M180" s="7"/>
    </row>
    <row r="181" spans="1:21" x14ac:dyDescent="0.2">
      <c r="A181" s="3">
        <f>MAX(11,MIN(50,F39))</f>
        <v>15</v>
      </c>
      <c r="B181" s="267">
        <f t="shared" si="23"/>
        <v>-8.261701915040583E-3</v>
      </c>
      <c r="C181" s="268">
        <f t="shared" si="24"/>
        <v>-3279.8956602711114</v>
      </c>
      <c r="K181" s="13"/>
      <c r="L181" s="13"/>
      <c r="M181" s="7"/>
    </row>
    <row r="182" spans="1:21" x14ac:dyDescent="0.2">
      <c r="A182" s="3">
        <f>1+A181</f>
        <v>16</v>
      </c>
      <c r="B182" s="267">
        <f t="shared" si="23"/>
        <v>6.4962641766586754E-3</v>
      </c>
      <c r="C182" s="268">
        <f t="shared" si="24"/>
        <v>2579.0168781334942</v>
      </c>
      <c r="K182" s="13"/>
      <c r="L182" s="13"/>
      <c r="M182" s="7"/>
    </row>
    <row r="183" spans="1:21" x14ac:dyDescent="0.2">
      <c r="A183" s="3">
        <f t="shared" ref="A183:A191" si="25">1+A182</f>
        <v>17</v>
      </c>
      <c r="B183" s="267">
        <f t="shared" si="23"/>
        <v>2.2103581337260054E-2</v>
      </c>
      <c r="C183" s="268">
        <f t="shared" si="24"/>
        <v>8775.1217908922408</v>
      </c>
      <c r="K183" s="13"/>
      <c r="L183" s="13"/>
      <c r="M183" s="7"/>
    </row>
    <row r="184" spans="1:21" x14ac:dyDescent="0.2">
      <c r="A184" s="3">
        <f t="shared" si="25"/>
        <v>18</v>
      </c>
      <c r="B184" s="267">
        <f t="shared" si="23"/>
        <v>3.8599547234495081E-2</v>
      </c>
      <c r="C184" s="268">
        <f t="shared" si="24"/>
        <v>15324.020252094546</v>
      </c>
      <c r="K184" s="13"/>
      <c r="L184" s="13"/>
      <c r="M184" s="7"/>
    </row>
    <row r="185" spans="1:21" x14ac:dyDescent="0.2">
      <c r="A185" s="3">
        <f t="shared" si="25"/>
        <v>19</v>
      </c>
      <c r="B185" s="267">
        <f t="shared" si="23"/>
        <v>5.6005826411980882E-2</v>
      </c>
      <c r="C185" s="268">
        <f t="shared" si="24"/>
        <v>22234.313085556409</v>
      </c>
      <c r="K185" s="13"/>
      <c r="L185" s="13"/>
      <c r="M185" s="7"/>
    </row>
    <row r="186" spans="1:21" x14ac:dyDescent="0.2">
      <c r="A186" s="3">
        <f t="shared" si="25"/>
        <v>20</v>
      </c>
      <c r="B186" s="267">
        <f t="shared" si="23"/>
        <v>7.4322504177703266E-2</v>
      </c>
      <c r="C186" s="268">
        <f t="shared" si="24"/>
        <v>29506.034158548195</v>
      </c>
      <c r="K186" s="13"/>
      <c r="L186" s="13"/>
      <c r="M186" s="7"/>
    </row>
    <row r="187" spans="1:21" x14ac:dyDescent="0.2">
      <c r="A187" s="3">
        <f t="shared" si="25"/>
        <v>21</v>
      </c>
      <c r="B187" s="267">
        <f t="shared" si="23"/>
        <v>9.3524460996262604E-2</v>
      </c>
      <c r="C187" s="268">
        <f t="shared" si="24"/>
        <v>37129.211015516252</v>
      </c>
      <c r="K187" s="13"/>
      <c r="L187" s="13"/>
      <c r="M187" s="7"/>
    </row>
    <row r="188" spans="1:21" x14ac:dyDescent="0.2">
      <c r="A188" s="3">
        <f t="shared" si="25"/>
        <v>22</v>
      </c>
      <c r="B188" s="267">
        <f t="shared" si="23"/>
        <v>0.11355904393662847</v>
      </c>
      <c r="C188" s="268">
        <f t="shared" si="24"/>
        <v>45082.9404428415</v>
      </c>
      <c r="K188" s="13"/>
      <c r="L188" s="13"/>
      <c r="M188" s="7"/>
    </row>
    <row r="189" spans="1:21" x14ac:dyDescent="0.2">
      <c r="A189" s="3">
        <f t="shared" si="25"/>
        <v>23</v>
      </c>
      <c r="B189" s="267">
        <f t="shared" si="23"/>
        <v>0.13434629931358472</v>
      </c>
      <c r="C189" s="268">
        <f t="shared" si="24"/>
        <v>53335.480827493127</v>
      </c>
      <c r="K189" s="13"/>
      <c r="L189" s="13"/>
      <c r="M189" s="7"/>
    </row>
    <row r="190" spans="1:21" x14ac:dyDescent="0.2">
      <c r="A190" s="3">
        <f t="shared" si="25"/>
        <v>24</v>
      </c>
      <c r="B190" s="267">
        <f t="shared" si="23"/>
        <v>0.15578312735614966</v>
      </c>
      <c r="C190" s="268">
        <f t="shared" si="24"/>
        <v>61845.901560391416</v>
      </c>
      <c r="K190" s="13"/>
      <c r="L190" s="13"/>
      <c r="M190" s="7"/>
    </row>
    <row r="191" spans="1:21" ht="12.75" customHeight="1" x14ac:dyDescent="0.2">
      <c r="A191" s="3">
        <f t="shared" si="25"/>
        <v>25</v>
      </c>
      <c r="B191" s="267">
        <f t="shared" si="23"/>
        <v>0.17775241288985888</v>
      </c>
      <c r="C191" s="268">
        <f t="shared" si="24"/>
        <v>70567.707917273976</v>
      </c>
      <c r="K191" s="13"/>
      <c r="L191" s="13"/>
      <c r="M191" s="7"/>
    </row>
    <row r="192" spans="1:21" ht="12.75" customHeight="1" x14ac:dyDescent="0.2">
      <c r="A192" s="3"/>
      <c r="K192" s="13"/>
      <c r="L192" s="13"/>
      <c r="M192" s="7"/>
    </row>
    <row r="193" spans="11:13" x14ac:dyDescent="0.2">
      <c r="K193" s="13"/>
      <c r="L193" s="13"/>
      <c r="M193" s="7"/>
    </row>
    <row r="194" spans="11:13" x14ac:dyDescent="0.2">
      <c r="K194" s="13"/>
      <c r="L194" s="13"/>
      <c r="M194" s="7"/>
    </row>
    <row r="195" spans="11:13" x14ac:dyDescent="0.2">
      <c r="K195" s="13"/>
      <c r="L195" s="13"/>
      <c r="M195" s="7"/>
    </row>
    <row r="196" spans="11:13" x14ac:dyDescent="0.2">
      <c r="K196" s="13"/>
      <c r="L196" s="13"/>
      <c r="M196" s="7"/>
    </row>
    <row r="197" spans="11:13" x14ac:dyDescent="0.2">
      <c r="K197" s="13"/>
      <c r="L197" s="13"/>
      <c r="M197" s="7"/>
    </row>
    <row r="198" spans="11:13" x14ac:dyDescent="0.2">
      <c r="K198" s="7"/>
      <c r="L198" s="7"/>
      <c r="M198" s="7"/>
    </row>
    <row r="199" spans="11:13" x14ac:dyDescent="0.2">
      <c r="K199" s="7"/>
      <c r="L199" s="7"/>
      <c r="M199" s="7"/>
    </row>
  </sheetData>
  <mergeCells count="14">
    <mergeCell ref="R98:U99"/>
    <mergeCell ref="V98:V100"/>
    <mergeCell ref="K170:K172"/>
    <mergeCell ref="G99:G100"/>
    <mergeCell ref="I99:M99"/>
    <mergeCell ref="N99:N100"/>
    <mergeCell ref="O99:O100"/>
    <mergeCell ref="E45:F45"/>
    <mergeCell ref="I98:O98"/>
    <mergeCell ref="P98:Q99"/>
    <mergeCell ref="B98:B100"/>
    <mergeCell ref="C99:F99"/>
    <mergeCell ref="C98:H98"/>
    <mergeCell ref="H99:H100"/>
  </mergeCells>
  <phoneticPr fontId="2" type="noConversion"/>
  <pageMargins left="0.75" right="0.75" top="1" bottom="1" header="0.5" footer="0.5"/>
  <pageSetup scale="59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7"/>
  <sheetViews>
    <sheetView workbookViewId="0">
      <selection activeCell="I27" sqref="I27"/>
    </sheetView>
  </sheetViews>
  <sheetFormatPr defaultRowHeight="12.75" x14ac:dyDescent="0.2"/>
  <cols>
    <col min="1" max="1" width="8.7109375" customWidth="1"/>
    <col min="2" max="2" width="18.7109375" customWidth="1"/>
    <col min="3" max="9" width="10.7109375" customWidth="1"/>
  </cols>
  <sheetData>
    <row r="1" spans="1:9" x14ac:dyDescent="0.2">
      <c r="A1" s="9" t="s">
        <v>62</v>
      </c>
    </row>
    <row r="2" spans="1:9" x14ac:dyDescent="0.2">
      <c r="A2" s="9" t="s">
        <v>63</v>
      </c>
    </row>
    <row r="4" spans="1:9" ht="13.5" thickBot="1" x14ac:dyDescent="0.25">
      <c r="A4" s="10" t="s">
        <v>64</v>
      </c>
    </row>
    <row r="5" spans="1:9" x14ac:dyDescent="0.2">
      <c r="A5" s="313" t="s">
        <v>5</v>
      </c>
      <c r="B5" s="315" t="s">
        <v>58</v>
      </c>
      <c r="C5" s="311" t="s">
        <v>26</v>
      </c>
      <c r="D5" s="311"/>
      <c r="E5" s="311"/>
      <c r="F5" s="311"/>
      <c r="G5" s="311"/>
      <c r="H5" s="311"/>
      <c r="I5" s="312"/>
    </row>
    <row r="6" spans="1:9" x14ac:dyDescent="0.2">
      <c r="A6" s="314"/>
      <c r="B6" s="316"/>
      <c r="C6" s="317" t="s">
        <v>59</v>
      </c>
      <c r="D6" s="317"/>
      <c r="E6" s="317"/>
      <c r="F6" s="317"/>
      <c r="G6" s="298"/>
      <c r="H6" s="318" t="s">
        <v>11</v>
      </c>
      <c r="I6" s="319" t="s">
        <v>12</v>
      </c>
    </row>
    <row r="7" spans="1:9" ht="12.75" customHeight="1" x14ac:dyDescent="0.2">
      <c r="A7" s="314"/>
      <c r="B7" s="316"/>
      <c r="C7" s="21" t="s">
        <v>6</v>
      </c>
      <c r="D7" s="4" t="s">
        <v>61</v>
      </c>
      <c r="E7" s="4" t="s">
        <v>60</v>
      </c>
      <c r="F7" s="4" t="s">
        <v>298</v>
      </c>
      <c r="G7" s="4" t="s">
        <v>10</v>
      </c>
      <c r="H7" s="318"/>
      <c r="I7" s="319"/>
    </row>
    <row r="8" spans="1:9" x14ac:dyDescent="0.2">
      <c r="A8" s="14">
        <f>+BaseYear+1</f>
        <v>2010</v>
      </c>
      <c r="B8" s="18">
        <f>Inputs_Results!F38</f>
        <v>530920.01712328766</v>
      </c>
      <c r="C8" s="13">
        <f>+Calculations!BC39/1000</f>
        <v>0</v>
      </c>
      <c r="D8" s="26">
        <f>+Calculations!BC69/1000</f>
        <v>19667.179524966785</v>
      </c>
      <c r="E8" s="26">
        <f>Calculations!BC132/1000</f>
        <v>61249.645560818164</v>
      </c>
      <c r="F8" s="26">
        <f>+Calculations!BC102/1000</f>
        <v>23471.82837515631</v>
      </c>
      <c r="G8" s="26">
        <f t="shared" ref="G8:G37" si="0">SUM(C8:F8)</f>
        <v>104388.65346094126</v>
      </c>
      <c r="H8" s="22">
        <f>+Calculations!BC162/1000</f>
        <v>4955.4698874473961</v>
      </c>
      <c r="I8" s="24">
        <f t="shared" ref="I8:I37" si="1">SUM(G8:H8)</f>
        <v>109344.12334838866</v>
      </c>
    </row>
    <row r="9" spans="1:9" x14ac:dyDescent="0.2">
      <c r="A9" s="14">
        <f t="shared" ref="A9:A37" si="2">1+A8</f>
        <v>2011</v>
      </c>
      <c r="B9" s="19">
        <f>B8</f>
        <v>530920.01712328766</v>
      </c>
      <c r="C9" s="13">
        <f>+Calculations!BC40/1000</f>
        <v>0</v>
      </c>
      <c r="D9" s="26">
        <f>+Calculations!BC70/1000</f>
        <v>20238.936081844819</v>
      </c>
      <c r="E9" s="26">
        <f>Calculations!BC133/1000</f>
        <v>64043.039151520687</v>
      </c>
      <c r="F9" s="26">
        <f>+Calculations!BC103/1000</f>
        <v>23998.548904145682</v>
      </c>
      <c r="G9" s="26">
        <f t="shared" si="0"/>
        <v>108280.52413751118</v>
      </c>
      <c r="H9" s="22">
        <f>+Calculations!BC163/1000</f>
        <v>5315.2148617314151</v>
      </c>
      <c r="I9" s="24">
        <f t="shared" si="1"/>
        <v>113595.73899924259</v>
      </c>
    </row>
    <row r="10" spans="1:9" x14ac:dyDescent="0.2">
      <c r="A10" s="14">
        <f t="shared" si="2"/>
        <v>2012</v>
      </c>
      <c r="B10" s="19">
        <f t="shared" ref="B10:B37" si="3">B9</f>
        <v>530920.01712328766</v>
      </c>
      <c r="C10" s="13">
        <f>+Calculations!BC41/1000</f>
        <v>46449</v>
      </c>
      <c r="D10" s="26">
        <f>+Calculations!BC71/1000</f>
        <v>18347.587217798104</v>
      </c>
      <c r="E10" s="26">
        <f>Calculations!BC134/1000</f>
        <v>64116.822226593431</v>
      </c>
      <c r="F10" s="26">
        <f>+Calculations!BC104/1000</f>
        <v>23990.210305743411</v>
      </c>
      <c r="G10" s="26">
        <f t="shared" si="0"/>
        <v>152903.61975013494</v>
      </c>
      <c r="H10" s="22">
        <f>+Calculations!BC164/1000</f>
        <v>5340.4732063352967</v>
      </c>
      <c r="I10" s="24">
        <f t="shared" si="1"/>
        <v>158244.09295647024</v>
      </c>
    </row>
    <row r="11" spans="1:9" x14ac:dyDescent="0.2">
      <c r="A11" s="14">
        <f t="shared" si="2"/>
        <v>2013</v>
      </c>
      <c r="B11" s="19">
        <f t="shared" si="3"/>
        <v>530920.01712328766</v>
      </c>
      <c r="C11" s="13">
        <f>+Calculations!BC42/1000</f>
        <v>63123</v>
      </c>
      <c r="D11" s="26">
        <f>+Calculations!BC72/1000</f>
        <v>16447.070887942831</v>
      </c>
      <c r="E11" s="26">
        <f>Calculations!BC135/1000</f>
        <v>60284.681656984591</v>
      </c>
      <c r="F11" s="26">
        <f>+Calculations!BC105/1000</f>
        <v>23236.297078059324</v>
      </c>
      <c r="G11" s="26">
        <f t="shared" si="0"/>
        <v>163091.04962298673</v>
      </c>
      <c r="H11" s="22">
        <f>+Calculations!BC165/1000</f>
        <v>4868.2515986983763</v>
      </c>
      <c r="I11" s="24">
        <f t="shared" si="1"/>
        <v>167959.30122168511</v>
      </c>
    </row>
    <row r="12" spans="1:9" x14ac:dyDescent="0.2">
      <c r="A12" s="14">
        <f t="shared" si="2"/>
        <v>2014</v>
      </c>
      <c r="B12" s="19">
        <f t="shared" si="3"/>
        <v>530920.01712328766</v>
      </c>
      <c r="C12" s="13">
        <f>+Calculations!BC43/1000</f>
        <v>0</v>
      </c>
      <c r="D12" s="26">
        <f>+Calculations!BC73/1000</f>
        <v>18385.659392240737</v>
      </c>
      <c r="E12" s="26">
        <f>Calculations!BC136/1000</f>
        <v>59102.271900362568</v>
      </c>
      <c r="F12" s="26">
        <f>+Calculations!BC106/1000</f>
        <v>23010.197776264984</v>
      </c>
      <c r="G12" s="26">
        <f t="shared" si="0"/>
        <v>100498.12906886829</v>
      </c>
      <c r="H12" s="22">
        <f>+Calculations!BC166/1000</f>
        <v>4717.8632247048618</v>
      </c>
      <c r="I12" s="24">
        <f t="shared" si="1"/>
        <v>105215.99229357316</v>
      </c>
    </row>
    <row r="13" spans="1:9" x14ac:dyDescent="0.2">
      <c r="A13" s="14">
        <f t="shared" si="2"/>
        <v>2015</v>
      </c>
      <c r="B13" s="19">
        <f t="shared" si="3"/>
        <v>530920.01712328766</v>
      </c>
      <c r="C13" s="13">
        <f>+Calculations!BC44/1000</f>
        <v>0</v>
      </c>
      <c r="D13" s="26">
        <f>+Calculations!BC74/1000</f>
        <v>19639.64118552587</v>
      </c>
      <c r="E13" s="26">
        <f>Calculations!BC137/1000</f>
        <v>61797.73088646392</v>
      </c>
      <c r="F13" s="26">
        <f>+Calculations!BC107/1000</f>
        <v>23526.559064833906</v>
      </c>
      <c r="G13" s="26">
        <f t="shared" si="0"/>
        <v>104963.9311368237</v>
      </c>
      <c r="H13" s="22">
        <f>+Calculations!BC167/1000</f>
        <v>5060.3590168286682</v>
      </c>
      <c r="I13" s="24">
        <f t="shared" si="1"/>
        <v>110024.29015365237</v>
      </c>
    </row>
    <row r="14" spans="1:9" x14ac:dyDescent="0.2">
      <c r="A14" s="14">
        <f t="shared" si="2"/>
        <v>2016</v>
      </c>
      <c r="B14" s="19">
        <f t="shared" si="3"/>
        <v>530920.01712328766</v>
      </c>
      <c r="C14" s="13">
        <f>+Calculations!BC45/1000</f>
        <v>75430</v>
      </c>
      <c r="D14" s="26">
        <f>+Calculations!BC75/1000</f>
        <v>16736.130451226993</v>
      </c>
      <c r="E14" s="26">
        <f>Calculations!BC138/1000</f>
        <v>60304.573520277554</v>
      </c>
      <c r="F14" s="26">
        <f>+Calculations!BC108/1000</f>
        <v>23217.783420738218</v>
      </c>
      <c r="G14" s="26">
        <f t="shared" si="0"/>
        <v>175688.48739224274</v>
      </c>
      <c r="H14" s="22">
        <f>+Calculations!BC168/1000</f>
        <v>4888.5690330245916</v>
      </c>
      <c r="I14" s="24">
        <f t="shared" si="1"/>
        <v>180577.05642526734</v>
      </c>
    </row>
    <row r="15" spans="1:9" x14ac:dyDescent="0.2">
      <c r="A15" s="14">
        <f t="shared" si="2"/>
        <v>2017</v>
      </c>
      <c r="B15" s="19">
        <f t="shared" si="3"/>
        <v>530920.01712328766</v>
      </c>
      <c r="C15" s="13">
        <f>+Calculations!BC46/1000</f>
        <v>3970</v>
      </c>
      <c r="D15" s="26">
        <f>+Calculations!BC76/1000</f>
        <v>18317.707410738072</v>
      </c>
      <c r="E15" s="26">
        <f>Calculations!BC139/1000</f>
        <v>58407.095079402367</v>
      </c>
      <c r="F15" s="26">
        <f>+Calculations!BC109/1000</f>
        <v>22846.709803961465</v>
      </c>
      <c r="G15" s="26">
        <f t="shared" si="0"/>
        <v>103541.51229410191</v>
      </c>
      <c r="H15" s="22">
        <f>+Calculations!BC169/1000</f>
        <v>4654.9102327117726</v>
      </c>
      <c r="I15" s="24">
        <f t="shared" si="1"/>
        <v>108196.42252681368</v>
      </c>
    </row>
    <row r="16" spans="1:9" x14ac:dyDescent="0.2">
      <c r="A16" s="14">
        <f t="shared" si="2"/>
        <v>2018</v>
      </c>
      <c r="B16" s="19">
        <f t="shared" si="3"/>
        <v>530920.01712328766</v>
      </c>
      <c r="C16" s="13">
        <f>+Calculations!BC47/1000</f>
        <v>63520</v>
      </c>
      <c r="D16" s="26">
        <f>+Calculations!BC77/1000</f>
        <v>16534.549916622138</v>
      </c>
      <c r="E16" s="26">
        <f>Calculations!BC140/1000</f>
        <v>57032.515189990925</v>
      </c>
      <c r="F16" s="26">
        <f>+Calculations!BC110/1000</f>
        <v>22581.39994824403</v>
      </c>
      <c r="G16" s="26">
        <f t="shared" si="0"/>
        <v>159668.46505485711</v>
      </c>
      <c r="H16" s="22">
        <f>+Calculations!BC170/1000</f>
        <v>4483.2270240905727</v>
      </c>
      <c r="I16" s="24">
        <f t="shared" si="1"/>
        <v>164151.69207894767</v>
      </c>
    </row>
    <row r="17" spans="1:9" x14ac:dyDescent="0.2">
      <c r="A17" s="14">
        <f t="shared" si="2"/>
        <v>2019</v>
      </c>
      <c r="B17" s="19">
        <f t="shared" si="3"/>
        <v>530920.01712328766</v>
      </c>
      <c r="C17" s="13">
        <f>+Calculations!BC48/1000</f>
        <v>15483</v>
      </c>
      <c r="D17" s="26">
        <f>+Calculations!BC78/1000</f>
        <v>17666.549858845199</v>
      </c>
      <c r="E17" s="26">
        <f>Calculations!BC141/1000</f>
        <v>54843.880547067864</v>
      </c>
      <c r="F17" s="26">
        <f>+Calculations!BC111/1000</f>
        <v>22172.597047660776</v>
      </c>
      <c r="G17" s="26">
        <f t="shared" si="0"/>
        <v>110166.02745357384</v>
      </c>
      <c r="H17" s="22">
        <f>+Calculations!BC171/1000</f>
        <v>4198.8694388619942</v>
      </c>
      <c r="I17" s="24">
        <f t="shared" si="1"/>
        <v>114364.89689243583</v>
      </c>
    </row>
    <row r="18" spans="1:9" x14ac:dyDescent="0.2">
      <c r="A18" s="14">
        <f t="shared" si="2"/>
        <v>2020</v>
      </c>
      <c r="B18" s="19">
        <f t="shared" si="3"/>
        <v>530920.01712328766</v>
      </c>
      <c r="C18" s="13">
        <f>+Calculations!BC49/1000</f>
        <v>38112</v>
      </c>
      <c r="D18" s="26">
        <f>+Calculations!BC79/1000</f>
        <v>17318.859621884894</v>
      </c>
      <c r="E18" s="26">
        <f>Calculations!BC142/1000</f>
        <v>54217.692813093912</v>
      </c>
      <c r="F18" s="26">
        <f>+Calculations!BC112/1000</f>
        <v>22066.480860475051</v>
      </c>
      <c r="G18" s="26">
        <f t="shared" si="0"/>
        <v>131715.03329545385</v>
      </c>
      <c r="H18" s="22">
        <f>+Calculations!BC172/1000</f>
        <v>4110.1052494309542</v>
      </c>
      <c r="I18" s="24">
        <f t="shared" si="1"/>
        <v>135825.1385448848</v>
      </c>
    </row>
    <row r="19" spans="1:9" x14ac:dyDescent="0.2">
      <c r="A19" s="14">
        <f t="shared" si="2"/>
        <v>2021</v>
      </c>
      <c r="B19" s="19">
        <f t="shared" si="3"/>
        <v>530920.01712328766</v>
      </c>
      <c r="C19" s="13">
        <f>+Calculations!BC50/1000</f>
        <v>9925</v>
      </c>
      <c r="D19" s="26">
        <f>+Calculations!BC80/1000</f>
        <v>18356.746111201453</v>
      </c>
      <c r="E19" s="26">
        <f>Calculations!BC143/1000</f>
        <v>53870.832796097842</v>
      </c>
      <c r="F19" s="26">
        <f>+Calculations!BC113/1000</f>
        <v>22020.027089702839</v>
      </c>
      <c r="G19" s="26">
        <f t="shared" si="0"/>
        <v>104172.60599700213</v>
      </c>
      <c r="H19" s="22">
        <f>+Calculations!BC173/1000</f>
        <v>4051.7380331925656</v>
      </c>
      <c r="I19" s="24">
        <f t="shared" si="1"/>
        <v>108224.3440301947</v>
      </c>
    </row>
    <row r="20" spans="1:9" x14ac:dyDescent="0.2">
      <c r="A20" s="14">
        <f t="shared" si="2"/>
        <v>2022</v>
      </c>
      <c r="B20" s="19">
        <f t="shared" si="3"/>
        <v>530920.01712328766</v>
      </c>
      <c r="C20" s="13">
        <f>+Calculations!BC51/1000</f>
        <v>0</v>
      </c>
      <c r="D20" s="26">
        <f>+Calculations!BC81/1000</f>
        <v>19433.752252813683</v>
      </c>
      <c r="E20" s="26">
        <f>Calculations!BC144/1000</f>
        <v>55741.465571781097</v>
      </c>
      <c r="F20" s="26">
        <f>+Calculations!BC114/1000</f>
        <v>22401.836545627921</v>
      </c>
      <c r="G20" s="26">
        <f t="shared" si="0"/>
        <v>97577.054370222701</v>
      </c>
      <c r="H20" s="22">
        <f>+Calculations!BC174/1000</f>
        <v>4271.4885182688658</v>
      </c>
      <c r="I20" s="24">
        <f t="shared" si="1"/>
        <v>101848.54288849156</v>
      </c>
    </row>
    <row r="21" spans="1:9" x14ac:dyDescent="0.2">
      <c r="A21" s="14">
        <f t="shared" si="2"/>
        <v>2023</v>
      </c>
      <c r="B21" s="19">
        <f t="shared" si="3"/>
        <v>530920.01712328766</v>
      </c>
      <c r="C21" s="13">
        <f>+Calculations!BC52/1000</f>
        <v>0</v>
      </c>
      <c r="D21" s="26">
        <f>+Calculations!BC82/1000</f>
        <v>20024.723092142482</v>
      </c>
      <c r="E21" s="26">
        <f>Calculations!BC145/1000</f>
        <v>58283.649305888874</v>
      </c>
      <c r="F21" s="26">
        <f>+Calculations!BC115/1000</f>
        <v>22904.545879006298</v>
      </c>
      <c r="G21" s="26">
        <f t="shared" si="0"/>
        <v>101212.91827703765</v>
      </c>
      <c r="H21" s="22">
        <f>+Calculations!BC175/1000</f>
        <v>4581.57950097296</v>
      </c>
      <c r="I21" s="24">
        <f t="shared" si="1"/>
        <v>105794.49777801061</v>
      </c>
    </row>
    <row r="22" spans="1:9" x14ac:dyDescent="0.2">
      <c r="A22" s="14">
        <f t="shared" si="2"/>
        <v>2024</v>
      </c>
      <c r="B22" s="19">
        <f t="shared" si="3"/>
        <v>530920.01712328766</v>
      </c>
      <c r="C22" s="13">
        <f>+Calculations!BC53/1000</f>
        <v>31760</v>
      </c>
      <c r="D22" s="26">
        <f>+Calculations!BC83/1000</f>
        <v>18837.174456227822</v>
      </c>
      <c r="E22" s="26">
        <f>Calculations!BC146/1000</f>
        <v>59046.254543832561</v>
      </c>
      <c r="F22" s="26">
        <f>+Calculations!BC116/1000</f>
        <v>23052.985364254666</v>
      </c>
      <c r="G22" s="26">
        <f t="shared" si="0"/>
        <v>132696.41436431505</v>
      </c>
      <c r="H22" s="22">
        <f>+Calculations!BC176/1000</f>
        <v>4675.2808970436527</v>
      </c>
      <c r="I22" s="24">
        <f t="shared" si="1"/>
        <v>137371.69526135869</v>
      </c>
    </row>
    <row r="23" spans="1:9" x14ac:dyDescent="0.2">
      <c r="A23" s="14">
        <f t="shared" si="2"/>
        <v>2025</v>
      </c>
      <c r="B23" s="19">
        <f t="shared" si="3"/>
        <v>530920.01712328766</v>
      </c>
      <c r="C23" s="13">
        <f>+Calculations!BC54/1000</f>
        <v>0</v>
      </c>
      <c r="D23" s="26">
        <f>+Calculations!BC84/1000</f>
        <v>19624.903757613221</v>
      </c>
      <c r="E23" s="26">
        <f>Calculations!BC147/1000</f>
        <v>59800.897407122073</v>
      </c>
      <c r="F23" s="26">
        <f>+Calculations!BC117/1000</f>
        <v>23200.67708747982</v>
      </c>
      <c r="G23" s="26">
        <f t="shared" si="0"/>
        <v>102626.47825221512</v>
      </c>
      <c r="H23" s="22">
        <f>+Calculations!BC177/1000</f>
        <v>4767.2649436413931</v>
      </c>
      <c r="I23" s="24">
        <f t="shared" si="1"/>
        <v>107393.74319585651</v>
      </c>
    </row>
    <row r="24" spans="1:9" x14ac:dyDescent="0.2">
      <c r="A24" s="14">
        <f t="shared" si="2"/>
        <v>2026</v>
      </c>
      <c r="B24" s="19">
        <f t="shared" si="3"/>
        <v>530920.01712328766</v>
      </c>
      <c r="C24" s="13">
        <f>+Calculations!BC55/1000</f>
        <v>0</v>
      </c>
      <c r="D24" s="26">
        <f>+Calculations!BC85/1000</f>
        <v>20188.871330498147</v>
      </c>
      <c r="E24" s="26">
        <f>Calculations!BC148/1000</f>
        <v>62528.218390056478</v>
      </c>
      <c r="F24" s="26">
        <f>+Calculations!BC118/1000</f>
        <v>23721.312834857865</v>
      </c>
      <c r="G24" s="26">
        <f t="shared" si="0"/>
        <v>106438.40255541248</v>
      </c>
      <c r="H24" s="22">
        <f>+Calculations!BC178/1000</f>
        <v>5113.3470798480148</v>
      </c>
      <c r="I24" s="24">
        <f t="shared" si="1"/>
        <v>111551.74963526049</v>
      </c>
    </row>
    <row r="25" spans="1:9" x14ac:dyDescent="0.2">
      <c r="A25" s="14">
        <f t="shared" si="2"/>
        <v>2027</v>
      </c>
      <c r="B25" s="19">
        <f t="shared" si="3"/>
        <v>530920.01712328766</v>
      </c>
      <c r="C25" s="13">
        <f>+Calculations!BC56/1000</f>
        <v>46449</v>
      </c>
      <c r="D25" s="26">
        <f>+Calculations!BC86/1000</f>
        <v>18335.888633389601</v>
      </c>
      <c r="E25" s="26">
        <f>Calculations!BC149/1000</f>
        <v>62751.884764318049</v>
      </c>
      <c r="F25" s="26">
        <f>+Calculations!BC119/1000</f>
        <v>23742.868223755268</v>
      </c>
      <c r="G25" s="26">
        <f t="shared" si="0"/>
        <v>151279.64162146291</v>
      </c>
      <c r="H25" s="22">
        <f>+Calculations!BC179/1000</f>
        <v>5156.527208381679</v>
      </c>
      <c r="I25" s="24">
        <f t="shared" si="1"/>
        <v>156436.1688298446</v>
      </c>
    </row>
    <row r="26" spans="1:9" x14ac:dyDescent="0.2">
      <c r="A26" s="14">
        <f t="shared" si="2"/>
        <v>2028</v>
      </c>
      <c r="B26" s="19">
        <f t="shared" si="3"/>
        <v>530920.01712328766</v>
      </c>
      <c r="C26" s="13">
        <f>+Calculations!BC57/1000</f>
        <v>63123</v>
      </c>
      <c r="D26" s="26">
        <f>+Calculations!BC87/1000</f>
        <v>16434.392165121055</v>
      </c>
      <c r="E26" s="26">
        <f>Calculations!BC150/1000</f>
        <v>59355.054682945549</v>
      </c>
      <c r="F26" s="26">
        <f>+Calculations!BC120/1000</f>
        <v>23065.093435236304</v>
      </c>
      <c r="G26" s="26">
        <f t="shared" si="0"/>
        <v>161977.54028330292</v>
      </c>
      <c r="H26" s="22">
        <f>+Calculations!BC180/1000</f>
        <v>4745.365039723376</v>
      </c>
      <c r="I26" s="24">
        <f t="shared" si="1"/>
        <v>166722.90532302629</v>
      </c>
    </row>
    <row r="27" spans="1:9" x14ac:dyDescent="0.2">
      <c r="A27" s="14">
        <f t="shared" si="2"/>
        <v>2029</v>
      </c>
      <c r="B27" s="19">
        <f t="shared" si="3"/>
        <v>530920.01712328766</v>
      </c>
      <c r="C27" s="13">
        <f>+Calculations!BC58/1000</f>
        <v>0</v>
      </c>
      <c r="D27" s="26">
        <f>+Calculations!BC88/1000</f>
        <v>18370.466951336315</v>
      </c>
      <c r="E27" s="26">
        <f>Calculations!BC151/1000</f>
        <v>58410.072316296348</v>
      </c>
      <c r="F27" s="26">
        <f>+Calculations!BC121/1000</f>
        <v>22880.826885167167</v>
      </c>
      <c r="G27" s="26">
        <f t="shared" si="0"/>
        <v>99661.366152799834</v>
      </c>
      <c r="H27" s="22">
        <f>+Calculations!BC181/1000</f>
        <v>4628.1810680642711</v>
      </c>
      <c r="I27" s="24">
        <f t="shared" si="1"/>
        <v>104289.5472208641</v>
      </c>
    </row>
    <row r="28" spans="1:9" x14ac:dyDescent="0.2">
      <c r="A28" s="14">
        <f t="shared" si="2"/>
        <v>2030</v>
      </c>
      <c r="B28" s="19">
        <f t="shared" si="3"/>
        <v>530920.01712328766</v>
      </c>
      <c r="C28" s="13">
        <f>+Calculations!BC59/1000</f>
        <v>0</v>
      </c>
      <c r="D28" s="26">
        <f>+Calculations!BC89/1000</f>
        <v>19620.173609436504</v>
      </c>
      <c r="E28" s="26">
        <f>Calculations!BC152/1000</f>
        <v>61073.962370628164</v>
      </c>
      <c r="F28" s="26">
        <f>+Calculations!BC122/1000</f>
        <v>23394.285020939224</v>
      </c>
      <c r="G28" s="26">
        <f t="shared" si="0"/>
        <v>104088.42100100388</v>
      </c>
      <c r="H28" s="22">
        <f>+Calculations!BC182/1000</f>
        <v>4964.1663362887948</v>
      </c>
      <c r="I28" s="24">
        <f t="shared" si="1"/>
        <v>109052.58733729267</v>
      </c>
    </row>
    <row r="29" spans="1:9" x14ac:dyDescent="0.2">
      <c r="A29" s="14">
        <f t="shared" si="2"/>
        <v>2031</v>
      </c>
      <c r="B29" s="19">
        <f t="shared" si="3"/>
        <v>530920.01712328766</v>
      </c>
      <c r="C29" s="13">
        <f>+Calculations!BC60/1000</f>
        <v>75430</v>
      </c>
      <c r="D29" s="26">
        <f>+Calculations!BC90/1000</f>
        <v>16710.710198124489</v>
      </c>
      <c r="E29" s="26">
        <f>Calculations!BC153/1000</f>
        <v>59591.588493391246</v>
      </c>
      <c r="F29" s="26">
        <f>+Calculations!BC123/1000</f>
        <v>23089.820099987988</v>
      </c>
      <c r="G29" s="26">
        <f t="shared" si="0"/>
        <v>174822.11879150374</v>
      </c>
      <c r="H29" s="22">
        <f>+Calculations!BC183/1000</f>
        <v>4791.8507991322258</v>
      </c>
      <c r="I29" s="24">
        <f t="shared" si="1"/>
        <v>179613.96959063597</v>
      </c>
    </row>
    <row r="30" spans="1:9" x14ac:dyDescent="0.2">
      <c r="A30" s="14">
        <f t="shared" si="2"/>
        <v>2032</v>
      </c>
      <c r="B30" s="19">
        <f t="shared" si="3"/>
        <v>530920.01712328766</v>
      </c>
      <c r="C30" s="13">
        <f>+Calculations!BC61/1000</f>
        <v>3970</v>
      </c>
      <c r="D30" s="26">
        <f>+Calculations!BC91/1000</f>
        <v>18284.964090836016</v>
      </c>
      <c r="E30" s="26">
        <f>Calculations!BC154/1000</f>
        <v>57720.755663118158</v>
      </c>
      <c r="F30" s="26">
        <f>+Calculations!BC124/1000</f>
        <v>22725.612836327033</v>
      </c>
      <c r="G30" s="26">
        <f t="shared" si="0"/>
        <v>102701.33259028121</v>
      </c>
      <c r="H30" s="22">
        <f>+Calculations!BC184/1000</f>
        <v>4559.992718513874</v>
      </c>
      <c r="I30" s="24">
        <f t="shared" si="1"/>
        <v>107261.32530879509</v>
      </c>
    </row>
    <row r="31" spans="1:9" x14ac:dyDescent="0.2">
      <c r="A31" s="14">
        <f t="shared" si="2"/>
        <v>2033</v>
      </c>
      <c r="B31" s="19">
        <f t="shared" si="3"/>
        <v>530920.01712328766</v>
      </c>
      <c r="C31" s="13">
        <f>+Calculations!BC62/1000</f>
        <v>63520</v>
      </c>
      <c r="D31" s="26">
        <f>+Calculations!BC92/1000</f>
        <v>16534.549916622138</v>
      </c>
      <c r="E31" s="26">
        <f>Calculations!BC155/1000</f>
        <v>56529.625558109394</v>
      </c>
      <c r="F31" s="26">
        <f>+Calculations!BC125/1000</f>
        <v>22492.965481467039</v>
      </c>
      <c r="G31" s="26">
        <f t="shared" si="0"/>
        <v>159077.14095619859</v>
      </c>
      <c r="H31" s="22">
        <f>+Calculations!BC185/1000</f>
        <v>4413.4089759371363</v>
      </c>
      <c r="I31" s="24">
        <f t="shared" si="1"/>
        <v>163490.54993213573</v>
      </c>
    </row>
    <row r="32" spans="1:9" x14ac:dyDescent="0.2">
      <c r="A32" s="14">
        <f t="shared" si="2"/>
        <v>2034</v>
      </c>
      <c r="B32" s="19">
        <f t="shared" si="3"/>
        <v>530920.01712328766</v>
      </c>
      <c r="C32" s="13">
        <f>+Calculations!BC63/1000</f>
        <v>15483</v>
      </c>
      <c r="D32" s="26">
        <f>+Calculations!BC93/1000</f>
        <v>17666.549858845199</v>
      </c>
      <c r="E32" s="26">
        <f>Calculations!BC156/1000</f>
        <v>54556.803460188436</v>
      </c>
      <c r="F32" s="26">
        <f>+Calculations!BC126/1000</f>
        <v>22121.191289639857</v>
      </c>
      <c r="G32" s="26">
        <f t="shared" si="0"/>
        <v>109827.54460867349</v>
      </c>
      <c r="H32" s="22">
        <f>+Calculations!BC186/1000</f>
        <v>4159.8808445798895</v>
      </c>
      <c r="I32" s="24">
        <f t="shared" si="1"/>
        <v>113987.42545325338</v>
      </c>
    </row>
    <row r="33" spans="1:9" x14ac:dyDescent="0.2">
      <c r="A33" s="14">
        <f t="shared" si="2"/>
        <v>2035</v>
      </c>
      <c r="B33" s="19">
        <f t="shared" si="3"/>
        <v>530920.01712328766</v>
      </c>
      <c r="C33" s="13">
        <f>+Calculations!BC64/1000</f>
        <v>38112</v>
      </c>
      <c r="D33" s="26">
        <f>+Calculations!BC94/1000</f>
        <v>17318.859621884894</v>
      </c>
      <c r="E33" s="26">
        <f>Calculations!BC157/1000</f>
        <v>53992.853026631565</v>
      </c>
      <c r="F33" s="26">
        <f>+Calculations!BC127/1000</f>
        <v>22026.360349657127</v>
      </c>
      <c r="G33" s="26">
        <f t="shared" si="0"/>
        <v>131450.07299817359</v>
      </c>
      <c r="H33" s="22">
        <f>+Calculations!BC187/1000</f>
        <v>4079.4787002777698</v>
      </c>
      <c r="I33" s="24">
        <f t="shared" si="1"/>
        <v>135529.55169845137</v>
      </c>
    </row>
    <row r="34" spans="1:9" x14ac:dyDescent="0.2">
      <c r="A34" s="14">
        <f t="shared" si="2"/>
        <v>2036</v>
      </c>
      <c r="B34" s="19">
        <f t="shared" si="3"/>
        <v>530920.01712328766</v>
      </c>
      <c r="C34" s="13">
        <f>+Calculations!BC65/1000</f>
        <v>9925</v>
      </c>
      <c r="D34" s="26">
        <f>+Calculations!BC95/1000</f>
        <v>18356.746111201453</v>
      </c>
      <c r="E34" s="26">
        <f>Calculations!BC158/1000</f>
        <v>53688.778619953489</v>
      </c>
      <c r="F34" s="26">
        <f>+Calculations!BC128/1000</f>
        <v>21987.741886510852</v>
      </c>
      <c r="G34" s="26">
        <f t="shared" si="0"/>
        <v>103958.26661766579</v>
      </c>
      <c r="H34" s="22">
        <f>+Calculations!BC188/1000</f>
        <v>4026.7916589224633</v>
      </c>
      <c r="I34" s="24">
        <f t="shared" si="1"/>
        <v>107985.05827658826</v>
      </c>
    </row>
    <row r="35" spans="1:9" x14ac:dyDescent="0.2">
      <c r="A35" s="14">
        <f t="shared" si="2"/>
        <v>2037</v>
      </c>
      <c r="B35" s="19">
        <f t="shared" si="3"/>
        <v>530920.01712328766</v>
      </c>
      <c r="C35" s="13">
        <f>+Calculations!BC66/1000</f>
        <v>0</v>
      </c>
      <c r="D35" s="26">
        <f>+Calculations!BC96/1000</f>
        <v>19433.752252813683</v>
      </c>
      <c r="E35" s="26">
        <f>Calculations!BC159/1000</f>
        <v>55563.13698695448</v>
      </c>
      <c r="F35" s="26">
        <f>+Calculations!BC129/1000</f>
        <v>22370.803408702108</v>
      </c>
      <c r="G35" s="26">
        <f t="shared" si="0"/>
        <v>97367.692648470271</v>
      </c>
      <c r="H35" s="22">
        <f>+Calculations!BC189/1000</f>
        <v>4246.528133957273</v>
      </c>
      <c r="I35" s="24">
        <f t="shared" si="1"/>
        <v>101614.22078242754</v>
      </c>
    </row>
    <row r="36" spans="1:9" x14ac:dyDescent="0.2">
      <c r="A36" s="14">
        <f t="shared" si="2"/>
        <v>2038</v>
      </c>
      <c r="B36" s="19">
        <f t="shared" si="3"/>
        <v>530920.01712328766</v>
      </c>
      <c r="C36" s="13">
        <f>+Calculations!BC67/1000</f>
        <v>0</v>
      </c>
      <c r="D36" s="26">
        <f>+Calculations!BC97/1000</f>
        <v>20024.723092142482</v>
      </c>
      <c r="E36" s="26">
        <f>Calculations!BC160/1000</f>
        <v>58097.187744596311</v>
      </c>
      <c r="F36" s="26">
        <f>+Calculations!BC130/1000</f>
        <v>22872.816341696307</v>
      </c>
      <c r="G36" s="26">
        <f t="shared" si="0"/>
        <v>100994.7271784351</v>
      </c>
      <c r="H36" s="22">
        <f>+Calculations!BC190/1000</f>
        <v>4554.8071042758147</v>
      </c>
      <c r="I36" s="24">
        <f t="shared" si="1"/>
        <v>105549.53428271091</v>
      </c>
    </row>
    <row r="37" spans="1:9" ht="13.5" thickBot="1" x14ac:dyDescent="0.25">
      <c r="A37" s="15">
        <f t="shared" si="2"/>
        <v>2039</v>
      </c>
      <c r="B37" s="20">
        <f t="shared" si="3"/>
        <v>530920.01712328766</v>
      </c>
      <c r="C37" s="16">
        <f>+Calculations!BC68/1000</f>
        <v>31760</v>
      </c>
      <c r="D37" s="27">
        <f>+Calculations!BC98/1000</f>
        <v>18837.174456227822</v>
      </c>
      <c r="E37" s="27">
        <f>Calculations!BC161/1000</f>
        <v>58949.858637016034</v>
      </c>
      <c r="F37" s="27">
        <f>+Calculations!BC131/1000</f>
        <v>23036.854575437683</v>
      </c>
      <c r="G37" s="27">
        <f t="shared" si="0"/>
        <v>132583.88766868153</v>
      </c>
      <c r="H37" s="23">
        <f>+Calculations!BC191/1000</f>
        <v>4661.1744516900926</v>
      </c>
      <c r="I37" s="25">
        <f t="shared" si="1"/>
        <v>137245.06212037161</v>
      </c>
    </row>
  </sheetData>
  <mergeCells count="6">
    <mergeCell ref="C5:I5"/>
    <mergeCell ref="A5:A7"/>
    <mergeCell ref="B5:B7"/>
    <mergeCell ref="C6:G6"/>
    <mergeCell ref="H6:H7"/>
    <mergeCell ref="I6:I7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299"/>
  <sheetViews>
    <sheetView topLeftCell="A245" workbookViewId="0">
      <selection activeCell="G278" sqref="G278"/>
    </sheetView>
  </sheetViews>
  <sheetFormatPr defaultRowHeight="12.75" x14ac:dyDescent="0.2"/>
  <cols>
    <col min="2" max="2" width="10" customWidth="1"/>
    <col min="4" max="4" width="12.5703125" bestFit="1" customWidth="1"/>
    <col min="5" max="5" width="9.28515625" bestFit="1" customWidth="1"/>
    <col min="6" max="6" width="10.140625" bestFit="1" customWidth="1"/>
    <col min="7" max="7" width="9.28515625" bestFit="1" customWidth="1"/>
    <col min="8" max="11" width="10.140625" bestFit="1" customWidth="1"/>
    <col min="12" max="12" width="9.28515625" bestFit="1" customWidth="1"/>
    <col min="13" max="13" width="10.140625" bestFit="1" customWidth="1"/>
    <col min="14" max="14" width="9.28515625" bestFit="1" customWidth="1"/>
    <col min="15" max="18" width="10.140625" bestFit="1" customWidth="1"/>
    <col min="19" max="54" width="9.28515625" bestFit="1" customWidth="1"/>
    <col min="55" max="55" width="10.28515625" customWidth="1"/>
  </cols>
  <sheetData>
    <row r="1" spans="1:55" x14ac:dyDescent="0.2">
      <c r="A1" s="9" t="s">
        <v>62</v>
      </c>
    </row>
    <row r="2" spans="1:55" x14ac:dyDescent="0.2">
      <c r="A2" s="9" t="s">
        <v>66</v>
      </c>
    </row>
    <row r="4" spans="1:55" ht="13.5" thickBot="1" x14ac:dyDescent="0.25">
      <c r="A4" s="10" t="s">
        <v>82</v>
      </c>
    </row>
    <row r="5" spans="1:55" x14ac:dyDescent="0.2">
      <c r="A5" s="45" t="s">
        <v>13</v>
      </c>
      <c r="B5" s="62"/>
      <c r="C5" s="86"/>
      <c r="D5" s="62">
        <v>1</v>
      </c>
      <c r="E5" s="62">
        <f>1+D5</f>
        <v>2</v>
      </c>
      <c r="F5" s="62">
        <f t="shared" ref="F5:AZ5" si="0">1+E5</f>
        <v>3</v>
      </c>
      <c r="G5" s="62">
        <f t="shared" si="0"/>
        <v>4</v>
      </c>
      <c r="H5" s="62">
        <f t="shared" si="0"/>
        <v>5</v>
      </c>
      <c r="I5" s="62">
        <f t="shared" si="0"/>
        <v>6</v>
      </c>
      <c r="J5" s="62">
        <f t="shared" si="0"/>
        <v>7</v>
      </c>
      <c r="K5" s="62">
        <f t="shared" si="0"/>
        <v>8</v>
      </c>
      <c r="L5" s="62">
        <f t="shared" si="0"/>
        <v>9</v>
      </c>
      <c r="M5" s="62">
        <f t="shared" si="0"/>
        <v>10</v>
      </c>
      <c r="N5" s="62">
        <f t="shared" si="0"/>
        <v>11</v>
      </c>
      <c r="O5" s="62">
        <f t="shared" si="0"/>
        <v>12</v>
      </c>
      <c r="P5" s="62">
        <f t="shared" si="0"/>
        <v>13</v>
      </c>
      <c r="Q5" s="62">
        <f t="shared" si="0"/>
        <v>14</v>
      </c>
      <c r="R5" s="62">
        <f t="shared" si="0"/>
        <v>15</v>
      </c>
      <c r="S5" s="62">
        <f t="shared" si="0"/>
        <v>16</v>
      </c>
      <c r="T5" s="62">
        <f t="shared" si="0"/>
        <v>17</v>
      </c>
      <c r="U5" s="62">
        <f t="shared" si="0"/>
        <v>18</v>
      </c>
      <c r="V5" s="62">
        <f t="shared" si="0"/>
        <v>19</v>
      </c>
      <c r="W5" s="62">
        <f t="shared" si="0"/>
        <v>20</v>
      </c>
      <c r="X5" s="62">
        <f t="shared" si="0"/>
        <v>21</v>
      </c>
      <c r="Y5" s="62">
        <f t="shared" si="0"/>
        <v>22</v>
      </c>
      <c r="Z5" s="62">
        <f t="shared" si="0"/>
        <v>23</v>
      </c>
      <c r="AA5" s="62">
        <f t="shared" si="0"/>
        <v>24</v>
      </c>
      <c r="AB5" s="62">
        <f t="shared" si="0"/>
        <v>25</v>
      </c>
      <c r="AC5" s="62">
        <f t="shared" si="0"/>
        <v>26</v>
      </c>
      <c r="AD5" s="62">
        <f t="shared" si="0"/>
        <v>27</v>
      </c>
      <c r="AE5" s="62">
        <f t="shared" si="0"/>
        <v>28</v>
      </c>
      <c r="AF5" s="62">
        <f t="shared" si="0"/>
        <v>29</v>
      </c>
      <c r="AG5" s="62">
        <f t="shared" si="0"/>
        <v>30</v>
      </c>
      <c r="AH5" s="62">
        <f t="shared" si="0"/>
        <v>31</v>
      </c>
      <c r="AI5" s="62">
        <f t="shared" si="0"/>
        <v>32</v>
      </c>
      <c r="AJ5" s="62">
        <f t="shared" si="0"/>
        <v>33</v>
      </c>
      <c r="AK5" s="62">
        <f t="shared" si="0"/>
        <v>34</v>
      </c>
      <c r="AL5" s="62">
        <f t="shared" si="0"/>
        <v>35</v>
      </c>
      <c r="AM5" s="62">
        <f t="shared" si="0"/>
        <v>36</v>
      </c>
      <c r="AN5" s="62">
        <f t="shared" si="0"/>
        <v>37</v>
      </c>
      <c r="AO5" s="62">
        <f t="shared" si="0"/>
        <v>38</v>
      </c>
      <c r="AP5" s="62">
        <f t="shared" si="0"/>
        <v>39</v>
      </c>
      <c r="AQ5" s="62">
        <f t="shared" si="0"/>
        <v>40</v>
      </c>
      <c r="AR5" s="62">
        <f t="shared" si="0"/>
        <v>41</v>
      </c>
      <c r="AS5" s="62">
        <f>1+AR5</f>
        <v>42</v>
      </c>
      <c r="AT5" s="62">
        <f t="shared" si="0"/>
        <v>43</v>
      </c>
      <c r="AU5" s="62">
        <f t="shared" si="0"/>
        <v>44</v>
      </c>
      <c r="AV5" s="62">
        <f t="shared" si="0"/>
        <v>45</v>
      </c>
      <c r="AW5" s="62">
        <f t="shared" si="0"/>
        <v>46</v>
      </c>
      <c r="AX5" s="62">
        <f t="shared" si="0"/>
        <v>47</v>
      </c>
      <c r="AY5" s="62">
        <f t="shared" si="0"/>
        <v>48</v>
      </c>
      <c r="AZ5" s="62">
        <f t="shared" si="0"/>
        <v>49</v>
      </c>
      <c r="BA5" s="62">
        <v>50</v>
      </c>
      <c r="BB5" s="62"/>
      <c r="BC5" s="71"/>
    </row>
    <row r="6" spans="1:55" x14ac:dyDescent="0.2">
      <c r="A6" s="64" t="s">
        <v>83</v>
      </c>
      <c r="B6" s="87"/>
      <c r="C6" s="87"/>
      <c r="D6" s="106">
        <f t="shared" ref="D6:AI6" si="1">INDEX(TotalFleet,D5)</f>
        <v>90</v>
      </c>
      <c r="E6" s="106">
        <f t="shared" si="1"/>
        <v>25</v>
      </c>
      <c r="F6" s="106">
        <f t="shared" si="1"/>
        <v>117</v>
      </c>
      <c r="G6" s="106">
        <f t="shared" si="1"/>
        <v>25</v>
      </c>
      <c r="H6" s="106">
        <f t="shared" si="1"/>
        <v>159</v>
      </c>
      <c r="I6" s="106">
        <f t="shared" si="1"/>
        <v>40</v>
      </c>
      <c r="J6" s="106">
        <f t="shared" si="1"/>
        <v>60</v>
      </c>
      <c r="K6" s="106">
        <f t="shared" si="1"/>
        <v>165</v>
      </c>
      <c r="L6" s="106">
        <f t="shared" si="1"/>
        <v>10</v>
      </c>
      <c r="M6" s="106">
        <f t="shared" si="1"/>
        <v>39</v>
      </c>
      <c r="N6" s="106">
        <f t="shared" si="1"/>
        <v>6</v>
      </c>
      <c r="O6" s="106">
        <f t="shared" si="1"/>
        <v>60</v>
      </c>
      <c r="P6" s="106">
        <f t="shared" si="1"/>
        <v>26</v>
      </c>
      <c r="Q6" s="106">
        <f t="shared" si="1"/>
        <v>54</v>
      </c>
      <c r="R6" s="106">
        <f t="shared" si="1"/>
        <v>0</v>
      </c>
      <c r="S6" s="106">
        <f t="shared" si="1"/>
        <v>0</v>
      </c>
      <c r="T6" s="106">
        <f t="shared" si="1"/>
        <v>0</v>
      </c>
      <c r="U6" s="106">
        <f t="shared" si="1"/>
        <v>0</v>
      </c>
      <c r="V6" s="106">
        <f t="shared" si="1"/>
        <v>0</v>
      </c>
      <c r="W6" s="106">
        <f t="shared" si="1"/>
        <v>0</v>
      </c>
      <c r="X6" s="106">
        <f t="shared" si="1"/>
        <v>0</v>
      </c>
      <c r="Y6" s="106">
        <f t="shared" si="1"/>
        <v>0</v>
      </c>
      <c r="Z6" s="106">
        <f t="shared" si="1"/>
        <v>0</v>
      </c>
      <c r="AA6" s="106">
        <f t="shared" si="1"/>
        <v>0</v>
      </c>
      <c r="AB6" s="106">
        <f t="shared" si="1"/>
        <v>0</v>
      </c>
      <c r="AC6" s="106">
        <f t="shared" si="1"/>
        <v>0</v>
      </c>
      <c r="AD6" s="106">
        <f t="shared" si="1"/>
        <v>0</v>
      </c>
      <c r="AE6" s="106">
        <f t="shared" si="1"/>
        <v>0</v>
      </c>
      <c r="AF6" s="106">
        <f t="shared" si="1"/>
        <v>0</v>
      </c>
      <c r="AG6" s="106">
        <f t="shared" si="1"/>
        <v>0</v>
      </c>
      <c r="AH6" s="106">
        <f t="shared" si="1"/>
        <v>0</v>
      </c>
      <c r="AI6" s="106">
        <f t="shared" si="1"/>
        <v>0</v>
      </c>
      <c r="AJ6" s="106">
        <f t="shared" ref="AJ6:BA6" si="2">INDEX(TotalFleet,AJ5)</f>
        <v>0</v>
      </c>
      <c r="AK6" s="106">
        <f t="shared" si="2"/>
        <v>0</v>
      </c>
      <c r="AL6" s="106">
        <f t="shared" si="2"/>
        <v>0</v>
      </c>
      <c r="AM6" s="106">
        <f t="shared" si="2"/>
        <v>0</v>
      </c>
      <c r="AN6" s="106">
        <f t="shared" si="2"/>
        <v>0</v>
      </c>
      <c r="AO6" s="106">
        <f t="shared" si="2"/>
        <v>0</v>
      </c>
      <c r="AP6" s="106">
        <f t="shared" si="2"/>
        <v>0</v>
      </c>
      <c r="AQ6" s="106">
        <f t="shared" si="2"/>
        <v>0</v>
      </c>
      <c r="AR6" s="106">
        <f t="shared" si="2"/>
        <v>0</v>
      </c>
      <c r="AS6" s="106">
        <f t="shared" si="2"/>
        <v>0</v>
      </c>
      <c r="AT6" s="106">
        <f t="shared" si="2"/>
        <v>0</v>
      </c>
      <c r="AU6" s="106">
        <f t="shared" si="2"/>
        <v>0</v>
      </c>
      <c r="AV6" s="106">
        <f t="shared" si="2"/>
        <v>0</v>
      </c>
      <c r="AW6" s="106">
        <f t="shared" si="2"/>
        <v>0</v>
      </c>
      <c r="AX6" s="106">
        <f t="shared" si="2"/>
        <v>0</v>
      </c>
      <c r="AY6" s="106">
        <f t="shared" si="2"/>
        <v>0</v>
      </c>
      <c r="AZ6" s="106">
        <f t="shared" si="2"/>
        <v>0</v>
      </c>
      <c r="BA6" s="106">
        <f t="shared" si="2"/>
        <v>0</v>
      </c>
      <c r="BB6" s="106"/>
      <c r="BC6" s="107">
        <f>SUM(D6:BB6)</f>
        <v>876</v>
      </c>
    </row>
    <row r="7" spans="1:55" x14ac:dyDescent="0.2">
      <c r="A7" s="64" t="s">
        <v>14</v>
      </c>
      <c r="B7" s="2"/>
      <c r="C7" s="2">
        <v>0</v>
      </c>
      <c r="D7" s="108">
        <f t="shared" ref="D7:AI7" si="3">INDEX(AvgLifetimeMileage,D5)</f>
        <v>147882</v>
      </c>
      <c r="E7" s="108">
        <f t="shared" si="3"/>
        <v>114252</v>
      </c>
      <c r="F7" s="108">
        <f t="shared" si="3"/>
        <v>456352</v>
      </c>
      <c r="G7" s="108">
        <f t="shared" si="3"/>
        <v>296374</v>
      </c>
      <c r="H7" s="108">
        <f t="shared" si="3"/>
        <v>418462</v>
      </c>
      <c r="I7" s="108">
        <f t="shared" si="3"/>
        <v>246390</v>
      </c>
      <c r="J7" s="108">
        <f t="shared" si="3"/>
        <v>245590</v>
      </c>
      <c r="K7" s="108">
        <f t="shared" si="3"/>
        <v>285708</v>
      </c>
      <c r="L7" s="108">
        <f t="shared" si="3"/>
        <v>272171</v>
      </c>
      <c r="M7" s="108">
        <f t="shared" si="3"/>
        <v>191941</v>
      </c>
      <c r="N7" s="108">
        <f t="shared" si="3"/>
        <v>162325</v>
      </c>
      <c r="O7" s="108">
        <f t="shared" si="3"/>
        <v>212726</v>
      </c>
      <c r="P7" s="108">
        <f t="shared" si="3"/>
        <v>25063</v>
      </c>
      <c r="Q7" s="108">
        <f t="shared" si="3"/>
        <v>18970</v>
      </c>
      <c r="R7" s="108">
        <f t="shared" si="3"/>
        <v>0</v>
      </c>
      <c r="S7" s="108">
        <f t="shared" si="3"/>
        <v>0</v>
      </c>
      <c r="T7" s="108">
        <f t="shared" si="3"/>
        <v>0</v>
      </c>
      <c r="U7" s="108">
        <f t="shared" si="3"/>
        <v>0</v>
      </c>
      <c r="V7" s="108">
        <f t="shared" si="3"/>
        <v>0</v>
      </c>
      <c r="W7" s="108">
        <f t="shared" si="3"/>
        <v>0</v>
      </c>
      <c r="X7" s="108">
        <f t="shared" si="3"/>
        <v>0</v>
      </c>
      <c r="Y7" s="108">
        <f t="shared" si="3"/>
        <v>0</v>
      </c>
      <c r="Z7" s="108">
        <f t="shared" si="3"/>
        <v>0</v>
      </c>
      <c r="AA7" s="108">
        <f t="shared" si="3"/>
        <v>0</v>
      </c>
      <c r="AB7" s="108">
        <f t="shared" si="3"/>
        <v>0</v>
      </c>
      <c r="AC7" s="108">
        <f t="shared" si="3"/>
        <v>0</v>
      </c>
      <c r="AD7" s="108">
        <f t="shared" si="3"/>
        <v>0</v>
      </c>
      <c r="AE7" s="108">
        <f t="shared" si="3"/>
        <v>0</v>
      </c>
      <c r="AF7" s="108">
        <f t="shared" si="3"/>
        <v>0</v>
      </c>
      <c r="AG7" s="108">
        <f t="shared" si="3"/>
        <v>0</v>
      </c>
      <c r="AH7" s="108">
        <f t="shared" si="3"/>
        <v>0</v>
      </c>
      <c r="AI7" s="108">
        <f t="shared" si="3"/>
        <v>0</v>
      </c>
      <c r="AJ7" s="108">
        <f t="shared" ref="AJ7:BA7" si="4">INDEX(AvgLifetimeMileage,AJ5)</f>
        <v>0</v>
      </c>
      <c r="AK7" s="108">
        <f t="shared" si="4"/>
        <v>0</v>
      </c>
      <c r="AL7" s="108">
        <f t="shared" si="4"/>
        <v>0</v>
      </c>
      <c r="AM7" s="108">
        <f t="shared" si="4"/>
        <v>0</v>
      </c>
      <c r="AN7" s="108">
        <f t="shared" si="4"/>
        <v>0</v>
      </c>
      <c r="AO7" s="108">
        <f t="shared" si="4"/>
        <v>0</v>
      </c>
      <c r="AP7" s="108">
        <f t="shared" si="4"/>
        <v>0</v>
      </c>
      <c r="AQ7" s="108">
        <f t="shared" si="4"/>
        <v>0</v>
      </c>
      <c r="AR7" s="108">
        <f t="shared" si="4"/>
        <v>0</v>
      </c>
      <c r="AS7" s="108">
        <f t="shared" si="4"/>
        <v>0</v>
      </c>
      <c r="AT7" s="108">
        <f t="shared" si="4"/>
        <v>0</v>
      </c>
      <c r="AU7" s="108">
        <f t="shared" si="4"/>
        <v>0</v>
      </c>
      <c r="AV7" s="108">
        <f t="shared" si="4"/>
        <v>0</v>
      </c>
      <c r="AW7" s="108">
        <f t="shared" si="4"/>
        <v>0</v>
      </c>
      <c r="AX7" s="108">
        <f t="shared" si="4"/>
        <v>0</v>
      </c>
      <c r="AY7" s="108">
        <f t="shared" si="4"/>
        <v>0</v>
      </c>
      <c r="AZ7" s="108">
        <f t="shared" si="4"/>
        <v>0</v>
      </c>
      <c r="BA7" s="108">
        <f t="shared" si="4"/>
        <v>0</v>
      </c>
      <c r="BB7" s="108"/>
      <c r="BC7" s="109"/>
    </row>
    <row r="8" spans="1:55" x14ac:dyDescent="0.2">
      <c r="A8" s="51" t="s">
        <v>84</v>
      </c>
      <c r="B8" s="7"/>
      <c r="C8" s="7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5"/>
    </row>
    <row r="9" spans="1:55" x14ac:dyDescent="0.2">
      <c r="A9" s="52">
        <f>IF(Cost_by_Year!B8="",PolicyLTDMiles,Cost_by_Year!B8)</f>
        <v>530920.01712328766</v>
      </c>
      <c r="B9" s="7"/>
      <c r="C9" s="7">
        <f>1+C7</f>
        <v>1</v>
      </c>
      <c r="D9" s="84">
        <f t="shared" ref="D9:AI9" si="5">IF(D7+AnnMiles&gt;=$A9,0,D7+AnnMiles)</f>
        <v>183276.66780821918</v>
      </c>
      <c r="E9" s="84">
        <f t="shared" si="5"/>
        <v>149646.66780821918</v>
      </c>
      <c r="F9" s="84">
        <f t="shared" si="5"/>
        <v>491746.66780821921</v>
      </c>
      <c r="G9" s="84">
        <f t="shared" si="5"/>
        <v>331768.66780821921</v>
      </c>
      <c r="H9" s="84">
        <f t="shared" si="5"/>
        <v>453856.66780821921</v>
      </c>
      <c r="I9" s="84">
        <f t="shared" si="5"/>
        <v>281784.66780821921</v>
      </c>
      <c r="J9" s="84">
        <f t="shared" si="5"/>
        <v>280984.66780821921</v>
      </c>
      <c r="K9" s="84">
        <f t="shared" si="5"/>
        <v>321102.66780821921</v>
      </c>
      <c r="L9" s="84">
        <f t="shared" si="5"/>
        <v>307565.66780821921</v>
      </c>
      <c r="M9" s="84">
        <f t="shared" si="5"/>
        <v>227335.66780821918</v>
      </c>
      <c r="N9" s="84">
        <f t="shared" si="5"/>
        <v>197719.66780821918</v>
      </c>
      <c r="O9" s="84">
        <f t="shared" si="5"/>
        <v>248120.66780821918</v>
      </c>
      <c r="P9" s="84">
        <f t="shared" si="5"/>
        <v>60457.667808219179</v>
      </c>
      <c r="Q9" s="84">
        <f t="shared" si="5"/>
        <v>54364.667808219179</v>
      </c>
      <c r="R9" s="84">
        <f t="shared" si="5"/>
        <v>35394.667808219179</v>
      </c>
      <c r="S9" s="84">
        <f t="shared" si="5"/>
        <v>35394.667808219179</v>
      </c>
      <c r="T9" s="84">
        <f t="shared" si="5"/>
        <v>35394.667808219179</v>
      </c>
      <c r="U9" s="84">
        <f t="shared" si="5"/>
        <v>35394.667808219179</v>
      </c>
      <c r="V9" s="84">
        <f t="shared" si="5"/>
        <v>35394.667808219179</v>
      </c>
      <c r="W9" s="84">
        <f t="shared" si="5"/>
        <v>35394.667808219179</v>
      </c>
      <c r="X9" s="84">
        <f t="shared" si="5"/>
        <v>35394.667808219179</v>
      </c>
      <c r="Y9" s="84">
        <f t="shared" si="5"/>
        <v>35394.667808219179</v>
      </c>
      <c r="Z9" s="84">
        <f t="shared" si="5"/>
        <v>35394.667808219179</v>
      </c>
      <c r="AA9" s="84">
        <f t="shared" si="5"/>
        <v>35394.667808219179</v>
      </c>
      <c r="AB9" s="84">
        <f t="shared" si="5"/>
        <v>35394.667808219179</v>
      </c>
      <c r="AC9" s="84">
        <f t="shared" si="5"/>
        <v>35394.667808219179</v>
      </c>
      <c r="AD9" s="84">
        <f t="shared" si="5"/>
        <v>35394.667808219179</v>
      </c>
      <c r="AE9" s="84">
        <f t="shared" si="5"/>
        <v>35394.667808219179</v>
      </c>
      <c r="AF9" s="84">
        <f t="shared" si="5"/>
        <v>35394.667808219179</v>
      </c>
      <c r="AG9" s="84">
        <f t="shared" si="5"/>
        <v>35394.667808219179</v>
      </c>
      <c r="AH9" s="84">
        <f t="shared" si="5"/>
        <v>35394.667808219179</v>
      </c>
      <c r="AI9" s="84">
        <f t="shared" si="5"/>
        <v>35394.667808219179</v>
      </c>
      <c r="AJ9" s="84">
        <f t="shared" ref="AJ9:BA9" si="6">IF(AJ7+AnnMiles&gt;=$A9,0,AJ7+AnnMiles)</f>
        <v>35394.667808219179</v>
      </c>
      <c r="AK9" s="84">
        <f t="shared" si="6"/>
        <v>35394.667808219179</v>
      </c>
      <c r="AL9" s="84">
        <f t="shared" si="6"/>
        <v>35394.667808219179</v>
      </c>
      <c r="AM9" s="84">
        <f t="shared" si="6"/>
        <v>35394.667808219179</v>
      </c>
      <c r="AN9" s="84">
        <f t="shared" si="6"/>
        <v>35394.667808219179</v>
      </c>
      <c r="AO9" s="84">
        <f t="shared" si="6"/>
        <v>35394.667808219179</v>
      </c>
      <c r="AP9" s="84">
        <f t="shared" si="6"/>
        <v>35394.667808219179</v>
      </c>
      <c r="AQ9" s="84">
        <f t="shared" si="6"/>
        <v>35394.667808219179</v>
      </c>
      <c r="AR9" s="84">
        <f t="shared" si="6"/>
        <v>35394.667808219179</v>
      </c>
      <c r="AS9" s="84">
        <f t="shared" si="6"/>
        <v>35394.667808219179</v>
      </c>
      <c r="AT9" s="84">
        <f t="shared" si="6"/>
        <v>35394.667808219179</v>
      </c>
      <c r="AU9" s="84">
        <f t="shared" si="6"/>
        <v>35394.667808219179</v>
      </c>
      <c r="AV9" s="84">
        <f t="shared" si="6"/>
        <v>35394.667808219179</v>
      </c>
      <c r="AW9" s="84">
        <f t="shared" si="6"/>
        <v>35394.667808219179</v>
      </c>
      <c r="AX9" s="84">
        <f t="shared" si="6"/>
        <v>35394.667808219179</v>
      </c>
      <c r="AY9" s="84">
        <f t="shared" si="6"/>
        <v>35394.667808219179</v>
      </c>
      <c r="AZ9" s="84">
        <f t="shared" si="6"/>
        <v>35394.667808219179</v>
      </c>
      <c r="BA9" s="84">
        <f t="shared" si="6"/>
        <v>35394.667808219179</v>
      </c>
      <c r="BB9" s="84"/>
      <c r="BC9" s="85"/>
    </row>
    <row r="10" spans="1:55" x14ac:dyDescent="0.2">
      <c r="A10" s="52">
        <f>IF(Cost_by_Year!B9="",PolicyLTDMiles,Cost_by_Year!B9)</f>
        <v>530920.01712328766</v>
      </c>
      <c r="B10" s="7"/>
      <c r="C10" s="7">
        <f t="shared" ref="C10:C34" si="7">1+C9</f>
        <v>2</v>
      </c>
      <c r="D10" s="84">
        <f t="shared" ref="D10:D38" si="8">IF(D9+AnnMiles&gt;=$A10,0,D9+AnnMiles)</f>
        <v>218671.33561643836</v>
      </c>
      <c r="E10" s="84">
        <f t="shared" ref="E10:E38" si="9">IF(E9+AnnMiles&gt;=$A10,0,E9+AnnMiles)</f>
        <v>185041.33561643836</v>
      </c>
      <c r="F10" s="84">
        <f t="shared" ref="F10:F38" si="10">IF(F9+AnnMiles&gt;=$A10,0,F9+AnnMiles)</f>
        <v>527141.33561643842</v>
      </c>
      <c r="G10" s="84">
        <f t="shared" ref="G10:G38" si="11">IF(G9+AnnMiles&gt;=$A10,0,G9+AnnMiles)</f>
        <v>367163.33561643842</v>
      </c>
      <c r="H10" s="84">
        <f t="shared" ref="H10:H38" si="12">IF(H9+AnnMiles&gt;=$A10,0,H9+AnnMiles)</f>
        <v>489251.33561643842</v>
      </c>
      <c r="I10" s="84">
        <f t="shared" ref="I10:I38" si="13">IF(I9+AnnMiles&gt;=$A10,0,I9+AnnMiles)</f>
        <v>317179.33561643842</v>
      </c>
      <c r="J10" s="84">
        <f t="shared" ref="J10:J38" si="14">IF(J9+AnnMiles&gt;=$A10,0,J9+AnnMiles)</f>
        <v>316379.33561643842</v>
      </c>
      <c r="K10" s="84">
        <f t="shared" ref="K10:K38" si="15">IF(K9+AnnMiles&gt;=$A10,0,K9+AnnMiles)</f>
        <v>356497.33561643842</v>
      </c>
      <c r="L10" s="84">
        <f t="shared" ref="L10:L38" si="16">IF(L9+AnnMiles&gt;=$A10,0,L9+AnnMiles)</f>
        <v>342960.33561643842</v>
      </c>
      <c r="M10" s="84">
        <f t="shared" ref="M10:M38" si="17">IF(M9+AnnMiles&gt;=$A10,0,M9+AnnMiles)</f>
        <v>262730.33561643836</v>
      </c>
      <c r="N10" s="84">
        <f t="shared" ref="N10:N38" si="18">IF(N9+AnnMiles&gt;=$A10,0,N9+AnnMiles)</f>
        <v>233114.33561643836</v>
      </c>
      <c r="O10" s="84">
        <f t="shared" ref="O10:O38" si="19">IF(O9+AnnMiles&gt;=$A10,0,O9+AnnMiles)</f>
        <v>283515.33561643836</v>
      </c>
      <c r="P10" s="84">
        <f t="shared" ref="P10:P38" si="20">IF(P9+AnnMiles&gt;=$A10,0,P9+AnnMiles)</f>
        <v>95852.335616438359</v>
      </c>
      <c r="Q10" s="84">
        <f t="shared" ref="Q10:Q38" si="21">IF(Q9+AnnMiles&gt;=$A10,0,Q9+AnnMiles)</f>
        <v>89759.335616438359</v>
      </c>
      <c r="R10" s="84">
        <f t="shared" ref="R10:R38" si="22">IF(R9+AnnMiles&gt;=$A10,0,R9+AnnMiles)</f>
        <v>70789.335616438359</v>
      </c>
      <c r="S10" s="84">
        <f t="shared" ref="S10:S38" si="23">IF(S9+AnnMiles&gt;=$A10,0,S9+AnnMiles)</f>
        <v>70789.335616438359</v>
      </c>
      <c r="T10" s="84">
        <f t="shared" ref="T10:T38" si="24">IF(T9+AnnMiles&gt;=$A10,0,T9+AnnMiles)</f>
        <v>70789.335616438359</v>
      </c>
      <c r="U10" s="84">
        <f t="shared" ref="U10:U38" si="25">IF(U9+AnnMiles&gt;=$A10,0,U9+AnnMiles)</f>
        <v>70789.335616438359</v>
      </c>
      <c r="V10" s="84">
        <f t="shared" ref="V10:V38" si="26">IF(V9+AnnMiles&gt;=$A10,0,V9+AnnMiles)</f>
        <v>70789.335616438359</v>
      </c>
      <c r="W10" s="84">
        <f t="shared" ref="W10:W38" si="27">IF(W9+AnnMiles&gt;=$A10,0,W9+AnnMiles)</f>
        <v>70789.335616438359</v>
      </c>
      <c r="X10" s="84">
        <f t="shared" ref="X10:X38" si="28">IF(X9+AnnMiles&gt;=$A10,0,X9+AnnMiles)</f>
        <v>70789.335616438359</v>
      </c>
      <c r="Y10" s="84">
        <f t="shared" ref="Y10:Y38" si="29">IF(Y9+AnnMiles&gt;=$A10,0,Y9+AnnMiles)</f>
        <v>70789.335616438359</v>
      </c>
      <c r="Z10" s="84">
        <f t="shared" ref="Z10:Z38" si="30">IF(Z9+AnnMiles&gt;=$A10,0,Z9+AnnMiles)</f>
        <v>70789.335616438359</v>
      </c>
      <c r="AA10" s="84">
        <f t="shared" ref="AA10:AA38" si="31">IF(AA9+AnnMiles&gt;=$A10,0,AA9+AnnMiles)</f>
        <v>70789.335616438359</v>
      </c>
      <c r="AB10" s="84">
        <f t="shared" ref="AB10:AB38" si="32">IF(AB9+AnnMiles&gt;=$A10,0,AB9+AnnMiles)</f>
        <v>70789.335616438359</v>
      </c>
      <c r="AC10" s="84">
        <f t="shared" ref="AC10:AC38" si="33">IF(AC9+AnnMiles&gt;=$A10,0,AC9+AnnMiles)</f>
        <v>70789.335616438359</v>
      </c>
      <c r="AD10" s="84">
        <f t="shared" ref="AD10:AD38" si="34">IF(AD9+AnnMiles&gt;=$A10,0,AD9+AnnMiles)</f>
        <v>70789.335616438359</v>
      </c>
      <c r="AE10" s="84">
        <f t="shared" ref="AE10:AE38" si="35">IF(AE9+AnnMiles&gt;=$A10,0,AE9+AnnMiles)</f>
        <v>70789.335616438359</v>
      </c>
      <c r="AF10" s="84">
        <f t="shared" ref="AF10:AF38" si="36">IF(AF9+AnnMiles&gt;=$A10,0,AF9+AnnMiles)</f>
        <v>70789.335616438359</v>
      </c>
      <c r="AG10" s="84">
        <f t="shared" ref="AG10:AG38" si="37">IF(AG9+AnnMiles&gt;=$A10,0,AG9+AnnMiles)</f>
        <v>70789.335616438359</v>
      </c>
      <c r="AH10" s="84">
        <f t="shared" ref="AH10:AH38" si="38">IF(AH9+AnnMiles&gt;=$A10,0,AH9+AnnMiles)</f>
        <v>70789.335616438359</v>
      </c>
      <c r="AI10" s="84">
        <f t="shared" ref="AI10:AI38" si="39">IF(AI9+AnnMiles&gt;=$A10,0,AI9+AnnMiles)</f>
        <v>70789.335616438359</v>
      </c>
      <c r="AJ10" s="84">
        <f t="shared" ref="AJ10:AJ38" si="40">IF(AJ9+AnnMiles&gt;=$A10,0,AJ9+AnnMiles)</f>
        <v>70789.335616438359</v>
      </c>
      <c r="AK10" s="84">
        <f t="shared" ref="AK10:AK38" si="41">IF(AK9+AnnMiles&gt;=$A10,0,AK9+AnnMiles)</f>
        <v>70789.335616438359</v>
      </c>
      <c r="AL10" s="84">
        <f t="shared" ref="AL10:AL38" si="42">IF(AL9+AnnMiles&gt;=$A10,0,AL9+AnnMiles)</f>
        <v>70789.335616438359</v>
      </c>
      <c r="AM10" s="84">
        <f t="shared" ref="AM10:AM38" si="43">IF(AM9+AnnMiles&gt;=$A10,0,AM9+AnnMiles)</f>
        <v>70789.335616438359</v>
      </c>
      <c r="AN10" s="84">
        <f t="shared" ref="AN10:AN38" si="44">IF(AN9+AnnMiles&gt;=$A10,0,AN9+AnnMiles)</f>
        <v>70789.335616438359</v>
      </c>
      <c r="AO10" s="84">
        <f t="shared" ref="AO10:AO38" si="45">IF(AO9+AnnMiles&gt;=$A10,0,AO9+AnnMiles)</f>
        <v>70789.335616438359</v>
      </c>
      <c r="AP10" s="84">
        <f t="shared" ref="AP10:AP38" si="46">IF(AP9+AnnMiles&gt;=$A10,0,AP9+AnnMiles)</f>
        <v>70789.335616438359</v>
      </c>
      <c r="AQ10" s="84">
        <f t="shared" ref="AQ10:AQ38" si="47">IF(AQ9+AnnMiles&gt;=$A10,0,AQ9+AnnMiles)</f>
        <v>70789.335616438359</v>
      </c>
      <c r="AR10" s="84">
        <f t="shared" ref="AR10:AR38" si="48">IF(AR9+AnnMiles&gt;=$A10,0,AR9+AnnMiles)</f>
        <v>70789.335616438359</v>
      </c>
      <c r="AS10" s="84">
        <f t="shared" ref="AS10:AS38" si="49">IF(AS9+AnnMiles&gt;=$A10,0,AS9+AnnMiles)</f>
        <v>70789.335616438359</v>
      </c>
      <c r="AT10" s="84">
        <f t="shared" ref="AT10:AT38" si="50">IF(AT9+AnnMiles&gt;=$A10,0,AT9+AnnMiles)</f>
        <v>70789.335616438359</v>
      </c>
      <c r="AU10" s="84">
        <f t="shared" ref="AU10:AU38" si="51">IF(AU9+AnnMiles&gt;=$A10,0,AU9+AnnMiles)</f>
        <v>70789.335616438359</v>
      </c>
      <c r="AV10" s="84">
        <f t="shared" ref="AV10:AV38" si="52">IF(AV9+AnnMiles&gt;=$A10,0,AV9+AnnMiles)</f>
        <v>70789.335616438359</v>
      </c>
      <c r="AW10" s="84">
        <f t="shared" ref="AW10:AW38" si="53">IF(AW9+AnnMiles&gt;=$A10,0,AW9+AnnMiles)</f>
        <v>70789.335616438359</v>
      </c>
      <c r="AX10" s="84">
        <f t="shared" ref="AX10:AX38" si="54">IF(AX9+AnnMiles&gt;=$A10,0,AX9+AnnMiles)</f>
        <v>70789.335616438359</v>
      </c>
      <c r="AY10" s="84">
        <f t="shared" ref="AY10:AY38" si="55">IF(AY9+AnnMiles&gt;=$A10,0,AY9+AnnMiles)</f>
        <v>70789.335616438359</v>
      </c>
      <c r="AZ10" s="84">
        <f t="shared" ref="AZ10:AZ38" si="56">IF(AZ9+AnnMiles&gt;=$A10,0,AZ9+AnnMiles)</f>
        <v>70789.335616438359</v>
      </c>
      <c r="BA10" s="84">
        <f t="shared" ref="BA10:BA38" si="57">IF(BA9+AnnMiles&gt;=$A10,0,BA9+AnnMiles)</f>
        <v>70789.335616438359</v>
      </c>
      <c r="BB10" s="84"/>
      <c r="BC10" s="85"/>
    </row>
    <row r="11" spans="1:55" x14ac:dyDescent="0.2">
      <c r="A11" s="52">
        <f>IF(Cost_by_Year!B10="",PolicyLTDMiles,Cost_by_Year!B10)</f>
        <v>530920.01712328766</v>
      </c>
      <c r="B11" s="7"/>
      <c r="C11" s="7">
        <f t="shared" si="7"/>
        <v>3</v>
      </c>
      <c r="D11" s="84">
        <f t="shared" si="8"/>
        <v>254066.00342465754</v>
      </c>
      <c r="E11" s="84">
        <f t="shared" si="9"/>
        <v>220436.00342465754</v>
      </c>
      <c r="F11" s="84">
        <f t="shared" si="10"/>
        <v>0</v>
      </c>
      <c r="G11" s="84">
        <f t="shared" si="11"/>
        <v>402558.00342465763</v>
      </c>
      <c r="H11" s="84">
        <f t="shared" si="12"/>
        <v>524646.00342465763</v>
      </c>
      <c r="I11" s="84">
        <f t="shared" si="13"/>
        <v>352574.00342465763</v>
      </c>
      <c r="J11" s="84">
        <f t="shared" si="14"/>
        <v>351774.00342465763</v>
      </c>
      <c r="K11" s="84">
        <f t="shared" si="15"/>
        <v>391892.00342465763</v>
      </c>
      <c r="L11" s="84">
        <f t="shared" si="16"/>
        <v>378355.00342465763</v>
      </c>
      <c r="M11" s="84">
        <f t="shared" si="17"/>
        <v>298125.00342465751</v>
      </c>
      <c r="N11" s="84">
        <f t="shared" si="18"/>
        <v>268509.00342465751</v>
      </c>
      <c r="O11" s="84">
        <f t="shared" si="19"/>
        <v>318910.00342465751</v>
      </c>
      <c r="P11" s="84">
        <f t="shared" si="20"/>
        <v>131247.00342465754</v>
      </c>
      <c r="Q11" s="84">
        <f t="shared" si="21"/>
        <v>125154.00342465754</v>
      </c>
      <c r="R11" s="84">
        <f t="shared" si="22"/>
        <v>106184.00342465754</v>
      </c>
      <c r="S11" s="84">
        <f t="shared" si="23"/>
        <v>106184.00342465754</v>
      </c>
      <c r="T11" s="84">
        <f t="shared" si="24"/>
        <v>106184.00342465754</v>
      </c>
      <c r="U11" s="84">
        <f t="shared" si="25"/>
        <v>106184.00342465754</v>
      </c>
      <c r="V11" s="84">
        <f t="shared" si="26"/>
        <v>106184.00342465754</v>
      </c>
      <c r="W11" s="84">
        <f t="shared" si="27"/>
        <v>106184.00342465754</v>
      </c>
      <c r="X11" s="84">
        <f t="shared" si="28"/>
        <v>106184.00342465754</v>
      </c>
      <c r="Y11" s="84">
        <f t="shared" si="29"/>
        <v>106184.00342465754</v>
      </c>
      <c r="Z11" s="84">
        <f t="shared" si="30"/>
        <v>106184.00342465754</v>
      </c>
      <c r="AA11" s="84">
        <f t="shared" si="31"/>
        <v>106184.00342465754</v>
      </c>
      <c r="AB11" s="84">
        <f t="shared" si="32"/>
        <v>106184.00342465754</v>
      </c>
      <c r="AC11" s="84">
        <f t="shared" si="33"/>
        <v>106184.00342465754</v>
      </c>
      <c r="AD11" s="84">
        <f t="shared" si="34"/>
        <v>106184.00342465754</v>
      </c>
      <c r="AE11" s="84">
        <f t="shared" si="35"/>
        <v>106184.00342465754</v>
      </c>
      <c r="AF11" s="84">
        <f t="shared" si="36"/>
        <v>106184.00342465754</v>
      </c>
      <c r="AG11" s="84">
        <f t="shared" si="37"/>
        <v>106184.00342465754</v>
      </c>
      <c r="AH11" s="84">
        <f t="shared" si="38"/>
        <v>106184.00342465754</v>
      </c>
      <c r="AI11" s="84">
        <f t="shared" si="39"/>
        <v>106184.00342465754</v>
      </c>
      <c r="AJ11" s="84">
        <f t="shared" si="40"/>
        <v>106184.00342465754</v>
      </c>
      <c r="AK11" s="84">
        <f t="shared" si="41"/>
        <v>106184.00342465754</v>
      </c>
      <c r="AL11" s="84">
        <f t="shared" si="42"/>
        <v>106184.00342465754</v>
      </c>
      <c r="AM11" s="84">
        <f t="shared" si="43"/>
        <v>106184.00342465754</v>
      </c>
      <c r="AN11" s="84">
        <f t="shared" si="44"/>
        <v>106184.00342465754</v>
      </c>
      <c r="AO11" s="84">
        <f t="shared" si="45"/>
        <v>106184.00342465754</v>
      </c>
      <c r="AP11" s="84">
        <f t="shared" si="46"/>
        <v>106184.00342465754</v>
      </c>
      <c r="AQ11" s="84">
        <f t="shared" si="47"/>
        <v>106184.00342465754</v>
      </c>
      <c r="AR11" s="84">
        <f t="shared" si="48"/>
        <v>106184.00342465754</v>
      </c>
      <c r="AS11" s="84">
        <f t="shared" si="49"/>
        <v>106184.00342465754</v>
      </c>
      <c r="AT11" s="84">
        <f t="shared" si="50"/>
        <v>106184.00342465754</v>
      </c>
      <c r="AU11" s="84">
        <f t="shared" si="51"/>
        <v>106184.00342465754</v>
      </c>
      <c r="AV11" s="84">
        <f t="shared" si="52"/>
        <v>106184.00342465754</v>
      </c>
      <c r="AW11" s="84">
        <f t="shared" si="53"/>
        <v>106184.00342465754</v>
      </c>
      <c r="AX11" s="84">
        <f t="shared" si="54"/>
        <v>106184.00342465754</v>
      </c>
      <c r="AY11" s="84">
        <f t="shared" si="55"/>
        <v>106184.00342465754</v>
      </c>
      <c r="AZ11" s="84">
        <f t="shared" si="56"/>
        <v>106184.00342465754</v>
      </c>
      <c r="BA11" s="84">
        <f t="shared" si="57"/>
        <v>106184.00342465754</v>
      </c>
      <c r="BB11" s="84"/>
      <c r="BC11" s="85"/>
    </row>
    <row r="12" spans="1:55" x14ac:dyDescent="0.2">
      <c r="A12" s="52">
        <f>IF(Cost_by_Year!B11="",PolicyLTDMiles,Cost_by_Year!B11)</f>
        <v>530920.01712328766</v>
      </c>
      <c r="B12" s="7"/>
      <c r="C12" s="7">
        <f t="shared" si="7"/>
        <v>4</v>
      </c>
      <c r="D12" s="84">
        <f t="shared" si="8"/>
        <v>289460.67123287672</v>
      </c>
      <c r="E12" s="84">
        <f t="shared" si="9"/>
        <v>255830.67123287672</v>
      </c>
      <c r="F12" s="84">
        <f t="shared" si="10"/>
        <v>35394.667808219179</v>
      </c>
      <c r="G12" s="84">
        <f t="shared" si="11"/>
        <v>437952.67123287683</v>
      </c>
      <c r="H12" s="84">
        <f t="shared" si="12"/>
        <v>0</v>
      </c>
      <c r="I12" s="84">
        <f t="shared" si="13"/>
        <v>387968.67123287683</v>
      </c>
      <c r="J12" s="84">
        <f t="shared" si="14"/>
        <v>387168.67123287683</v>
      </c>
      <c r="K12" s="84">
        <f t="shared" si="15"/>
        <v>427286.67123287683</v>
      </c>
      <c r="L12" s="84">
        <f t="shared" si="16"/>
        <v>413749.67123287683</v>
      </c>
      <c r="M12" s="84">
        <f t="shared" si="17"/>
        <v>333519.67123287672</v>
      </c>
      <c r="N12" s="84">
        <f t="shared" si="18"/>
        <v>303903.67123287672</v>
      </c>
      <c r="O12" s="84">
        <f t="shared" si="19"/>
        <v>354304.67123287672</v>
      </c>
      <c r="P12" s="84">
        <f t="shared" si="20"/>
        <v>166641.67123287672</v>
      </c>
      <c r="Q12" s="84">
        <f t="shared" si="21"/>
        <v>160548.67123287672</v>
      </c>
      <c r="R12" s="84">
        <f t="shared" si="22"/>
        <v>141578.67123287672</v>
      </c>
      <c r="S12" s="84">
        <f t="shared" si="23"/>
        <v>141578.67123287672</v>
      </c>
      <c r="T12" s="84">
        <f t="shared" si="24"/>
        <v>141578.67123287672</v>
      </c>
      <c r="U12" s="84">
        <f t="shared" si="25"/>
        <v>141578.67123287672</v>
      </c>
      <c r="V12" s="84">
        <f t="shared" si="26"/>
        <v>141578.67123287672</v>
      </c>
      <c r="W12" s="84">
        <f t="shared" si="27"/>
        <v>141578.67123287672</v>
      </c>
      <c r="X12" s="84">
        <f t="shared" si="28"/>
        <v>141578.67123287672</v>
      </c>
      <c r="Y12" s="84">
        <f t="shared" si="29"/>
        <v>141578.67123287672</v>
      </c>
      <c r="Z12" s="84">
        <f t="shared" si="30"/>
        <v>141578.67123287672</v>
      </c>
      <c r="AA12" s="84">
        <f t="shared" si="31"/>
        <v>141578.67123287672</v>
      </c>
      <c r="AB12" s="84">
        <f t="shared" si="32"/>
        <v>141578.67123287672</v>
      </c>
      <c r="AC12" s="84">
        <f t="shared" si="33"/>
        <v>141578.67123287672</v>
      </c>
      <c r="AD12" s="84">
        <f t="shared" si="34"/>
        <v>141578.67123287672</v>
      </c>
      <c r="AE12" s="84">
        <f t="shared" si="35"/>
        <v>141578.67123287672</v>
      </c>
      <c r="AF12" s="84">
        <f t="shared" si="36"/>
        <v>141578.67123287672</v>
      </c>
      <c r="AG12" s="84">
        <f t="shared" si="37"/>
        <v>141578.67123287672</v>
      </c>
      <c r="AH12" s="84">
        <f t="shared" si="38"/>
        <v>141578.67123287672</v>
      </c>
      <c r="AI12" s="84">
        <f t="shared" si="39"/>
        <v>141578.67123287672</v>
      </c>
      <c r="AJ12" s="84">
        <f t="shared" si="40"/>
        <v>141578.67123287672</v>
      </c>
      <c r="AK12" s="84">
        <f t="shared" si="41"/>
        <v>141578.67123287672</v>
      </c>
      <c r="AL12" s="84">
        <f t="shared" si="42"/>
        <v>141578.67123287672</v>
      </c>
      <c r="AM12" s="84">
        <f t="shared" si="43"/>
        <v>141578.67123287672</v>
      </c>
      <c r="AN12" s="84">
        <f t="shared" si="44"/>
        <v>141578.67123287672</v>
      </c>
      <c r="AO12" s="84">
        <f t="shared" si="45"/>
        <v>141578.67123287672</v>
      </c>
      <c r="AP12" s="84">
        <f t="shared" si="46"/>
        <v>141578.67123287672</v>
      </c>
      <c r="AQ12" s="84">
        <f t="shared" si="47"/>
        <v>141578.67123287672</v>
      </c>
      <c r="AR12" s="84">
        <f t="shared" si="48"/>
        <v>141578.67123287672</v>
      </c>
      <c r="AS12" s="84">
        <f t="shared" si="49"/>
        <v>141578.67123287672</v>
      </c>
      <c r="AT12" s="84">
        <f t="shared" si="50"/>
        <v>141578.67123287672</v>
      </c>
      <c r="AU12" s="84">
        <f t="shared" si="51"/>
        <v>141578.67123287672</v>
      </c>
      <c r="AV12" s="84">
        <f t="shared" si="52"/>
        <v>141578.67123287672</v>
      </c>
      <c r="AW12" s="84">
        <f t="shared" si="53"/>
        <v>141578.67123287672</v>
      </c>
      <c r="AX12" s="84">
        <f t="shared" si="54"/>
        <v>141578.67123287672</v>
      </c>
      <c r="AY12" s="84">
        <f t="shared" si="55"/>
        <v>141578.67123287672</v>
      </c>
      <c r="AZ12" s="84">
        <f t="shared" si="56"/>
        <v>141578.67123287672</v>
      </c>
      <c r="BA12" s="84">
        <f t="shared" si="57"/>
        <v>141578.67123287672</v>
      </c>
      <c r="BB12" s="84"/>
      <c r="BC12" s="85"/>
    </row>
    <row r="13" spans="1:55" x14ac:dyDescent="0.2">
      <c r="A13" s="52">
        <f>IF(Cost_by_Year!B12="",PolicyLTDMiles,Cost_by_Year!B12)</f>
        <v>530920.01712328766</v>
      </c>
      <c r="B13" s="7"/>
      <c r="C13" s="7">
        <f t="shared" si="7"/>
        <v>5</v>
      </c>
      <c r="D13" s="84">
        <f t="shared" si="8"/>
        <v>324855.33904109593</v>
      </c>
      <c r="E13" s="84">
        <f t="shared" si="9"/>
        <v>291225.33904109593</v>
      </c>
      <c r="F13" s="84">
        <f t="shared" si="10"/>
        <v>70789.335616438359</v>
      </c>
      <c r="G13" s="84">
        <f t="shared" si="11"/>
        <v>473347.33904109604</v>
      </c>
      <c r="H13" s="84">
        <f t="shared" si="12"/>
        <v>35394.667808219179</v>
      </c>
      <c r="I13" s="84">
        <f t="shared" si="13"/>
        <v>423363.33904109604</v>
      </c>
      <c r="J13" s="84">
        <f t="shared" si="14"/>
        <v>422563.33904109604</v>
      </c>
      <c r="K13" s="84">
        <f t="shared" si="15"/>
        <v>462681.33904109604</v>
      </c>
      <c r="L13" s="84">
        <f t="shared" si="16"/>
        <v>449144.33904109604</v>
      </c>
      <c r="M13" s="84">
        <f t="shared" si="17"/>
        <v>368914.33904109593</v>
      </c>
      <c r="N13" s="84">
        <f t="shared" si="18"/>
        <v>339298.33904109593</v>
      </c>
      <c r="O13" s="84">
        <f t="shared" si="19"/>
        <v>389699.33904109593</v>
      </c>
      <c r="P13" s="84">
        <f t="shared" si="20"/>
        <v>202036.3390410959</v>
      </c>
      <c r="Q13" s="84">
        <f t="shared" si="21"/>
        <v>195943.3390410959</v>
      </c>
      <c r="R13" s="84">
        <f t="shared" si="22"/>
        <v>176973.3390410959</v>
      </c>
      <c r="S13" s="84">
        <f t="shared" si="23"/>
        <v>176973.3390410959</v>
      </c>
      <c r="T13" s="84">
        <f t="shared" si="24"/>
        <v>176973.3390410959</v>
      </c>
      <c r="U13" s="84">
        <f t="shared" si="25"/>
        <v>176973.3390410959</v>
      </c>
      <c r="V13" s="84">
        <f t="shared" si="26"/>
        <v>176973.3390410959</v>
      </c>
      <c r="W13" s="84">
        <f t="shared" si="27"/>
        <v>176973.3390410959</v>
      </c>
      <c r="X13" s="84">
        <f t="shared" si="28"/>
        <v>176973.3390410959</v>
      </c>
      <c r="Y13" s="84">
        <f t="shared" si="29"/>
        <v>176973.3390410959</v>
      </c>
      <c r="Z13" s="84">
        <f t="shared" si="30"/>
        <v>176973.3390410959</v>
      </c>
      <c r="AA13" s="84">
        <f t="shared" si="31"/>
        <v>176973.3390410959</v>
      </c>
      <c r="AB13" s="84">
        <f t="shared" si="32"/>
        <v>176973.3390410959</v>
      </c>
      <c r="AC13" s="84">
        <f t="shared" si="33"/>
        <v>176973.3390410959</v>
      </c>
      <c r="AD13" s="84">
        <f t="shared" si="34"/>
        <v>176973.3390410959</v>
      </c>
      <c r="AE13" s="84">
        <f t="shared" si="35"/>
        <v>176973.3390410959</v>
      </c>
      <c r="AF13" s="84">
        <f t="shared" si="36"/>
        <v>176973.3390410959</v>
      </c>
      <c r="AG13" s="84">
        <f t="shared" si="37"/>
        <v>176973.3390410959</v>
      </c>
      <c r="AH13" s="84">
        <f t="shared" si="38"/>
        <v>176973.3390410959</v>
      </c>
      <c r="AI13" s="84">
        <f t="shared" si="39"/>
        <v>176973.3390410959</v>
      </c>
      <c r="AJ13" s="84">
        <f t="shared" si="40"/>
        <v>176973.3390410959</v>
      </c>
      <c r="AK13" s="84">
        <f t="shared" si="41"/>
        <v>176973.3390410959</v>
      </c>
      <c r="AL13" s="84">
        <f t="shared" si="42"/>
        <v>176973.3390410959</v>
      </c>
      <c r="AM13" s="84">
        <f t="shared" si="43"/>
        <v>176973.3390410959</v>
      </c>
      <c r="AN13" s="84">
        <f t="shared" si="44"/>
        <v>176973.3390410959</v>
      </c>
      <c r="AO13" s="84">
        <f t="shared" si="45"/>
        <v>176973.3390410959</v>
      </c>
      <c r="AP13" s="84">
        <f t="shared" si="46"/>
        <v>176973.3390410959</v>
      </c>
      <c r="AQ13" s="84">
        <f t="shared" si="47"/>
        <v>176973.3390410959</v>
      </c>
      <c r="AR13" s="84">
        <f t="shared" si="48"/>
        <v>176973.3390410959</v>
      </c>
      <c r="AS13" s="84">
        <f t="shared" si="49"/>
        <v>176973.3390410959</v>
      </c>
      <c r="AT13" s="84">
        <f t="shared" si="50"/>
        <v>176973.3390410959</v>
      </c>
      <c r="AU13" s="84">
        <f t="shared" si="51"/>
        <v>176973.3390410959</v>
      </c>
      <c r="AV13" s="84">
        <f t="shared" si="52"/>
        <v>176973.3390410959</v>
      </c>
      <c r="AW13" s="84">
        <f t="shared" si="53"/>
        <v>176973.3390410959</v>
      </c>
      <c r="AX13" s="84">
        <f t="shared" si="54"/>
        <v>176973.3390410959</v>
      </c>
      <c r="AY13" s="84">
        <f t="shared" si="55"/>
        <v>176973.3390410959</v>
      </c>
      <c r="AZ13" s="84">
        <f t="shared" si="56"/>
        <v>176973.3390410959</v>
      </c>
      <c r="BA13" s="84">
        <f t="shared" si="57"/>
        <v>176973.3390410959</v>
      </c>
      <c r="BB13" s="84"/>
      <c r="BC13" s="85"/>
    </row>
    <row r="14" spans="1:55" x14ac:dyDescent="0.2">
      <c r="A14" s="52">
        <f>IF(Cost_by_Year!B13="",PolicyLTDMiles,Cost_by_Year!B13)</f>
        <v>530920.01712328766</v>
      </c>
      <c r="B14" s="7"/>
      <c r="C14" s="7">
        <f t="shared" si="7"/>
        <v>6</v>
      </c>
      <c r="D14" s="84">
        <f t="shared" si="8"/>
        <v>360250.00684931513</v>
      </c>
      <c r="E14" s="84">
        <f t="shared" si="9"/>
        <v>326620.00684931513</v>
      </c>
      <c r="F14" s="84">
        <f t="shared" si="10"/>
        <v>106184.00342465754</v>
      </c>
      <c r="G14" s="84">
        <f t="shared" si="11"/>
        <v>508742.00684931525</v>
      </c>
      <c r="H14" s="84">
        <f t="shared" si="12"/>
        <v>70789.335616438359</v>
      </c>
      <c r="I14" s="84">
        <f t="shared" si="13"/>
        <v>458758.00684931525</v>
      </c>
      <c r="J14" s="84">
        <f t="shared" si="14"/>
        <v>457958.00684931525</v>
      </c>
      <c r="K14" s="84">
        <f t="shared" si="15"/>
        <v>498076.00684931525</v>
      </c>
      <c r="L14" s="84">
        <f t="shared" si="16"/>
        <v>484539.00684931525</v>
      </c>
      <c r="M14" s="84">
        <f t="shared" si="17"/>
        <v>404309.00684931513</v>
      </c>
      <c r="N14" s="84">
        <f t="shared" si="18"/>
        <v>374693.00684931513</v>
      </c>
      <c r="O14" s="84">
        <f t="shared" si="19"/>
        <v>425094.00684931513</v>
      </c>
      <c r="P14" s="84">
        <f t="shared" si="20"/>
        <v>237431.00684931508</v>
      </c>
      <c r="Q14" s="84">
        <f t="shared" si="21"/>
        <v>231338.00684931508</v>
      </c>
      <c r="R14" s="84">
        <f t="shared" si="22"/>
        <v>212368.00684931508</v>
      </c>
      <c r="S14" s="84">
        <f t="shared" si="23"/>
        <v>212368.00684931508</v>
      </c>
      <c r="T14" s="84">
        <f t="shared" si="24"/>
        <v>212368.00684931508</v>
      </c>
      <c r="U14" s="84">
        <f t="shared" si="25"/>
        <v>212368.00684931508</v>
      </c>
      <c r="V14" s="84">
        <f t="shared" si="26"/>
        <v>212368.00684931508</v>
      </c>
      <c r="W14" s="84">
        <f t="shared" si="27"/>
        <v>212368.00684931508</v>
      </c>
      <c r="X14" s="84">
        <f t="shared" si="28"/>
        <v>212368.00684931508</v>
      </c>
      <c r="Y14" s="84">
        <f t="shared" si="29"/>
        <v>212368.00684931508</v>
      </c>
      <c r="Z14" s="84">
        <f t="shared" si="30"/>
        <v>212368.00684931508</v>
      </c>
      <c r="AA14" s="84">
        <f t="shared" si="31"/>
        <v>212368.00684931508</v>
      </c>
      <c r="AB14" s="84">
        <f t="shared" si="32"/>
        <v>212368.00684931508</v>
      </c>
      <c r="AC14" s="84">
        <f t="shared" si="33"/>
        <v>212368.00684931508</v>
      </c>
      <c r="AD14" s="84">
        <f t="shared" si="34"/>
        <v>212368.00684931508</v>
      </c>
      <c r="AE14" s="84">
        <f t="shared" si="35"/>
        <v>212368.00684931508</v>
      </c>
      <c r="AF14" s="84">
        <f t="shared" si="36"/>
        <v>212368.00684931508</v>
      </c>
      <c r="AG14" s="84">
        <f t="shared" si="37"/>
        <v>212368.00684931508</v>
      </c>
      <c r="AH14" s="84">
        <f t="shared" si="38"/>
        <v>212368.00684931508</v>
      </c>
      <c r="AI14" s="84">
        <f t="shared" si="39"/>
        <v>212368.00684931508</v>
      </c>
      <c r="AJ14" s="84">
        <f t="shared" si="40"/>
        <v>212368.00684931508</v>
      </c>
      <c r="AK14" s="84">
        <f t="shared" si="41"/>
        <v>212368.00684931508</v>
      </c>
      <c r="AL14" s="84">
        <f t="shared" si="42"/>
        <v>212368.00684931508</v>
      </c>
      <c r="AM14" s="84">
        <f t="shared" si="43"/>
        <v>212368.00684931508</v>
      </c>
      <c r="AN14" s="84">
        <f t="shared" si="44"/>
        <v>212368.00684931508</v>
      </c>
      <c r="AO14" s="84">
        <f t="shared" si="45"/>
        <v>212368.00684931508</v>
      </c>
      <c r="AP14" s="84">
        <f t="shared" si="46"/>
        <v>212368.00684931508</v>
      </c>
      <c r="AQ14" s="84">
        <f t="shared" si="47"/>
        <v>212368.00684931508</v>
      </c>
      <c r="AR14" s="84">
        <f t="shared" si="48"/>
        <v>212368.00684931508</v>
      </c>
      <c r="AS14" s="84">
        <f t="shared" si="49"/>
        <v>212368.00684931508</v>
      </c>
      <c r="AT14" s="84">
        <f t="shared" si="50"/>
        <v>212368.00684931508</v>
      </c>
      <c r="AU14" s="84">
        <f t="shared" si="51"/>
        <v>212368.00684931508</v>
      </c>
      <c r="AV14" s="84">
        <f t="shared" si="52"/>
        <v>212368.00684931508</v>
      </c>
      <c r="AW14" s="84">
        <f t="shared" si="53"/>
        <v>212368.00684931508</v>
      </c>
      <c r="AX14" s="84">
        <f t="shared" si="54"/>
        <v>212368.00684931508</v>
      </c>
      <c r="AY14" s="84">
        <f t="shared" si="55"/>
        <v>212368.00684931508</v>
      </c>
      <c r="AZ14" s="84">
        <f t="shared" si="56"/>
        <v>212368.00684931508</v>
      </c>
      <c r="BA14" s="84">
        <f t="shared" si="57"/>
        <v>212368.00684931508</v>
      </c>
      <c r="BB14" s="84"/>
      <c r="BC14" s="85"/>
    </row>
    <row r="15" spans="1:55" x14ac:dyDescent="0.2">
      <c r="A15" s="52">
        <f>IF(Cost_by_Year!B14="",PolicyLTDMiles,Cost_by_Year!B14)</f>
        <v>530920.01712328766</v>
      </c>
      <c r="B15" s="7"/>
      <c r="C15" s="7">
        <f t="shared" si="7"/>
        <v>7</v>
      </c>
      <c r="D15" s="84">
        <f t="shared" si="8"/>
        <v>395644.67465753434</v>
      </c>
      <c r="E15" s="84">
        <f t="shared" si="9"/>
        <v>362014.67465753434</v>
      </c>
      <c r="F15" s="84">
        <f t="shared" si="10"/>
        <v>141578.67123287672</v>
      </c>
      <c r="G15" s="84">
        <f t="shared" si="11"/>
        <v>0</v>
      </c>
      <c r="H15" s="84">
        <f t="shared" si="12"/>
        <v>106184.00342465754</v>
      </c>
      <c r="I15" s="84">
        <f t="shared" si="13"/>
        <v>494152.67465753446</v>
      </c>
      <c r="J15" s="84">
        <f t="shared" si="14"/>
        <v>493352.67465753446</v>
      </c>
      <c r="K15" s="84">
        <f t="shared" si="15"/>
        <v>0</v>
      </c>
      <c r="L15" s="84">
        <f t="shared" si="16"/>
        <v>519933.67465753446</v>
      </c>
      <c r="M15" s="84">
        <f t="shared" si="17"/>
        <v>439703.67465753434</v>
      </c>
      <c r="N15" s="84">
        <f t="shared" si="18"/>
        <v>410087.67465753434</v>
      </c>
      <c r="O15" s="84">
        <f t="shared" si="19"/>
        <v>460488.67465753434</v>
      </c>
      <c r="P15" s="84">
        <f t="shared" si="20"/>
        <v>272825.67465753423</v>
      </c>
      <c r="Q15" s="84">
        <f t="shared" si="21"/>
        <v>266732.67465753423</v>
      </c>
      <c r="R15" s="84">
        <f t="shared" si="22"/>
        <v>247762.67465753425</v>
      </c>
      <c r="S15" s="84">
        <f t="shared" si="23"/>
        <v>247762.67465753425</v>
      </c>
      <c r="T15" s="84">
        <f t="shared" si="24"/>
        <v>247762.67465753425</v>
      </c>
      <c r="U15" s="84">
        <f t="shared" si="25"/>
        <v>247762.67465753425</v>
      </c>
      <c r="V15" s="84">
        <f t="shared" si="26"/>
        <v>247762.67465753425</v>
      </c>
      <c r="W15" s="84">
        <f t="shared" si="27"/>
        <v>247762.67465753425</v>
      </c>
      <c r="X15" s="84">
        <f t="shared" si="28"/>
        <v>247762.67465753425</v>
      </c>
      <c r="Y15" s="84">
        <f t="shared" si="29"/>
        <v>247762.67465753425</v>
      </c>
      <c r="Z15" s="84">
        <f t="shared" si="30"/>
        <v>247762.67465753425</v>
      </c>
      <c r="AA15" s="84">
        <f t="shared" si="31"/>
        <v>247762.67465753425</v>
      </c>
      <c r="AB15" s="84">
        <f t="shared" si="32"/>
        <v>247762.67465753425</v>
      </c>
      <c r="AC15" s="84">
        <f t="shared" si="33"/>
        <v>247762.67465753425</v>
      </c>
      <c r="AD15" s="84">
        <f t="shared" si="34"/>
        <v>247762.67465753425</v>
      </c>
      <c r="AE15" s="84">
        <f t="shared" si="35"/>
        <v>247762.67465753425</v>
      </c>
      <c r="AF15" s="84">
        <f t="shared" si="36"/>
        <v>247762.67465753425</v>
      </c>
      <c r="AG15" s="84">
        <f t="shared" si="37"/>
        <v>247762.67465753425</v>
      </c>
      <c r="AH15" s="84">
        <f t="shared" si="38"/>
        <v>247762.67465753425</v>
      </c>
      <c r="AI15" s="84">
        <f t="shared" si="39"/>
        <v>247762.67465753425</v>
      </c>
      <c r="AJ15" s="84">
        <f t="shared" si="40"/>
        <v>247762.67465753425</v>
      </c>
      <c r="AK15" s="84">
        <f t="shared" si="41"/>
        <v>247762.67465753425</v>
      </c>
      <c r="AL15" s="84">
        <f t="shared" si="42"/>
        <v>247762.67465753425</v>
      </c>
      <c r="AM15" s="84">
        <f t="shared" si="43"/>
        <v>247762.67465753425</v>
      </c>
      <c r="AN15" s="84">
        <f t="shared" si="44"/>
        <v>247762.67465753425</v>
      </c>
      <c r="AO15" s="84">
        <f t="shared" si="45"/>
        <v>247762.67465753425</v>
      </c>
      <c r="AP15" s="84">
        <f t="shared" si="46"/>
        <v>247762.67465753425</v>
      </c>
      <c r="AQ15" s="84">
        <f t="shared" si="47"/>
        <v>247762.67465753425</v>
      </c>
      <c r="AR15" s="84">
        <f t="shared" si="48"/>
        <v>247762.67465753425</v>
      </c>
      <c r="AS15" s="84">
        <f t="shared" si="49"/>
        <v>247762.67465753425</v>
      </c>
      <c r="AT15" s="84">
        <f t="shared" si="50"/>
        <v>247762.67465753425</v>
      </c>
      <c r="AU15" s="84">
        <f t="shared" si="51"/>
        <v>247762.67465753425</v>
      </c>
      <c r="AV15" s="84">
        <f t="shared" si="52"/>
        <v>247762.67465753425</v>
      </c>
      <c r="AW15" s="84">
        <f t="shared" si="53"/>
        <v>247762.67465753425</v>
      </c>
      <c r="AX15" s="84">
        <f t="shared" si="54"/>
        <v>247762.67465753425</v>
      </c>
      <c r="AY15" s="84">
        <f t="shared" si="55"/>
        <v>247762.67465753425</v>
      </c>
      <c r="AZ15" s="84">
        <f t="shared" si="56"/>
        <v>247762.67465753425</v>
      </c>
      <c r="BA15" s="84">
        <f t="shared" si="57"/>
        <v>247762.67465753425</v>
      </c>
      <c r="BB15" s="84"/>
      <c r="BC15" s="85"/>
    </row>
    <row r="16" spans="1:55" x14ac:dyDescent="0.2">
      <c r="A16" s="52">
        <f>IF(Cost_by_Year!B15="",PolicyLTDMiles,Cost_by_Year!B15)</f>
        <v>530920.01712328766</v>
      </c>
      <c r="B16" s="7"/>
      <c r="C16" s="7">
        <f t="shared" si="7"/>
        <v>8</v>
      </c>
      <c r="D16" s="84">
        <f t="shared" si="8"/>
        <v>431039.34246575355</v>
      </c>
      <c r="E16" s="84">
        <f t="shared" si="9"/>
        <v>397409.34246575355</v>
      </c>
      <c r="F16" s="84">
        <f t="shared" si="10"/>
        <v>176973.3390410959</v>
      </c>
      <c r="G16" s="84">
        <f t="shared" si="11"/>
        <v>35394.667808219179</v>
      </c>
      <c r="H16" s="84">
        <f t="shared" si="12"/>
        <v>141578.67123287672</v>
      </c>
      <c r="I16" s="84">
        <f t="shared" si="13"/>
        <v>529547.34246575367</v>
      </c>
      <c r="J16" s="84">
        <f t="shared" si="14"/>
        <v>528747.34246575367</v>
      </c>
      <c r="K16" s="84">
        <f t="shared" si="15"/>
        <v>35394.667808219179</v>
      </c>
      <c r="L16" s="84">
        <f t="shared" si="16"/>
        <v>0</v>
      </c>
      <c r="M16" s="84">
        <f t="shared" si="17"/>
        <v>475098.34246575355</v>
      </c>
      <c r="N16" s="84">
        <f t="shared" si="18"/>
        <v>445482.34246575355</v>
      </c>
      <c r="O16" s="84">
        <f t="shared" si="19"/>
        <v>495883.34246575355</v>
      </c>
      <c r="P16" s="84">
        <f t="shared" si="20"/>
        <v>308220.34246575343</v>
      </c>
      <c r="Q16" s="84">
        <f t="shared" si="21"/>
        <v>302127.34246575343</v>
      </c>
      <c r="R16" s="84">
        <f t="shared" si="22"/>
        <v>283157.34246575343</v>
      </c>
      <c r="S16" s="84">
        <f t="shared" si="23"/>
        <v>283157.34246575343</v>
      </c>
      <c r="T16" s="84">
        <f t="shared" si="24"/>
        <v>283157.34246575343</v>
      </c>
      <c r="U16" s="84">
        <f t="shared" si="25"/>
        <v>283157.34246575343</v>
      </c>
      <c r="V16" s="84">
        <f t="shared" si="26"/>
        <v>283157.34246575343</v>
      </c>
      <c r="W16" s="84">
        <f t="shared" si="27"/>
        <v>283157.34246575343</v>
      </c>
      <c r="X16" s="84">
        <f t="shared" si="28"/>
        <v>283157.34246575343</v>
      </c>
      <c r="Y16" s="84">
        <f t="shared" si="29"/>
        <v>283157.34246575343</v>
      </c>
      <c r="Z16" s="84">
        <f t="shared" si="30"/>
        <v>283157.34246575343</v>
      </c>
      <c r="AA16" s="84">
        <f t="shared" si="31"/>
        <v>283157.34246575343</v>
      </c>
      <c r="AB16" s="84">
        <f t="shared" si="32"/>
        <v>283157.34246575343</v>
      </c>
      <c r="AC16" s="84">
        <f t="shared" si="33"/>
        <v>283157.34246575343</v>
      </c>
      <c r="AD16" s="84">
        <f t="shared" si="34"/>
        <v>283157.34246575343</v>
      </c>
      <c r="AE16" s="84">
        <f t="shared" si="35"/>
        <v>283157.34246575343</v>
      </c>
      <c r="AF16" s="84">
        <f t="shared" si="36"/>
        <v>283157.34246575343</v>
      </c>
      <c r="AG16" s="84">
        <f t="shared" si="37"/>
        <v>283157.34246575343</v>
      </c>
      <c r="AH16" s="84">
        <f t="shared" si="38"/>
        <v>283157.34246575343</v>
      </c>
      <c r="AI16" s="84">
        <f t="shared" si="39"/>
        <v>283157.34246575343</v>
      </c>
      <c r="AJ16" s="84">
        <f t="shared" si="40"/>
        <v>283157.34246575343</v>
      </c>
      <c r="AK16" s="84">
        <f t="shared" si="41"/>
        <v>283157.34246575343</v>
      </c>
      <c r="AL16" s="84">
        <f t="shared" si="42"/>
        <v>283157.34246575343</v>
      </c>
      <c r="AM16" s="84">
        <f t="shared" si="43"/>
        <v>283157.34246575343</v>
      </c>
      <c r="AN16" s="84">
        <f t="shared" si="44"/>
        <v>283157.34246575343</v>
      </c>
      <c r="AO16" s="84">
        <f t="shared" si="45"/>
        <v>283157.34246575343</v>
      </c>
      <c r="AP16" s="84">
        <f t="shared" si="46"/>
        <v>283157.34246575343</v>
      </c>
      <c r="AQ16" s="84">
        <f t="shared" si="47"/>
        <v>283157.34246575343</v>
      </c>
      <c r="AR16" s="84">
        <f t="shared" si="48"/>
        <v>283157.34246575343</v>
      </c>
      <c r="AS16" s="84">
        <f t="shared" si="49"/>
        <v>283157.34246575343</v>
      </c>
      <c r="AT16" s="84">
        <f t="shared" si="50"/>
        <v>283157.34246575343</v>
      </c>
      <c r="AU16" s="84">
        <f t="shared" si="51"/>
        <v>283157.34246575343</v>
      </c>
      <c r="AV16" s="84">
        <f t="shared" si="52"/>
        <v>283157.34246575343</v>
      </c>
      <c r="AW16" s="84">
        <f t="shared" si="53"/>
        <v>283157.34246575343</v>
      </c>
      <c r="AX16" s="84">
        <f t="shared" si="54"/>
        <v>283157.34246575343</v>
      </c>
      <c r="AY16" s="84">
        <f t="shared" si="55"/>
        <v>283157.34246575343</v>
      </c>
      <c r="AZ16" s="84">
        <f t="shared" si="56"/>
        <v>283157.34246575343</v>
      </c>
      <c r="BA16" s="84">
        <f t="shared" si="57"/>
        <v>283157.34246575343</v>
      </c>
      <c r="BB16" s="84"/>
      <c r="BC16" s="85"/>
    </row>
    <row r="17" spans="1:55" x14ac:dyDescent="0.2">
      <c r="A17" s="52">
        <f>IF(Cost_by_Year!B16="",PolicyLTDMiles,Cost_by_Year!B16)</f>
        <v>530920.01712328766</v>
      </c>
      <c r="B17" s="7"/>
      <c r="C17" s="7">
        <f t="shared" si="7"/>
        <v>9</v>
      </c>
      <c r="D17" s="84">
        <f t="shared" si="8"/>
        <v>466434.01027397276</v>
      </c>
      <c r="E17" s="84">
        <f t="shared" si="9"/>
        <v>432804.01027397276</v>
      </c>
      <c r="F17" s="84">
        <f t="shared" si="10"/>
        <v>212368.00684931508</v>
      </c>
      <c r="G17" s="84">
        <f t="shared" si="11"/>
        <v>70789.335616438359</v>
      </c>
      <c r="H17" s="84">
        <f t="shared" si="12"/>
        <v>176973.3390410959</v>
      </c>
      <c r="I17" s="84">
        <f t="shared" si="13"/>
        <v>0</v>
      </c>
      <c r="J17" s="84">
        <f t="shared" si="14"/>
        <v>0</v>
      </c>
      <c r="K17" s="84">
        <f t="shared" si="15"/>
        <v>70789.335616438359</v>
      </c>
      <c r="L17" s="84">
        <f t="shared" si="16"/>
        <v>35394.667808219179</v>
      </c>
      <c r="M17" s="84">
        <f t="shared" si="17"/>
        <v>510493.01027397276</v>
      </c>
      <c r="N17" s="84">
        <f t="shared" si="18"/>
        <v>480877.01027397276</v>
      </c>
      <c r="O17" s="84">
        <f t="shared" si="19"/>
        <v>0</v>
      </c>
      <c r="P17" s="84">
        <f t="shared" si="20"/>
        <v>343615.01027397264</v>
      </c>
      <c r="Q17" s="84">
        <f t="shared" si="21"/>
        <v>337522.01027397264</v>
      </c>
      <c r="R17" s="84">
        <f t="shared" si="22"/>
        <v>318552.01027397264</v>
      </c>
      <c r="S17" s="84">
        <f t="shared" si="23"/>
        <v>318552.01027397264</v>
      </c>
      <c r="T17" s="84">
        <f t="shared" si="24"/>
        <v>318552.01027397264</v>
      </c>
      <c r="U17" s="84">
        <f t="shared" si="25"/>
        <v>318552.01027397264</v>
      </c>
      <c r="V17" s="84">
        <f t="shared" si="26"/>
        <v>318552.01027397264</v>
      </c>
      <c r="W17" s="84">
        <f t="shared" si="27"/>
        <v>318552.01027397264</v>
      </c>
      <c r="X17" s="84">
        <f t="shared" si="28"/>
        <v>318552.01027397264</v>
      </c>
      <c r="Y17" s="84">
        <f t="shared" si="29"/>
        <v>318552.01027397264</v>
      </c>
      <c r="Z17" s="84">
        <f t="shared" si="30"/>
        <v>318552.01027397264</v>
      </c>
      <c r="AA17" s="84">
        <f t="shared" si="31"/>
        <v>318552.01027397264</v>
      </c>
      <c r="AB17" s="84">
        <f t="shared" si="32"/>
        <v>318552.01027397264</v>
      </c>
      <c r="AC17" s="84">
        <f t="shared" si="33"/>
        <v>318552.01027397264</v>
      </c>
      <c r="AD17" s="84">
        <f t="shared" si="34"/>
        <v>318552.01027397264</v>
      </c>
      <c r="AE17" s="84">
        <f t="shared" si="35"/>
        <v>318552.01027397264</v>
      </c>
      <c r="AF17" s="84">
        <f t="shared" si="36"/>
        <v>318552.01027397264</v>
      </c>
      <c r="AG17" s="84">
        <f t="shared" si="37"/>
        <v>318552.01027397264</v>
      </c>
      <c r="AH17" s="84">
        <f t="shared" si="38"/>
        <v>318552.01027397264</v>
      </c>
      <c r="AI17" s="84">
        <f t="shared" si="39"/>
        <v>318552.01027397264</v>
      </c>
      <c r="AJ17" s="84">
        <f t="shared" si="40"/>
        <v>318552.01027397264</v>
      </c>
      <c r="AK17" s="84">
        <f t="shared" si="41"/>
        <v>318552.01027397264</v>
      </c>
      <c r="AL17" s="84">
        <f t="shared" si="42"/>
        <v>318552.01027397264</v>
      </c>
      <c r="AM17" s="84">
        <f t="shared" si="43"/>
        <v>318552.01027397264</v>
      </c>
      <c r="AN17" s="84">
        <f t="shared" si="44"/>
        <v>318552.01027397264</v>
      </c>
      <c r="AO17" s="84">
        <f t="shared" si="45"/>
        <v>318552.01027397264</v>
      </c>
      <c r="AP17" s="84">
        <f t="shared" si="46"/>
        <v>318552.01027397264</v>
      </c>
      <c r="AQ17" s="84">
        <f t="shared" si="47"/>
        <v>318552.01027397264</v>
      </c>
      <c r="AR17" s="84">
        <f t="shared" si="48"/>
        <v>318552.01027397264</v>
      </c>
      <c r="AS17" s="84">
        <f t="shared" si="49"/>
        <v>318552.01027397264</v>
      </c>
      <c r="AT17" s="84">
        <f t="shared" si="50"/>
        <v>318552.01027397264</v>
      </c>
      <c r="AU17" s="84">
        <f t="shared" si="51"/>
        <v>318552.01027397264</v>
      </c>
      <c r="AV17" s="84">
        <f t="shared" si="52"/>
        <v>318552.01027397264</v>
      </c>
      <c r="AW17" s="84">
        <f t="shared" si="53"/>
        <v>318552.01027397264</v>
      </c>
      <c r="AX17" s="84">
        <f t="shared" si="54"/>
        <v>318552.01027397264</v>
      </c>
      <c r="AY17" s="84">
        <f t="shared" si="55"/>
        <v>318552.01027397264</v>
      </c>
      <c r="AZ17" s="84">
        <f t="shared" si="56"/>
        <v>318552.01027397264</v>
      </c>
      <c r="BA17" s="84">
        <f t="shared" si="57"/>
        <v>318552.01027397264</v>
      </c>
      <c r="BB17" s="84"/>
      <c r="BC17" s="85"/>
    </row>
    <row r="18" spans="1:55" x14ac:dyDescent="0.2">
      <c r="A18" s="52">
        <f>IF(Cost_by_Year!B17="",PolicyLTDMiles,Cost_by_Year!B17)</f>
        <v>530920.01712328766</v>
      </c>
      <c r="B18" s="7"/>
      <c r="C18" s="7">
        <f t="shared" si="7"/>
        <v>10</v>
      </c>
      <c r="D18" s="84">
        <f t="shared" si="8"/>
        <v>501828.67808219197</v>
      </c>
      <c r="E18" s="84">
        <f t="shared" si="9"/>
        <v>468198.67808219197</v>
      </c>
      <c r="F18" s="84">
        <f t="shared" si="10"/>
        <v>247762.67465753425</v>
      </c>
      <c r="G18" s="84">
        <f t="shared" si="11"/>
        <v>106184.00342465754</v>
      </c>
      <c r="H18" s="84">
        <f t="shared" si="12"/>
        <v>212368.00684931508</v>
      </c>
      <c r="I18" s="84">
        <f t="shared" si="13"/>
        <v>35394.667808219179</v>
      </c>
      <c r="J18" s="84">
        <f t="shared" si="14"/>
        <v>35394.667808219179</v>
      </c>
      <c r="K18" s="84">
        <f t="shared" si="15"/>
        <v>106184.00342465754</v>
      </c>
      <c r="L18" s="84">
        <f t="shared" si="16"/>
        <v>70789.335616438359</v>
      </c>
      <c r="M18" s="84">
        <f t="shared" si="17"/>
        <v>0</v>
      </c>
      <c r="N18" s="84">
        <f t="shared" si="18"/>
        <v>516271.67808219197</v>
      </c>
      <c r="O18" s="84">
        <f t="shared" si="19"/>
        <v>35394.667808219179</v>
      </c>
      <c r="P18" s="84">
        <f t="shared" si="20"/>
        <v>379009.67808219185</v>
      </c>
      <c r="Q18" s="84">
        <f t="shared" si="21"/>
        <v>372916.67808219185</v>
      </c>
      <c r="R18" s="84">
        <f t="shared" si="22"/>
        <v>353946.67808219185</v>
      </c>
      <c r="S18" s="84">
        <f t="shared" si="23"/>
        <v>353946.67808219185</v>
      </c>
      <c r="T18" s="84">
        <f t="shared" si="24"/>
        <v>353946.67808219185</v>
      </c>
      <c r="U18" s="84">
        <f t="shared" si="25"/>
        <v>353946.67808219185</v>
      </c>
      <c r="V18" s="84">
        <f t="shared" si="26"/>
        <v>353946.67808219185</v>
      </c>
      <c r="W18" s="84">
        <f t="shared" si="27"/>
        <v>353946.67808219185</v>
      </c>
      <c r="X18" s="84">
        <f t="shared" si="28"/>
        <v>353946.67808219185</v>
      </c>
      <c r="Y18" s="84">
        <f t="shared" si="29"/>
        <v>353946.67808219185</v>
      </c>
      <c r="Z18" s="84">
        <f t="shared" si="30"/>
        <v>353946.67808219185</v>
      </c>
      <c r="AA18" s="84">
        <f t="shared" si="31"/>
        <v>353946.67808219185</v>
      </c>
      <c r="AB18" s="84">
        <f t="shared" si="32"/>
        <v>353946.67808219185</v>
      </c>
      <c r="AC18" s="84">
        <f t="shared" si="33"/>
        <v>353946.67808219185</v>
      </c>
      <c r="AD18" s="84">
        <f t="shared" si="34"/>
        <v>353946.67808219185</v>
      </c>
      <c r="AE18" s="84">
        <f t="shared" si="35"/>
        <v>353946.67808219185</v>
      </c>
      <c r="AF18" s="84">
        <f t="shared" si="36"/>
        <v>353946.67808219185</v>
      </c>
      <c r="AG18" s="84">
        <f t="shared" si="37"/>
        <v>353946.67808219185</v>
      </c>
      <c r="AH18" s="84">
        <f t="shared" si="38"/>
        <v>353946.67808219185</v>
      </c>
      <c r="AI18" s="84">
        <f t="shared" si="39"/>
        <v>353946.67808219185</v>
      </c>
      <c r="AJ18" s="84">
        <f t="shared" si="40"/>
        <v>353946.67808219185</v>
      </c>
      <c r="AK18" s="84">
        <f t="shared" si="41"/>
        <v>353946.67808219185</v>
      </c>
      <c r="AL18" s="84">
        <f t="shared" si="42"/>
        <v>353946.67808219185</v>
      </c>
      <c r="AM18" s="84">
        <f t="shared" si="43"/>
        <v>353946.67808219185</v>
      </c>
      <c r="AN18" s="84">
        <f t="shared" si="44"/>
        <v>353946.67808219185</v>
      </c>
      <c r="AO18" s="84">
        <f t="shared" si="45"/>
        <v>353946.67808219185</v>
      </c>
      <c r="AP18" s="84">
        <f t="shared" si="46"/>
        <v>353946.67808219185</v>
      </c>
      <c r="AQ18" s="84">
        <f t="shared" si="47"/>
        <v>353946.67808219185</v>
      </c>
      <c r="AR18" s="84">
        <f t="shared" si="48"/>
        <v>353946.67808219185</v>
      </c>
      <c r="AS18" s="84">
        <f t="shared" si="49"/>
        <v>353946.67808219185</v>
      </c>
      <c r="AT18" s="84">
        <f t="shared" si="50"/>
        <v>353946.67808219185</v>
      </c>
      <c r="AU18" s="84">
        <f t="shared" si="51"/>
        <v>353946.67808219185</v>
      </c>
      <c r="AV18" s="84">
        <f t="shared" si="52"/>
        <v>353946.67808219185</v>
      </c>
      <c r="AW18" s="84">
        <f t="shared" si="53"/>
        <v>353946.67808219185</v>
      </c>
      <c r="AX18" s="84">
        <f t="shared" si="54"/>
        <v>353946.67808219185</v>
      </c>
      <c r="AY18" s="84">
        <f t="shared" si="55"/>
        <v>353946.67808219185</v>
      </c>
      <c r="AZ18" s="84">
        <f t="shared" si="56"/>
        <v>353946.67808219185</v>
      </c>
      <c r="BA18" s="84">
        <f t="shared" si="57"/>
        <v>353946.67808219185</v>
      </c>
      <c r="BB18" s="84"/>
      <c r="BC18" s="85"/>
    </row>
    <row r="19" spans="1:55" x14ac:dyDescent="0.2">
      <c r="A19" s="52">
        <f>IF(Cost_by_Year!B18="",PolicyLTDMiles,Cost_by_Year!B18)</f>
        <v>530920.01712328766</v>
      </c>
      <c r="B19" s="7"/>
      <c r="C19" s="7">
        <f t="shared" si="7"/>
        <v>11</v>
      </c>
      <c r="D19" s="84">
        <f t="shared" si="8"/>
        <v>0</v>
      </c>
      <c r="E19" s="84">
        <f t="shared" si="9"/>
        <v>503593.34589041118</v>
      </c>
      <c r="F19" s="84">
        <f t="shared" si="10"/>
        <v>283157.34246575343</v>
      </c>
      <c r="G19" s="84">
        <f t="shared" si="11"/>
        <v>141578.67123287672</v>
      </c>
      <c r="H19" s="84">
        <f t="shared" si="12"/>
        <v>247762.67465753425</v>
      </c>
      <c r="I19" s="84">
        <f t="shared" si="13"/>
        <v>70789.335616438359</v>
      </c>
      <c r="J19" s="84">
        <f t="shared" si="14"/>
        <v>70789.335616438359</v>
      </c>
      <c r="K19" s="84">
        <f t="shared" si="15"/>
        <v>141578.67123287672</v>
      </c>
      <c r="L19" s="84">
        <f t="shared" si="16"/>
        <v>106184.00342465754</v>
      </c>
      <c r="M19" s="84">
        <f t="shared" si="17"/>
        <v>35394.667808219179</v>
      </c>
      <c r="N19" s="84">
        <f t="shared" si="18"/>
        <v>0</v>
      </c>
      <c r="O19" s="84">
        <f t="shared" si="19"/>
        <v>70789.335616438359</v>
      </c>
      <c r="P19" s="84">
        <f t="shared" si="20"/>
        <v>414404.34589041106</v>
      </c>
      <c r="Q19" s="84">
        <f t="shared" si="21"/>
        <v>408311.34589041106</v>
      </c>
      <c r="R19" s="84">
        <f t="shared" si="22"/>
        <v>389341.34589041106</v>
      </c>
      <c r="S19" s="84">
        <f t="shared" si="23"/>
        <v>389341.34589041106</v>
      </c>
      <c r="T19" s="84">
        <f t="shared" si="24"/>
        <v>389341.34589041106</v>
      </c>
      <c r="U19" s="84">
        <f t="shared" si="25"/>
        <v>389341.34589041106</v>
      </c>
      <c r="V19" s="84">
        <f t="shared" si="26"/>
        <v>389341.34589041106</v>
      </c>
      <c r="W19" s="84">
        <f t="shared" si="27"/>
        <v>389341.34589041106</v>
      </c>
      <c r="X19" s="84">
        <f t="shared" si="28"/>
        <v>389341.34589041106</v>
      </c>
      <c r="Y19" s="84">
        <f t="shared" si="29"/>
        <v>389341.34589041106</v>
      </c>
      <c r="Z19" s="84">
        <f t="shared" si="30"/>
        <v>389341.34589041106</v>
      </c>
      <c r="AA19" s="84">
        <f t="shared" si="31"/>
        <v>389341.34589041106</v>
      </c>
      <c r="AB19" s="84">
        <f t="shared" si="32"/>
        <v>389341.34589041106</v>
      </c>
      <c r="AC19" s="84">
        <f t="shared" si="33"/>
        <v>389341.34589041106</v>
      </c>
      <c r="AD19" s="84">
        <f t="shared" si="34"/>
        <v>389341.34589041106</v>
      </c>
      <c r="AE19" s="84">
        <f t="shared" si="35"/>
        <v>389341.34589041106</v>
      </c>
      <c r="AF19" s="84">
        <f t="shared" si="36"/>
        <v>389341.34589041106</v>
      </c>
      <c r="AG19" s="84">
        <f t="shared" si="37"/>
        <v>389341.34589041106</v>
      </c>
      <c r="AH19" s="84">
        <f t="shared" si="38"/>
        <v>389341.34589041106</v>
      </c>
      <c r="AI19" s="84">
        <f t="shared" si="39"/>
        <v>389341.34589041106</v>
      </c>
      <c r="AJ19" s="84">
        <f t="shared" si="40"/>
        <v>389341.34589041106</v>
      </c>
      <c r="AK19" s="84">
        <f t="shared" si="41"/>
        <v>389341.34589041106</v>
      </c>
      <c r="AL19" s="84">
        <f t="shared" si="42"/>
        <v>389341.34589041106</v>
      </c>
      <c r="AM19" s="84">
        <f t="shared" si="43"/>
        <v>389341.34589041106</v>
      </c>
      <c r="AN19" s="84">
        <f t="shared" si="44"/>
        <v>389341.34589041106</v>
      </c>
      <c r="AO19" s="84">
        <f t="shared" si="45"/>
        <v>389341.34589041106</v>
      </c>
      <c r="AP19" s="84">
        <f t="shared" si="46"/>
        <v>389341.34589041106</v>
      </c>
      <c r="AQ19" s="84">
        <f t="shared" si="47"/>
        <v>389341.34589041106</v>
      </c>
      <c r="AR19" s="84">
        <f t="shared" si="48"/>
        <v>389341.34589041106</v>
      </c>
      <c r="AS19" s="84">
        <f t="shared" si="49"/>
        <v>389341.34589041106</v>
      </c>
      <c r="AT19" s="84">
        <f t="shared" si="50"/>
        <v>389341.34589041106</v>
      </c>
      <c r="AU19" s="84">
        <f t="shared" si="51"/>
        <v>389341.34589041106</v>
      </c>
      <c r="AV19" s="84">
        <f t="shared" si="52"/>
        <v>389341.34589041106</v>
      </c>
      <c r="AW19" s="84">
        <f t="shared" si="53"/>
        <v>389341.34589041106</v>
      </c>
      <c r="AX19" s="84">
        <f t="shared" si="54"/>
        <v>389341.34589041106</v>
      </c>
      <c r="AY19" s="84">
        <f t="shared" si="55"/>
        <v>389341.34589041106</v>
      </c>
      <c r="AZ19" s="84">
        <f t="shared" si="56"/>
        <v>389341.34589041106</v>
      </c>
      <c r="BA19" s="84">
        <f t="shared" si="57"/>
        <v>389341.34589041106</v>
      </c>
      <c r="BB19" s="84"/>
      <c r="BC19" s="85"/>
    </row>
    <row r="20" spans="1:55" x14ac:dyDescent="0.2">
      <c r="A20" s="52">
        <f>IF(Cost_by_Year!B19="",PolicyLTDMiles,Cost_by_Year!B19)</f>
        <v>530920.01712328766</v>
      </c>
      <c r="B20" s="7"/>
      <c r="C20" s="7">
        <f t="shared" si="7"/>
        <v>12</v>
      </c>
      <c r="D20" s="84">
        <f t="shared" si="8"/>
        <v>35394.667808219179</v>
      </c>
      <c r="E20" s="84">
        <f t="shared" si="9"/>
        <v>0</v>
      </c>
      <c r="F20" s="84">
        <f t="shared" si="10"/>
        <v>318552.01027397264</v>
      </c>
      <c r="G20" s="84">
        <f t="shared" si="11"/>
        <v>176973.3390410959</v>
      </c>
      <c r="H20" s="84">
        <f t="shared" si="12"/>
        <v>283157.34246575343</v>
      </c>
      <c r="I20" s="84">
        <f t="shared" si="13"/>
        <v>106184.00342465754</v>
      </c>
      <c r="J20" s="84">
        <f t="shared" si="14"/>
        <v>106184.00342465754</v>
      </c>
      <c r="K20" s="84">
        <f t="shared" si="15"/>
        <v>176973.3390410959</v>
      </c>
      <c r="L20" s="84">
        <f t="shared" si="16"/>
        <v>141578.67123287672</v>
      </c>
      <c r="M20" s="84">
        <f t="shared" si="17"/>
        <v>70789.335616438359</v>
      </c>
      <c r="N20" s="84">
        <f t="shared" si="18"/>
        <v>35394.667808219179</v>
      </c>
      <c r="O20" s="84">
        <f t="shared" si="19"/>
        <v>106184.00342465754</v>
      </c>
      <c r="P20" s="84">
        <f t="shared" si="20"/>
        <v>449799.01369863027</v>
      </c>
      <c r="Q20" s="84">
        <f t="shared" si="21"/>
        <v>443706.01369863027</v>
      </c>
      <c r="R20" s="84">
        <f t="shared" si="22"/>
        <v>424736.01369863027</v>
      </c>
      <c r="S20" s="84">
        <f t="shared" si="23"/>
        <v>424736.01369863027</v>
      </c>
      <c r="T20" s="84">
        <f t="shared" si="24"/>
        <v>424736.01369863027</v>
      </c>
      <c r="U20" s="84">
        <f t="shared" si="25"/>
        <v>424736.01369863027</v>
      </c>
      <c r="V20" s="84">
        <f t="shared" si="26"/>
        <v>424736.01369863027</v>
      </c>
      <c r="W20" s="84">
        <f t="shared" si="27"/>
        <v>424736.01369863027</v>
      </c>
      <c r="X20" s="84">
        <f t="shared" si="28"/>
        <v>424736.01369863027</v>
      </c>
      <c r="Y20" s="84">
        <f t="shared" si="29"/>
        <v>424736.01369863027</v>
      </c>
      <c r="Z20" s="84">
        <f t="shared" si="30"/>
        <v>424736.01369863027</v>
      </c>
      <c r="AA20" s="84">
        <f t="shared" si="31"/>
        <v>424736.01369863027</v>
      </c>
      <c r="AB20" s="84">
        <f t="shared" si="32"/>
        <v>424736.01369863027</v>
      </c>
      <c r="AC20" s="84">
        <f t="shared" si="33"/>
        <v>424736.01369863027</v>
      </c>
      <c r="AD20" s="84">
        <f t="shared" si="34"/>
        <v>424736.01369863027</v>
      </c>
      <c r="AE20" s="84">
        <f t="shared" si="35"/>
        <v>424736.01369863027</v>
      </c>
      <c r="AF20" s="84">
        <f t="shared" si="36"/>
        <v>424736.01369863027</v>
      </c>
      <c r="AG20" s="84">
        <f t="shared" si="37"/>
        <v>424736.01369863027</v>
      </c>
      <c r="AH20" s="84">
        <f t="shared" si="38"/>
        <v>424736.01369863027</v>
      </c>
      <c r="AI20" s="84">
        <f t="shared" si="39"/>
        <v>424736.01369863027</v>
      </c>
      <c r="AJ20" s="84">
        <f t="shared" si="40"/>
        <v>424736.01369863027</v>
      </c>
      <c r="AK20" s="84">
        <f t="shared" si="41"/>
        <v>424736.01369863027</v>
      </c>
      <c r="AL20" s="84">
        <f t="shared" si="42"/>
        <v>424736.01369863027</v>
      </c>
      <c r="AM20" s="84">
        <f t="shared" si="43"/>
        <v>424736.01369863027</v>
      </c>
      <c r="AN20" s="84">
        <f t="shared" si="44"/>
        <v>424736.01369863027</v>
      </c>
      <c r="AO20" s="84">
        <f t="shared" si="45"/>
        <v>424736.01369863027</v>
      </c>
      <c r="AP20" s="84">
        <f t="shared" si="46"/>
        <v>424736.01369863027</v>
      </c>
      <c r="AQ20" s="84">
        <f t="shared" si="47"/>
        <v>424736.01369863027</v>
      </c>
      <c r="AR20" s="84">
        <f t="shared" si="48"/>
        <v>424736.01369863027</v>
      </c>
      <c r="AS20" s="84">
        <f t="shared" si="49"/>
        <v>424736.01369863027</v>
      </c>
      <c r="AT20" s="84">
        <f t="shared" si="50"/>
        <v>424736.01369863027</v>
      </c>
      <c r="AU20" s="84">
        <f t="shared" si="51"/>
        <v>424736.01369863027</v>
      </c>
      <c r="AV20" s="84">
        <f t="shared" si="52"/>
        <v>424736.01369863027</v>
      </c>
      <c r="AW20" s="84">
        <f t="shared" si="53"/>
        <v>424736.01369863027</v>
      </c>
      <c r="AX20" s="84">
        <f t="shared" si="54"/>
        <v>424736.01369863027</v>
      </c>
      <c r="AY20" s="84">
        <f t="shared" si="55"/>
        <v>424736.01369863027</v>
      </c>
      <c r="AZ20" s="84">
        <f t="shared" si="56"/>
        <v>424736.01369863027</v>
      </c>
      <c r="BA20" s="84">
        <f t="shared" si="57"/>
        <v>424736.01369863027</v>
      </c>
      <c r="BB20" s="84"/>
      <c r="BC20" s="85"/>
    </row>
    <row r="21" spans="1:55" x14ac:dyDescent="0.2">
      <c r="A21" s="52">
        <f>IF(Cost_by_Year!B20="",PolicyLTDMiles,Cost_by_Year!B20)</f>
        <v>530920.01712328766</v>
      </c>
      <c r="B21" s="7"/>
      <c r="C21" s="7">
        <f t="shared" si="7"/>
        <v>13</v>
      </c>
      <c r="D21" s="84">
        <f t="shared" si="8"/>
        <v>70789.335616438359</v>
      </c>
      <c r="E21" s="84">
        <f t="shared" si="9"/>
        <v>35394.667808219179</v>
      </c>
      <c r="F21" s="84">
        <f t="shared" si="10"/>
        <v>353946.67808219185</v>
      </c>
      <c r="G21" s="84">
        <f t="shared" si="11"/>
        <v>212368.00684931508</v>
      </c>
      <c r="H21" s="84">
        <f t="shared" si="12"/>
        <v>318552.01027397264</v>
      </c>
      <c r="I21" s="84">
        <f t="shared" si="13"/>
        <v>141578.67123287672</v>
      </c>
      <c r="J21" s="84">
        <f t="shared" si="14"/>
        <v>141578.67123287672</v>
      </c>
      <c r="K21" s="84">
        <f t="shared" si="15"/>
        <v>212368.00684931508</v>
      </c>
      <c r="L21" s="84">
        <f t="shared" si="16"/>
        <v>176973.3390410959</v>
      </c>
      <c r="M21" s="84">
        <f t="shared" si="17"/>
        <v>106184.00342465754</v>
      </c>
      <c r="N21" s="84">
        <f t="shared" si="18"/>
        <v>70789.335616438359</v>
      </c>
      <c r="O21" s="84">
        <f t="shared" si="19"/>
        <v>141578.67123287672</v>
      </c>
      <c r="P21" s="84">
        <f t="shared" si="20"/>
        <v>485193.68150684948</v>
      </c>
      <c r="Q21" s="84">
        <f t="shared" si="21"/>
        <v>479100.68150684948</v>
      </c>
      <c r="R21" s="84">
        <f t="shared" si="22"/>
        <v>460130.68150684948</v>
      </c>
      <c r="S21" s="84">
        <f t="shared" si="23"/>
        <v>460130.68150684948</v>
      </c>
      <c r="T21" s="84">
        <f t="shared" si="24"/>
        <v>460130.68150684948</v>
      </c>
      <c r="U21" s="84">
        <f t="shared" si="25"/>
        <v>460130.68150684948</v>
      </c>
      <c r="V21" s="84">
        <f t="shared" si="26"/>
        <v>460130.68150684948</v>
      </c>
      <c r="W21" s="84">
        <f t="shared" si="27"/>
        <v>460130.68150684948</v>
      </c>
      <c r="X21" s="84">
        <f t="shared" si="28"/>
        <v>460130.68150684948</v>
      </c>
      <c r="Y21" s="84">
        <f t="shared" si="29"/>
        <v>460130.68150684948</v>
      </c>
      <c r="Z21" s="84">
        <f t="shared" si="30"/>
        <v>460130.68150684948</v>
      </c>
      <c r="AA21" s="84">
        <f t="shared" si="31"/>
        <v>460130.68150684948</v>
      </c>
      <c r="AB21" s="84">
        <f t="shared" si="32"/>
        <v>460130.68150684948</v>
      </c>
      <c r="AC21" s="84">
        <f t="shared" si="33"/>
        <v>460130.68150684948</v>
      </c>
      <c r="AD21" s="84">
        <f t="shared" si="34"/>
        <v>460130.68150684948</v>
      </c>
      <c r="AE21" s="84">
        <f t="shared" si="35"/>
        <v>460130.68150684948</v>
      </c>
      <c r="AF21" s="84">
        <f t="shared" si="36"/>
        <v>460130.68150684948</v>
      </c>
      <c r="AG21" s="84">
        <f t="shared" si="37"/>
        <v>460130.68150684948</v>
      </c>
      <c r="AH21" s="84">
        <f t="shared" si="38"/>
        <v>460130.68150684948</v>
      </c>
      <c r="AI21" s="84">
        <f t="shared" si="39"/>
        <v>460130.68150684948</v>
      </c>
      <c r="AJ21" s="84">
        <f t="shared" si="40"/>
        <v>460130.68150684948</v>
      </c>
      <c r="AK21" s="84">
        <f t="shared" si="41"/>
        <v>460130.68150684948</v>
      </c>
      <c r="AL21" s="84">
        <f t="shared" si="42"/>
        <v>460130.68150684948</v>
      </c>
      <c r="AM21" s="84">
        <f t="shared" si="43"/>
        <v>460130.68150684948</v>
      </c>
      <c r="AN21" s="84">
        <f t="shared" si="44"/>
        <v>460130.68150684948</v>
      </c>
      <c r="AO21" s="84">
        <f t="shared" si="45"/>
        <v>460130.68150684948</v>
      </c>
      <c r="AP21" s="84">
        <f t="shared" si="46"/>
        <v>460130.68150684948</v>
      </c>
      <c r="AQ21" s="84">
        <f t="shared" si="47"/>
        <v>460130.68150684948</v>
      </c>
      <c r="AR21" s="84">
        <f t="shared" si="48"/>
        <v>460130.68150684948</v>
      </c>
      <c r="AS21" s="84">
        <f t="shared" si="49"/>
        <v>460130.68150684948</v>
      </c>
      <c r="AT21" s="84">
        <f t="shared" si="50"/>
        <v>460130.68150684948</v>
      </c>
      <c r="AU21" s="84">
        <f t="shared" si="51"/>
        <v>460130.68150684948</v>
      </c>
      <c r="AV21" s="84">
        <f t="shared" si="52"/>
        <v>460130.68150684948</v>
      </c>
      <c r="AW21" s="84">
        <f t="shared" si="53"/>
        <v>460130.68150684948</v>
      </c>
      <c r="AX21" s="84">
        <f t="shared" si="54"/>
        <v>460130.68150684948</v>
      </c>
      <c r="AY21" s="84">
        <f t="shared" si="55"/>
        <v>460130.68150684948</v>
      </c>
      <c r="AZ21" s="84">
        <f t="shared" si="56"/>
        <v>460130.68150684948</v>
      </c>
      <c r="BA21" s="84">
        <f t="shared" si="57"/>
        <v>460130.68150684948</v>
      </c>
      <c r="BB21" s="84"/>
      <c r="BC21" s="85"/>
    </row>
    <row r="22" spans="1:55" x14ac:dyDescent="0.2">
      <c r="A22" s="52">
        <f>IF(Cost_by_Year!B21="",PolicyLTDMiles,Cost_by_Year!B21)</f>
        <v>530920.01712328766</v>
      </c>
      <c r="B22" s="7"/>
      <c r="C22" s="7">
        <f t="shared" si="7"/>
        <v>14</v>
      </c>
      <c r="D22" s="84">
        <f t="shared" si="8"/>
        <v>106184.00342465754</v>
      </c>
      <c r="E22" s="84">
        <f t="shared" si="9"/>
        <v>70789.335616438359</v>
      </c>
      <c r="F22" s="84">
        <f t="shared" si="10"/>
        <v>389341.34589041106</v>
      </c>
      <c r="G22" s="84">
        <f t="shared" si="11"/>
        <v>247762.67465753425</v>
      </c>
      <c r="H22" s="84">
        <f t="shared" si="12"/>
        <v>353946.67808219185</v>
      </c>
      <c r="I22" s="84">
        <f t="shared" si="13"/>
        <v>176973.3390410959</v>
      </c>
      <c r="J22" s="84">
        <f t="shared" si="14"/>
        <v>176973.3390410959</v>
      </c>
      <c r="K22" s="84">
        <f t="shared" si="15"/>
        <v>247762.67465753425</v>
      </c>
      <c r="L22" s="84">
        <f t="shared" si="16"/>
        <v>212368.00684931508</v>
      </c>
      <c r="M22" s="84">
        <f t="shared" si="17"/>
        <v>141578.67123287672</v>
      </c>
      <c r="N22" s="84">
        <f t="shared" si="18"/>
        <v>106184.00342465754</v>
      </c>
      <c r="O22" s="84">
        <f t="shared" si="19"/>
        <v>176973.3390410959</v>
      </c>
      <c r="P22" s="84">
        <f t="shared" si="20"/>
        <v>520588.34931506868</v>
      </c>
      <c r="Q22" s="84">
        <f t="shared" si="21"/>
        <v>514495.34931506868</v>
      </c>
      <c r="R22" s="84">
        <f t="shared" si="22"/>
        <v>495525.34931506868</v>
      </c>
      <c r="S22" s="84">
        <f t="shared" si="23"/>
        <v>495525.34931506868</v>
      </c>
      <c r="T22" s="84">
        <f t="shared" si="24"/>
        <v>495525.34931506868</v>
      </c>
      <c r="U22" s="84">
        <f t="shared" si="25"/>
        <v>495525.34931506868</v>
      </c>
      <c r="V22" s="84">
        <f t="shared" si="26"/>
        <v>495525.34931506868</v>
      </c>
      <c r="W22" s="84">
        <f t="shared" si="27"/>
        <v>495525.34931506868</v>
      </c>
      <c r="X22" s="84">
        <f t="shared" si="28"/>
        <v>495525.34931506868</v>
      </c>
      <c r="Y22" s="84">
        <f t="shared" si="29"/>
        <v>495525.34931506868</v>
      </c>
      <c r="Z22" s="84">
        <f t="shared" si="30"/>
        <v>495525.34931506868</v>
      </c>
      <c r="AA22" s="84">
        <f t="shared" si="31"/>
        <v>495525.34931506868</v>
      </c>
      <c r="AB22" s="84">
        <f t="shared" si="32"/>
        <v>495525.34931506868</v>
      </c>
      <c r="AC22" s="84">
        <f t="shared" si="33"/>
        <v>495525.34931506868</v>
      </c>
      <c r="AD22" s="84">
        <f t="shared" si="34"/>
        <v>495525.34931506868</v>
      </c>
      <c r="AE22" s="84">
        <f t="shared" si="35"/>
        <v>495525.34931506868</v>
      </c>
      <c r="AF22" s="84">
        <f t="shared" si="36"/>
        <v>495525.34931506868</v>
      </c>
      <c r="AG22" s="84">
        <f t="shared" si="37"/>
        <v>495525.34931506868</v>
      </c>
      <c r="AH22" s="84">
        <f t="shared" si="38"/>
        <v>495525.34931506868</v>
      </c>
      <c r="AI22" s="84">
        <f t="shared" si="39"/>
        <v>495525.34931506868</v>
      </c>
      <c r="AJ22" s="84">
        <f t="shared" si="40"/>
        <v>495525.34931506868</v>
      </c>
      <c r="AK22" s="84">
        <f t="shared" si="41"/>
        <v>495525.34931506868</v>
      </c>
      <c r="AL22" s="84">
        <f t="shared" si="42"/>
        <v>495525.34931506868</v>
      </c>
      <c r="AM22" s="84">
        <f t="shared" si="43"/>
        <v>495525.34931506868</v>
      </c>
      <c r="AN22" s="84">
        <f t="shared" si="44"/>
        <v>495525.34931506868</v>
      </c>
      <c r="AO22" s="84">
        <f t="shared" si="45"/>
        <v>495525.34931506868</v>
      </c>
      <c r="AP22" s="84">
        <f t="shared" si="46"/>
        <v>495525.34931506868</v>
      </c>
      <c r="AQ22" s="84">
        <f t="shared" si="47"/>
        <v>495525.34931506868</v>
      </c>
      <c r="AR22" s="84">
        <f t="shared" si="48"/>
        <v>495525.34931506868</v>
      </c>
      <c r="AS22" s="84">
        <f t="shared" si="49"/>
        <v>495525.34931506868</v>
      </c>
      <c r="AT22" s="84">
        <f t="shared" si="50"/>
        <v>495525.34931506868</v>
      </c>
      <c r="AU22" s="84">
        <f t="shared" si="51"/>
        <v>495525.34931506868</v>
      </c>
      <c r="AV22" s="84">
        <f t="shared" si="52"/>
        <v>495525.34931506868</v>
      </c>
      <c r="AW22" s="84">
        <f t="shared" si="53"/>
        <v>495525.34931506868</v>
      </c>
      <c r="AX22" s="84">
        <f t="shared" si="54"/>
        <v>495525.34931506868</v>
      </c>
      <c r="AY22" s="84">
        <f t="shared" si="55"/>
        <v>495525.34931506868</v>
      </c>
      <c r="AZ22" s="84">
        <f t="shared" si="56"/>
        <v>495525.34931506868</v>
      </c>
      <c r="BA22" s="84">
        <f t="shared" si="57"/>
        <v>495525.34931506868</v>
      </c>
      <c r="BB22" s="84"/>
      <c r="BC22" s="85"/>
    </row>
    <row r="23" spans="1:55" x14ac:dyDescent="0.2">
      <c r="A23" s="52">
        <f>IF(Cost_by_Year!B22="",PolicyLTDMiles,Cost_by_Year!B22)</f>
        <v>530920.01712328766</v>
      </c>
      <c r="B23" s="7"/>
      <c r="C23" s="7">
        <f t="shared" si="7"/>
        <v>15</v>
      </c>
      <c r="D23" s="84">
        <f t="shared" si="8"/>
        <v>141578.67123287672</v>
      </c>
      <c r="E23" s="84">
        <f t="shared" si="9"/>
        <v>106184.00342465754</v>
      </c>
      <c r="F23" s="84">
        <f t="shared" si="10"/>
        <v>424736.01369863027</v>
      </c>
      <c r="G23" s="84">
        <f t="shared" si="11"/>
        <v>283157.34246575343</v>
      </c>
      <c r="H23" s="84">
        <f t="shared" si="12"/>
        <v>389341.34589041106</v>
      </c>
      <c r="I23" s="84">
        <f t="shared" si="13"/>
        <v>212368.00684931508</v>
      </c>
      <c r="J23" s="84">
        <f t="shared" si="14"/>
        <v>212368.00684931508</v>
      </c>
      <c r="K23" s="84">
        <f t="shared" si="15"/>
        <v>283157.34246575343</v>
      </c>
      <c r="L23" s="84">
        <f t="shared" si="16"/>
        <v>247762.67465753425</v>
      </c>
      <c r="M23" s="84">
        <f t="shared" si="17"/>
        <v>176973.3390410959</v>
      </c>
      <c r="N23" s="84">
        <f t="shared" si="18"/>
        <v>141578.67123287672</v>
      </c>
      <c r="O23" s="84">
        <f t="shared" si="19"/>
        <v>212368.00684931508</v>
      </c>
      <c r="P23" s="84">
        <f t="shared" si="20"/>
        <v>0</v>
      </c>
      <c r="Q23" s="84">
        <f t="shared" si="21"/>
        <v>0</v>
      </c>
      <c r="R23" s="84">
        <f t="shared" si="22"/>
        <v>0</v>
      </c>
      <c r="S23" s="84">
        <f t="shared" si="23"/>
        <v>0</v>
      </c>
      <c r="T23" s="84">
        <f t="shared" si="24"/>
        <v>0</v>
      </c>
      <c r="U23" s="84">
        <f t="shared" si="25"/>
        <v>0</v>
      </c>
      <c r="V23" s="84">
        <f t="shared" si="26"/>
        <v>0</v>
      </c>
      <c r="W23" s="84">
        <f t="shared" si="27"/>
        <v>0</v>
      </c>
      <c r="X23" s="84">
        <f t="shared" si="28"/>
        <v>0</v>
      </c>
      <c r="Y23" s="84">
        <f t="shared" si="29"/>
        <v>0</v>
      </c>
      <c r="Z23" s="84">
        <f t="shared" si="30"/>
        <v>0</v>
      </c>
      <c r="AA23" s="84">
        <f t="shared" si="31"/>
        <v>0</v>
      </c>
      <c r="AB23" s="84">
        <f t="shared" si="32"/>
        <v>0</v>
      </c>
      <c r="AC23" s="84">
        <f t="shared" si="33"/>
        <v>0</v>
      </c>
      <c r="AD23" s="84">
        <f t="shared" si="34"/>
        <v>0</v>
      </c>
      <c r="AE23" s="84">
        <f t="shared" si="35"/>
        <v>0</v>
      </c>
      <c r="AF23" s="84">
        <f t="shared" si="36"/>
        <v>0</v>
      </c>
      <c r="AG23" s="84">
        <f t="shared" si="37"/>
        <v>0</v>
      </c>
      <c r="AH23" s="84">
        <f t="shared" si="38"/>
        <v>0</v>
      </c>
      <c r="AI23" s="84">
        <f t="shared" si="39"/>
        <v>0</v>
      </c>
      <c r="AJ23" s="84">
        <f t="shared" si="40"/>
        <v>0</v>
      </c>
      <c r="AK23" s="84">
        <f t="shared" si="41"/>
        <v>0</v>
      </c>
      <c r="AL23" s="84">
        <f t="shared" si="42"/>
        <v>0</v>
      </c>
      <c r="AM23" s="84">
        <f t="shared" si="43"/>
        <v>0</v>
      </c>
      <c r="AN23" s="84">
        <f t="shared" si="44"/>
        <v>0</v>
      </c>
      <c r="AO23" s="84">
        <f t="shared" si="45"/>
        <v>0</v>
      </c>
      <c r="AP23" s="84">
        <f t="shared" si="46"/>
        <v>0</v>
      </c>
      <c r="AQ23" s="84">
        <f t="shared" si="47"/>
        <v>0</v>
      </c>
      <c r="AR23" s="84">
        <f t="shared" si="48"/>
        <v>0</v>
      </c>
      <c r="AS23" s="84">
        <f t="shared" si="49"/>
        <v>0</v>
      </c>
      <c r="AT23" s="84">
        <f t="shared" si="50"/>
        <v>0</v>
      </c>
      <c r="AU23" s="84">
        <f t="shared" si="51"/>
        <v>0</v>
      </c>
      <c r="AV23" s="84">
        <f t="shared" si="52"/>
        <v>0</v>
      </c>
      <c r="AW23" s="84">
        <f t="shared" si="53"/>
        <v>0</v>
      </c>
      <c r="AX23" s="84">
        <f t="shared" si="54"/>
        <v>0</v>
      </c>
      <c r="AY23" s="84">
        <f t="shared" si="55"/>
        <v>0</v>
      </c>
      <c r="AZ23" s="84">
        <f t="shared" si="56"/>
        <v>0</v>
      </c>
      <c r="BA23" s="84">
        <f t="shared" si="57"/>
        <v>0</v>
      </c>
      <c r="BB23" s="84"/>
      <c r="BC23" s="85"/>
    </row>
    <row r="24" spans="1:55" x14ac:dyDescent="0.2">
      <c r="A24" s="52">
        <f>IF(Cost_by_Year!B23="",PolicyLTDMiles,Cost_by_Year!B23)</f>
        <v>530920.01712328766</v>
      </c>
      <c r="B24" s="7"/>
      <c r="C24" s="7">
        <f t="shared" si="7"/>
        <v>16</v>
      </c>
      <c r="D24" s="84">
        <f t="shared" si="8"/>
        <v>176973.3390410959</v>
      </c>
      <c r="E24" s="84">
        <f t="shared" si="9"/>
        <v>141578.67123287672</v>
      </c>
      <c r="F24" s="84">
        <f t="shared" si="10"/>
        <v>460130.68150684948</v>
      </c>
      <c r="G24" s="84">
        <f t="shared" si="11"/>
        <v>318552.01027397264</v>
      </c>
      <c r="H24" s="84">
        <f t="shared" si="12"/>
        <v>424736.01369863027</v>
      </c>
      <c r="I24" s="84">
        <f t="shared" si="13"/>
        <v>247762.67465753425</v>
      </c>
      <c r="J24" s="84">
        <f t="shared" si="14"/>
        <v>247762.67465753425</v>
      </c>
      <c r="K24" s="84">
        <f t="shared" si="15"/>
        <v>318552.01027397264</v>
      </c>
      <c r="L24" s="84">
        <f t="shared" si="16"/>
        <v>283157.34246575343</v>
      </c>
      <c r="M24" s="84">
        <f t="shared" si="17"/>
        <v>212368.00684931508</v>
      </c>
      <c r="N24" s="84">
        <f t="shared" si="18"/>
        <v>176973.3390410959</v>
      </c>
      <c r="O24" s="84">
        <f t="shared" si="19"/>
        <v>247762.67465753425</v>
      </c>
      <c r="P24" s="84">
        <f t="shared" si="20"/>
        <v>35394.667808219179</v>
      </c>
      <c r="Q24" s="84">
        <f t="shared" si="21"/>
        <v>35394.667808219179</v>
      </c>
      <c r="R24" s="84">
        <f t="shared" si="22"/>
        <v>35394.667808219179</v>
      </c>
      <c r="S24" s="84">
        <f t="shared" si="23"/>
        <v>35394.667808219179</v>
      </c>
      <c r="T24" s="84">
        <f t="shared" si="24"/>
        <v>35394.667808219179</v>
      </c>
      <c r="U24" s="84">
        <f t="shared" si="25"/>
        <v>35394.667808219179</v>
      </c>
      <c r="V24" s="84">
        <f t="shared" si="26"/>
        <v>35394.667808219179</v>
      </c>
      <c r="W24" s="84">
        <f t="shared" si="27"/>
        <v>35394.667808219179</v>
      </c>
      <c r="X24" s="84">
        <f t="shared" si="28"/>
        <v>35394.667808219179</v>
      </c>
      <c r="Y24" s="84">
        <f t="shared" si="29"/>
        <v>35394.667808219179</v>
      </c>
      <c r="Z24" s="84">
        <f t="shared" si="30"/>
        <v>35394.667808219179</v>
      </c>
      <c r="AA24" s="84">
        <f t="shared" si="31"/>
        <v>35394.667808219179</v>
      </c>
      <c r="AB24" s="84">
        <f t="shared" si="32"/>
        <v>35394.667808219179</v>
      </c>
      <c r="AC24" s="84">
        <f t="shared" si="33"/>
        <v>35394.667808219179</v>
      </c>
      <c r="AD24" s="84">
        <f t="shared" si="34"/>
        <v>35394.667808219179</v>
      </c>
      <c r="AE24" s="84">
        <f t="shared" si="35"/>
        <v>35394.667808219179</v>
      </c>
      <c r="AF24" s="84">
        <f t="shared" si="36"/>
        <v>35394.667808219179</v>
      </c>
      <c r="AG24" s="84">
        <f t="shared" si="37"/>
        <v>35394.667808219179</v>
      </c>
      <c r="AH24" s="84">
        <f t="shared" si="38"/>
        <v>35394.667808219179</v>
      </c>
      <c r="AI24" s="84">
        <f t="shared" si="39"/>
        <v>35394.667808219179</v>
      </c>
      <c r="AJ24" s="84">
        <f t="shared" si="40"/>
        <v>35394.667808219179</v>
      </c>
      <c r="AK24" s="84">
        <f t="shared" si="41"/>
        <v>35394.667808219179</v>
      </c>
      <c r="AL24" s="84">
        <f t="shared" si="42"/>
        <v>35394.667808219179</v>
      </c>
      <c r="AM24" s="84">
        <f t="shared" si="43"/>
        <v>35394.667808219179</v>
      </c>
      <c r="AN24" s="84">
        <f t="shared" si="44"/>
        <v>35394.667808219179</v>
      </c>
      <c r="AO24" s="84">
        <f t="shared" si="45"/>
        <v>35394.667808219179</v>
      </c>
      <c r="AP24" s="84">
        <f t="shared" si="46"/>
        <v>35394.667808219179</v>
      </c>
      <c r="AQ24" s="84">
        <f t="shared" si="47"/>
        <v>35394.667808219179</v>
      </c>
      <c r="AR24" s="84">
        <f t="shared" si="48"/>
        <v>35394.667808219179</v>
      </c>
      <c r="AS24" s="84">
        <f t="shared" si="49"/>
        <v>35394.667808219179</v>
      </c>
      <c r="AT24" s="84">
        <f t="shared" si="50"/>
        <v>35394.667808219179</v>
      </c>
      <c r="AU24" s="84">
        <f t="shared" si="51"/>
        <v>35394.667808219179</v>
      </c>
      <c r="AV24" s="84">
        <f t="shared" si="52"/>
        <v>35394.667808219179</v>
      </c>
      <c r="AW24" s="84">
        <f t="shared" si="53"/>
        <v>35394.667808219179</v>
      </c>
      <c r="AX24" s="84">
        <f t="shared" si="54"/>
        <v>35394.667808219179</v>
      </c>
      <c r="AY24" s="84">
        <f t="shared" si="55"/>
        <v>35394.667808219179</v>
      </c>
      <c r="AZ24" s="84">
        <f t="shared" si="56"/>
        <v>35394.667808219179</v>
      </c>
      <c r="BA24" s="84">
        <f t="shared" si="57"/>
        <v>35394.667808219179</v>
      </c>
      <c r="BB24" s="84"/>
      <c r="BC24" s="85"/>
    </row>
    <row r="25" spans="1:55" x14ac:dyDescent="0.2">
      <c r="A25" s="52">
        <f>IF(Cost_by_Year!B24="",PolicyLTDMiles,Cost_by_Year!B24)</f>
        <v>530920.01712328766</v>
      </c>
      <c r="B25" s="7"/>
      <c r="C25" s="7">
        <f t="shared" si="7"/>
        <v>17</v>
      </c>
      <c r="D25" s="84">
        <f t="shared" si="8"/>
        <v>212368.00684931508</v>
      </c>
      <c r="E25" s="84">
        <f t="shared" si="9"/>
        <v>176973.3390410959</v>
      </c>
      <c r="F25" s="84">
        <f t="shared" si="10"/>
        <v>495525.34931506868</v>
      </c>
      <c r="G25" s="84">
        <f t="shared" si="11"/>
        <v>353946.67808219185</v>
      </c>
      <c r="H25" s="84">
        <f t="shared" si="12"/>
        <v>460130.68150684948</v>
      </c>
      <c r="I25" s="84">
        <f t="shared" si="13"/>
        <v>283157.34246575343</v>
      </c>
      <c r="J25" s="84">
        <f t="shared" si="14"/>
        <v>283157.34246575343</v>
      </c>
      <c r="K25" s="84">
        <f t="shared" si="15"/>
        <v>353946.67808219185</v>
      </c>
      <c r="L25" s="84">
        <f t="shared" si="16"/>
        <v>318552.01027397264</v>
      </c>
      <c r="M25" s="84">
        <f t="shared" si="17"/>
        <v>247762.67465753425</v>
      </c>
      <c r="N25" s="84">
        <f t="shared" si="18"/>
        <v>212368.00684931508</v>
      </c>
      <c r="O25" s="84">
        <f t="shared" si="19"/>
        <v>283157.34246575343</v>
      </c>
      <c r="P25" s="84">
        <f t="shared" si="20"/>
        <v>70789.335616438359</v>
      </c>
      <c r="Q25" s="84">
        <f t="shared" si="21"/>
        <v>70789.335616438359</v>
      </c>
      <c r="R25" s="84">
        <f t="shared" si="22"/>
        <v>70789.335616438359</v>
      </c>
      <c r="S25" s="84">
        <f t="shared" si="23"/>
        <v>70789.335616438359</v>
      </c>
      <c r="T25" s="84">
        <f t="shared" si="24"/>
        <v>70789.335616438359</v>
      </c>
      <c r="U25" s="84">
        <f t="shared" si="25"/>
        <v>70789.335616438359</v>
      </c>
      <c r="V25" s="84">
        <f t="shared" si="26"/>
        <v>70789.335616438359</v>
      </c>
      <c r="W25" s="84">
        <f t="shared" si="27"/>
        <v>70789.335616438359</v>
      </c>
      <c r="X25" s="84">
        <f t="shared" si="28"/>
        <v>70789.335616438359</v>
      </c>
      <c r="Y25" s="84">
        <f t="shared" si="29"/>
        <v>70789.335616438359</v>
      </c>
      <c r="Z25" s="84">
        <f t="shared" si="30"/>
        <v>70789.335616438359</v>
      </c>
      <c r="AA25" s="84">
        <f t="shared" si="31"/>
        <v>70789.335616438359</v>
      </c>
      <c r="AB25" s="84">
        <f t="shared" si="32"/>
        <v>70789.335616438359</v>
      </c>
      <c r="AC25" s="84">
        <f t="shared" si="33"/>
        <v>70789.335616438359</v>
      </c>
      <c r="AD25" s="84">
        <f t="shared" si="34"/>
        <v>70789.335616438359</v>
      </c>
      <c r="AE25" s="84">
        <f t="shared" si="35"/>
        <v>70789.335616438359</v>
      </c>
      <c r="AF25" s="84">
        <f t="shared" si="36"/>
        <v>70789.335616438359</v>
      </c>
      <c r="AG25" s="84">
        <f t="shared" si="37"/>
        <v>70789.335616438359</v>
      </c>
      <c r="AH25" s="84">
        <f t="shared" si="38"/>
        <v>70789.335616438359</v>
      </c>
      <c r="AI25" s="84">
        <f t="shared" si="39"/>
        <v>70789.335616438359</v>
      </c>
      <c r="AJ25" s="84">
        <f t="shared" si="40"/>
        <v>70789.335616438359</v>
      </c>
      <c r="AK25" s="84">
        <f t="shared" si="41"/>
        <v>70789.335616438359</v>
      </c>
      <c r="AL25" s="84">
        <f t="shared" si="42"/>
        <v>70789.335616438359</v>
      </c>
      <c r="AM25" s="84">
        <f t="shared" si="43"/>
        <v>70789.335616438359</v>
      </c>
      <c r="AN25" s="84">
        <f t="shared" si="44"/>
        <v>70789.335616438359</v>
      </c>
      <c r="AO25" s="84">
        <f t="shared" si="45"/>
        <v>70789.335616438359</v>
      </c>
      <c r="AP25" s="84">
        <f t="shared" si="46"/>
        <v>70789.335616438359</v>
      </c>
      <c r="AQ25" s="84">
        <f t="shared" si="47"/>
        <v>70789.335616438359</v>
      </c>
      <c r="AR25" s="84">
        <f t="shared" si="48"/>
        <v>70789.335616438359</v>
      </c>
      <c r="AS25" s="84">
        <f t="shared" si="49"/>
        <v>70789.335616438359</v>
      </c>
      <c r="AT25" s="84">
        <f t="shared" si="50"/>
        <v>70789.335616438359</v>
      </c>
      <c r="AU25" s="84">
        <f t="shared" si="51"/>
        <v>70789.335616438359</v>
      </c>
      <c r="AV25" s="84">
        <f t="shared" si="52"/>
        <v>70789.335616438359</v>
      </c>
      <c r="AW25" s="84">
        <f t="shared" si="53"/>
        <v>70789.335616438359</v>
      </c>
      <c r="AX25" s="84">
        <f t="shared" si="54"/>
        <v>70789.335616438359</v>
      </c>
      <c r="AY25" s="84">
        <f t="shared" si="55"/>
        <v>70789.335616438359</v>
      </c>
      <c r="AZ25" s="84">
        <f t="shared" si="56"/>
        <v>70789.335616438359</v>
      </c>
      <c r="BA25" s="84">
        <f t="shared" si="57"/>
        <v>70789.335616438359</v>
      </c>
      <c r="BB25" s="84"/>
      <c r="BC25" s="85"/>
    </row>
    <row r="26" spans="1:55" x14ac:dyDescent="0.2">
      <c r="A26" s="52">
        <f>IF(Cost_by_Year!B25="",PolicyLTDMiles,Cost_by_Year!B25)</f>
        <v>530920.01712328766</v>
      </c>
      <c r="B26" s="7"/>
      <c r="C26" s="7">
        <f t="shared" si="7"/>
        <v>18</v>
      </c>
      <c r="D26" s="84">
        <f t="shared" si="8"/>
        <v>247762.67465753425</v>
      </c>
      <c r="E26" s="84">
        <f t="shared" si="9"/>
        <v>212368.00684931508</v>
      </c>
      <c r="F26" s="84">
        <f t="shared" si="10"/>
        <v>0</v>
      </c>
      <c r="G26" s="84">
        <f t="shared" si="11"/>
        <v>389341.34589041106</v>
      </c>
      <c r="H26" s="84">
        <f t="shared" si="12"/>
        <v>495525.34931506868</v>
      </c>
      <c r="I26" s="84">
        <f t="shared" si="13"/>
        <v>318552.01027397264</v>
      </c>
      <c r="J26" s="84">
        <f t="shared" si="14"/>
        <v>318552.01027397264</v>
      </c>
      <c r="K26" s="84">
        <f t="shared" si="15"/>
        <v>389341.34589041106</v>
      </c>
      <c r="L26" s="84">
        <f t="shared" si="16"/>
        <v>353946.67808219185</v>
      </c>
      <c r="M26" s="84">
        <f t="shared" si="17"/>
        <v>283157.34246575343</v>
      </c>
      <c r="N26" s="84">
        <f t="shared" si="18"/>
        <v>247762.67465753425</v>
      </c>
      <c r="O26" s="84">
        <f t="shared" si="19"/>
        <v>318552.01027397264</v>
      </c>
      <c r="P26" s="84">
        <f t="shared" si="20"/>
        <v>106184.00342465754</v>
      </c>
      <c r="Q26" s="84">
        <f t="shared" si="21"/>
        <v>106184.00342465754</v>
      </c>
      <c r="R26" s="84">
        <f t="shared" si="22"/>
        <v>106184.00342465754</v>
      </c>
      <c r="S26" s="84">
        <f t="shared" si="23"/>
        <v>106184.00342465754</v>
      </c>
      <c r="T26" s="84">
        <f t="shared" si="24"/>
        <v>106184.00342465754</v>
      </c>
      <c r="U26" s="84">
        <f t="shared" si="25"/>
        <v>106184.00342465754</v>
      </c>
      <c r="V26" s="84">
        <f t="shared" si="26"/>
        <v>106184.00342465754</v>
      </c>
      <c r="W26" s="84">
        <f t="shared" si="27"/>
        <v>106184.00342465754</v>
      </c>
      <c r="X26" s="84">
        <f t="shared" si="28"/>
        <v>106184.00342465754</v>
      </c>
      <c r="Y26" s="84">
        <f t="shared" si="29"/>
        <v>106184.00342465754</v>
      </c>
      <c r="Z26" s="84">
        <f t="shared" si="30"/>
        <v>106184.00342465754</v>
      </c>
      <c r="AA26" s="84">
        <f t="shared" si="31"/>
        <v>106184.00342465754</v>
      </c>
      <c r="AB26" s="84">
        <f t="shared" si="32"/>
        <v>106184.00342465754</v>
      </c>
      <c r="AC26" s="84">
        <f t="shared" si="33"/>
        <v>106184.00342465754</v>
      </c>
      <c r="AD26" s="84">
        <f t="shared" si="34"/>
        <v>106184.00342465754</v>
      </c>
      <c r="AE26" s="84">
        <f t="shared" si="35"/>
        <v>106184.00342465754</v>
      </c>
      <c r="AF26" s="84">
        <f t="shared" si="36"/>
        <v>106184.00342465754</v>
      </c>
      <c r="AG26" s="84">
        <f t="shared" si="37"/>
        <v>106184.00342465754</v>
      </c>
      <c r="AH26" s="84">
        <f t="shared" si="38"/>
        <v>106184.00342465754</v>
      </c>
      <c r="AI26" s="84">
        <f t="shared" si="39"/>
        <v>106184.00342465754</v>
      </c>
      <c r="AJ26" s="84">
        <f t="shared" si="40"/>
        <v>106184.00342465754</v>
      </c>
      <c r="AK26" s="84">
        <f t="shared" si="41"/>
        <v>106184.00342465754</v>
      </c>
      <c r="AL26" s="84">
        <f t="shared" si="42"/>
        <v>106184.00342465754</v>
      </c>
      <c r="AM26" s="84">
        <f t="shared" si="43"/>
        <v>106184.00342465754</v>
      </c>
      <c r="AN26" s="84">
        <f t="shared" si="44"/>
        <v>106184.00342465754</v>
      </c>
      <c r="AO26" s="84">
        <f t="shared" si="45"/>
        <v>106184.00342465754</v>
      </c>
      <c r="AP26" s="84">
        <f t="shared" si="46"/>
        <v>106184.00342465754</v>
      </c>
      <c r="AQ26" s="84">
        <f t="shared" si="47"/>
        <v>106184.00342465754</v>
      </c>
      <c r="AR26" s="84">
        <f t="shared" si="48"/>
        <v>106184.00342465754</v>
      </c>
      <c r="AS26" s="84">
        <f t="shared" si="49"/>
        <v>106184.00342465754</v>
      </c>
      <c r="AT26" s="84">
        <f t="shared" si="50"/>
        <v>106184.00342465754</v>
      </c>
      <c r="AU26" s="84">
        <f t="shared" si="51"/>
        <v>106184.00342465754</v>
      </c>
      <c r="AV26" s="84">
        <f t="shared" si="52"/>
        <v>106184.00342465754</v>
      </c>
      <c r="AW26" s="84">
        <f t="shared" si="53"/>
        <v>106184.00342465754</v>
      </c>
      <c r="AX26" s="84">
        <f t="shared" si="54"/>
        <v>106184.00342465754</v>
      </c>
      <c r="AY26" s="84">
        <f t="shared" si="55"/>
        <v>106184.00342465754</v>
      </c>
      <c r="AZ26" s="84">
        <f t="shared" si="56"/>
        <v>106184.00342465754</v>
      </c>
      <c r="BA26" s="84">
        <f t="shared" si="57"/>
        <v>106184.00342465754</v>
      </c>
      <c r="BB26" s="84"/>
      <c r="BC26" s="85"/>
    </row>
    <row r="27" spans="1:55" x14ac:dyDescent="0.2">
      <c r="A27" s="52">
        <f>IF(Cost_by_Year!B26="",PolicyLTDMiles,Cost_by_Year!B26)</f>
        <v>530920.01712328766</v>
      </c>
      <c r="B27" s="7"/>
      <c r="C27" s="7">
        <f t="shared" si="7"/>
        <v>19</v>
      </c>
      <c r="D27" s="84">
        <f t="shared" si="8"/>
        <v>283157.34246575343</v>
      </c>
      <c r="E27" s="84">
        <f t="shared" si="9"/>
        <v>247762.67465753425</v>
      </c>
      <c r="F27" s="84">
        <f t="shared" si="10"/>
        <v>35394.667808219179</v>
      </c>
      <c r="G27" s="84">
        <f t="shared" si="11"/>
        <v>424736.01369863027</v>
      </c>
      <c r="H27" s="84">
        <f t="shared" si="12"/>
        <v>0</v>
      </c>
      <c r="I27" s="84">
        <f t="shared" si="13"/>
        <v>353946.67808219185</v>
      </c>
      <c r="J27" s="84">
        <f t="shared" si="14"/>
        <v>353946.67808219185</v>
      </c>
      <c r="K27" s="84">
        <f t="shared" si="15"/>
        <v>424736.01369863027</v>
      </c>
      <c r="L27" s="84">
        <f t="shared" si="16"/>
        <v>389341.34589041106</v>
      </c>
      <c r="M27" s="84">
        <f t="shared" si="17"/>
        <v>318552.01027397264</v>
      </c>
      <c r="N27" s="84">
        <f t="shared" si="18"/>
        <v>283157.34246575343</v>
      </c>
      <c r="O27" s="84">
        <f t="shared" si="19"/>
        <v>353946.67808219185</v>
      </c>
      <c r="P27" s="84">
        <f t="shared" si="20"/>
        <v>141578.67123287672</v>
      </c>
      <c r="Q27" s="84">
        <f t="shared" si="21"/>
        <v>141578.67123287672</v>
      </c>
      <c r="R27" s="84">
        <f t="shared" si="22"/>
        <v>141578.67123287672</v>
      </c>
      <c r="S27" s="84">
        <f t="shared" si="23"/>
        <v>141578.67123287672</v>
      </c>
      <c r="T27" s="84">
        <f t="shared" si="24"/>
        <v>141578.67123287672</v>
      </c>
      <c r="U27" s="84">
        <f t="shared" si="25"/>
        <v>141578.67123287672</v>
      </c>
      <c r="V27" s="84">
        <f t="shared" si="26"/>
        <v>141578.67123287672</v>
      </c>
      <c r="W27" s="84">
        <f t="shared" si="27"/>
        <v>141578.67123287672</v>
      </c>
      <c r="X27" s="84">
        <f t="shared" si="28"/>
        <v>141578.67123287672</v>
      </c>
      <c r="Y27" s="84">
        <f t="shared" si="29"/>
        <v>141578.67123287672</v>
      </c>
      <c r="Z27" s="84">
        <f t="shared" si="30"/>
        <v>141578.67123287672</v>
      </c>
      <c r="AA27" s="84">
        <f t="shared" si="31"/>
        <v>141578.67123287672</v>
      </c>
      <c r="AB27" s="84">
        <f t="shared" si="32"/>
        <v>141578.67123287672</v>
      </c>
      <c r="AC27" s="84">
        <f t="shared" si="33"/>
        <v>141578.67123287672</v>
      </c>
      <c r="AD27" s="84">
        <f t="shared" si="34"/>
        <v>141578.67123287672</v>
      </c>
      <c r="AE27" s="84">
        <f t="shared" si="35"/>
        <v>141578.67123287672</v>
      </c>
      <c r="AF27" s="84">
        <f t="shared" si="36"/>
        <v>141578.67123287672</v>
      </c>
      <c r="AG27" s="84">
        <f t="shared" si="37"/>
        <v>141578.67123287672</v>
      </c>
      <c r="AH27" s="84">
        <f t="shared" si="38"/>
        <v>141578.67123287672</v>
      </c>
      <c r="AI27" s="84">
        <f t="shared" si="39"/>
        <v>141578.67123287672</v>
      </c>
      <c r="AJ27" s="84">
        <f t="shared" si="40"/>
        <v>141578.67123287672</v>
      </c>
      <c r="AK27" s="84">
        <f t="shared" si="41"/>
        <v>141578.67123287672</v>
      </c>
      <c r="AL27" s="84">
        <f t="shared" si="42"/>
        <v>141578.67123287672</v>
      </c>
      <c r="AM27" s="84">
        <f t="shared" si="43"/>
        <v>141578.67123287672</v>
      </c>
      <c r="AN27" s="84">
        <f t="shared" si="44"/>
        <v>141578.67123287672</v>
      </c>
      <c r="AO27" s="84">
        <f t="shared" si="45"/>
        <v>141578.67123287672</v>
      </c>
      <c r="AP27" s="84">
        <f t="shared" si="46"/>
        <v>141578.67123287672</v>
      </c>
      <c r="AQ27" s="84">
        <f t="shared" si="47"/>
        <v>141578.67123287672</v>
      </c>
      <c r="AR27" s="84">
        <f t="shared" si="48"/>
        <v>141578.67123287672</v>
      </c>
      <c r="AS27" s="84">
        <f t="shared" si="49"/>
        <v>141578.67123287672</v>
      </c>
      <c r="AT27" s="84">
        <f t="shared" si="50"/>
        <v>141578.67123287672</v>
      </c>
      <c r="AU27" s="84">
        <f t="shared" si="51"/>
        <v>141578.67123287672</v>
      </c>
      <c r="AV27" s="84">
        <f t="shared" si="52"/>
        <v>141578.67123287672</v>
      </c>
      <c r="AW27" s="84">
        <f t="shared" si="53"/>
        <v>141578.67123287672</v>
      </c>
      <c r="AX27" s="84">
        <f t="shared" si="54"/>
        <v>141578.67123287672</v>
      </c>
      <c r="AY27" s="84">
        <f t="shared" si="55"/>
        <v>141578.67123287672</v>
      </c>
      <c r="AZ27" s="84">
        <f t="shared" si="56"/>
        <v>141578.67123287672</v>
      </c>
      <c r="BA27" s="84">
        <f t="shared" si="57"/>
        <v>141578.67123287672</v>
      </c>
      <c r="BB27" s="84"/>
      <c r="BC27" s="85"/>
    </row>
    <row r="28" spans="1:55" x14ac:dyDescent="0.2">
      <c r="A28" s="52">
        <f>IF(Cost_by_Year!B27="",PolicyLTDMiles,Cost_by_Year!B27)</f>
        <v>530920.01712328766</v>
      </c>
      <c r="B28" s="7"/>
      <c r="C28" s="7">
        <f t="shared" si="7"/>
        <v>20</v>
      </c>
      <c r="D28" s="84">
        <f t="shared" si="8"/>
        <v>318552.01027397264</v>
      </c>
      <c r="E28" s="84">
        <f t="shared" si="9"/>
        <v>283157.34246575343</v>
      </c>
      <c r="F28" s="84">
        <f t="shared" si="10"/>
        <v>70789.335616438359</v>
      </c>
      <c r="G28" s="84">
        <f t="shared" si="11"/>
        <v>460130.68150684948</v>
      </c>
      <c r="H28" s="84">
        <f t="shared" si="12"/>
        <v>35394.667808219179</v>
      </c>
      <c r="I28" s="84">
        <f t="shared" si="13"/>
        <v>389341.34589041106</v>
      </c>
      <c r="J28" s="84">
        <f t="shared" si="14"/>
        <v>389341.34589041106</v>
      </c>
      <c r="K28" s="84">
        <f t="shared" si="15"/>
        <v>460130.68150684948</v>
      </c>
      <c r="L28" s="84">
        <f t="shared" si="16"/>
        <v>424736.01369863027</v>
      </c>
      <c r="M28" s="84">
        <f t="shared" si="17"/>
        <v>353946.67808219185</v>
      </c>
      <c r="N28" s="84">
        <f t="shared" si="18"/>
        <v>318552.01027397264</v>
      </c>
      <c r="O28" s="84">
        <f t="shared" si="19"/>
        <v>389341.34589041106</v>
      </c>
      <c r="P28" s="84">
        <f t="shared" si="20"/>
        <v>176973.3390410959</v>
      </c>
      <c r="Q28" s="84">
        <f t="shared" si="21"/>
        <v>176973.3390410959</v>
      </c>
      <c r="R28" s="84">
        <f t="shared" si="22"/>
        <v>176973.3390410959</v>
      </c>
      <c r="S28" s="84">
        <f t="shared" si="23"/>
        <v>176973.3390410959</v>
      </c>
      <c r="T28" s="84">
        <f t="shared" si="24"/>
        <v>176973.3390410959</v>
      </c>
      <c r="U28" s="84">
        <f t="shared" si="25"/>
        <v>176973.3390410959</v>
      </c>
      <c r="V28" s="84">
        <f t="shared" si="26"/>
        <v>176973.3390410959</v>
      </c>
      <c r="W28" s="84">
        <f t="shared" si="27"/>
        <v>176973.3390410959</v>
      </c>
      <c r="X28" s="84">
        <f t="shared" si="28"/>
        <v>176973.3390410959</v>
      </c>
      <c r="Y28" s="84">
        <f t="shared" si="29"/>
        <v>176973.3390410959</v>
      </c>
      <c r="Z28" s="84">
        <f t="shared" si="30"/>
        <v>176973.3390410959</v>
      </c>
      <c r="AA28" s="84">
        <f t="shared" si="31"/>
        <v>176973.3390410959</v>
      </c>
      <c r="AB28" s="84">
        <f t="shared" si="32"/>
        <v>176973.3390410959</v>
      </c>
      <c r="AC28" s="84">
        <f t="shared" si="33"/>
        <v>176973.3390410959</v>
      </c>
      <c r="AD28" s="84">
        <f t="shared" si="34"/>
        <v>176973.3390410959</v>
      </c>
      <c r="AE28" s="84">
        <f t="shared" si="35"/>
        <v>176973.3390410959</v>
      </c>
      <c r="AF28" s="84">
        <f t="shared" si="36"/>
        <v>176973.3390410959</v>
      </c>
      <c r="AG28" s="84">
        <f t="shared" si="37"/>
        <v>176973.3390410959</v>
      </c>
      <c r="AH28" s="84">
        <f t="shared" si="38"/>
        <v>176973.3390410959</v>
      </c>
      <c r="AI28" s="84">
        <f t="shared" si="39"/>
        <v>176973.3390410959</v>
      </c>
      <c r="AJ28" s="84">
        <f t="shared" si="40"/>
        <v>176973.3390410959</v>
      </c>
      <c r="AK28" s="84">
        <f t="shared" si="41"/>
        <v>176973.3390410959</v>
      </c>
      <c r="AL28" s="84">
        <f t="shared" si="42"/>
        <v>176973.3390410959</v>
      </c>
      <c r="AM28" s="84">
        <f t="shared" si="43"/>
        <v>176973.3390410959</v>
      </c>
      <c r="AN28" s="84">
        <f t="shared" si="44"/>
        <v>176973.3390410959</v>
      </c>
      <c r="AO28" s="84">
        <f t="shared" si="45"/>
        <v>176973.3390410959</v>
      </c>
      <c r="AP28" s="84">
        <f t="shared" si="46"/>
        <v>176973.3390410959</v>
      </c>
      <c r="AQ28" s="84">
        <f t="shared" si="47"/>
        <v>176973.3390410959</v>
      </c>
      <c r="AR28" s="84">
        <f t="shared" si="48"/>
        <v>176973.3390410959</v>
      </c>
      <c r="AS28" s="84">
        <f t="shared" si="49"/>
        <v>176973.3390410959</v>
      </c>
      <c r="AT28" s="84">
        <f t="shared" si="50"/>
        <v>176973.3390410959</v>
      </c>
      <c r="AU28" s="84">
        <f t="shared" si="51"/>
        <v>176973.3390410959</v>
      </c>
      <c r="AV28" s="84">
        <f t="shared" si="52"/>
        <v>176973.3390410959</v>
      </c>
      <c r="AW28" s="84">
        <f t="shared" si="53"/>
        <v>176973.3390410959</v>
      </c>
      <c r="AX28" s="84">
        <f t="shared" si="54"/>
        <v>176973.3390410959</v>
      </c>
      <c r="AY28" s="84">
        <f t="shared" si="55"/>
        <v>176973.3390410959</v>
      </c>
      <c r="AZ28" s="84">
        <f t="shared" si="56"/>
        <v>176973.3390410959</v>
      </c>
      <c r="BA28" s="84">
        <f t="shared" si="57"/>
        <v>176973.3390410959</v>
      </c>
      <c r="BB28" s="84"/>
      <c r="BC28" s="85"/>
    </row>
    <row r="29" spans="1:55" x14ac:dyDescent="0.2">
      <c r="A29" s="52">
        <f>IF(Cost_by_Year!B28="",PolicyLTDMiles,Cost_by_Year!B28)</f>
        <v>530920.01712328766</v>
      </c>
      <c r="B29" s="7"/>
      <c r="C29" s="7">
        <f t="shared" si="7"/>
        <v>21</v>
      </c>
      <c r="D29" s="84">
        <f t="shared" si="8"/>
        <v>353946.67808219185</v>
      </c>
      <c r="E29" s="84">
        <f t="shared" si="9"/>
        <v>318552.01027397264</v>
      </c>
      <c r="F29" s="84">
        <f t="shared" si="10"/>
        <v>106184.00342465754</v>
      </c>
      <c r="G29" s="84">
        <f t="shared" si="11"/>
        <v>495525.34931506868</v>
      </c>
      <c r="H29" s="84">
        <f t="shared" si="12"/>
        <v>70789.335616438359</v>
      </c>
      <c r="I29" s="84">
        <f t="shared" si="13"/>
        <v>424736.01369863027</v>
      </c>
      <c r="J29" s="84">
        <f t="shared" si="14"/>
        <v>424736.01369863027</v>
      </c>
      <c r="K29" s="84">
        <f t="shared" si="15"/>
        <v>495525.34931506868</v>
      </c>
      <c r="L29" s="84">
        <f t="shared" si="16"/>
        <v>460130.68150684948</v>
      </c>
      <c r="M29" s="84">
        <f t="shared" si="17"/>
        <v>389341.34589041106</v>
      </c>
      <c r="N29" s="84">
        <f t="shared" si="18"/>
        <v>353946.67808219185</v>
      </c>
      <c r="O29" s="84">
        <f t="shared" si="19"/>
        <v>424736.01369863027</v>
      </c>
      <c r="P29" s="84">
        <f t="shared" si="20"/>
        <v>212368.00684931508</v>
      </c>
      <c r="Q29" s="84">
        <f t="shared" si="21"/>
        <v>212368.00684931508</v>
      </c>
      <c r="R29" s="84">
        <f t="shared" si="22"/>
        <v>212368.00684931508</v>
      </c>
      <c r="S29" s="84">
        <f t="shared" si="23"/>
        <v>212368.00684931508</v>
      </c>
      <c r="T29" s="84">
        <f t="shared" si="24"/>
        <v>212368.00684931508</v>
      </c>
      <c r="U29" s="84">
        <f t="shared" si="25"/>
        <v>212368.00684931508</v>
      </c>
      <c r="V29" s="84">
        <f t="shared" si="26"/>
        <v>212368.00684931508</v>
      </c>
      <c r="W29" s="84">
        <f t="shared" si="27"/>
        <v>212368.00684931508</v>
      </c>
      <c r="X29" s="84">
        <f t="shared" si="28"/>
        <v>212368.00684931508</v>
      </c>
      <c r="Y29" s="84">
        <f t="shared" si="29"/>
        <v>212368.00684931508</v>
      </c>
      <c r="Z29" s="84">
        <f t="shared" si="30"/>
        <v>212368.00684931508</v>
      </c>
      <c r="AA29" s="84">
        <f t="shared" si="31"/>
        <v>212368.00684931508</v>
      </c>
      <c r="AB29" s="84">
        <f t="shared" si="32"/>
        <v>212368.00684931508</v>
      </c>
      <c r="AC29" s="84">
        <f t="shared" si="33"/>
        <v>212368.00684931508</v>
      </c>
      <c r="AD29" s="84">
        <f t="shared" si="34"/>
        <v>212368.00684931508</v>
      </c>
      <c r="AE29" s="84">
        <f t="shared" si="35"/>
        <v>212368.00684931508</v>
      </c>
      <c r="AF29" s="84">
        <f t="shared" si="36"/>
        <v>212368.00684931508</v>
      </c>
      <c r="AG29" s="84">
        <f t="shared" si="37"/>
        <v>212368.00684931508</v>
      </c>
      <c r="AH29" s="84">
        <f t="shared" si="38"/>
        <v>212368.00684931508</v>
      </c>
      <c r="AI29" s="84">
        <f t="shared" si="39"/>
        <v>212368.00684931508</v>
      </c>
      <c r="AJ29" s="84">
        <f t="shared" si="40"/>
        <v>212368.00684931508</v>
      </c>
      <c r="AK29" s="84">
        <f t="shared" si="41"/>
        <v>212368.00684931508</v>
      </c>
      <c r="AL29" s="84">
        <f t="shared" si="42"/>
        <v>212368.00684931508</v>
      </c>
      <c r="AM29" s="84">
        <f t="shared" si="43"/>
        <v>212368.00684931508</v>
      </c>
      <c r="AN29" s="84">
        <f t="shared" si="44"/>
        <v>212368.00684931508</v>
      </c>
      <c r="AO29" s="84">
        <f t="shared" si="45"/>
        <v>212368.00684931508</v>
      </c>
      <c r="AP29" s="84">
        <f t="shared" si="46"/>
        <v>212368.00684931508</v>
      </c>
      <c r="AQ29" s="84">
        <f t="shared" si="47"/>
        <v>212368.00684931508</v>
      </c>
      <c r="AR29" s="84">
        <f t="shared" si="48"/>
        <v>212368.00684931508</v>
      </c>
      <c r="AS29" s="84">
        <f t="shared" si="49"/>
        <v>212368.00684931508</v>
      </c>
      <c r="AT29" s="84">
        <f t="shared" si="50"/>
        <v>212368.00684931508</v>
      </c>
      <c r="AU29" s="84">
        <f t="shared" si="51"/>
        <v>212368.00684931508</v>
      </c>
      <c r="AV29" s="84">
        <f t="shared" si="52"/>
        <v>212368.00684931508</v>
      </c>
      <c r="AW29" s="84">
        <f t="shared" si="53"/>
        <v>212368.00684931508</v>
      </c>
      <c r="AX29" s="84">
        <f t="shared" si="54"/>
        <v>212368.00684931508</v>
      </c>
      <c r="AY29" s="84">
        <f t="shared" si="55"/>
        <v>212368.00684931508</v>
      </c>
      <c r="AZ29" s="84">
        <f t="shared" si="56"/>
        <v>212368.00684931508</v>
      </c>
      <c r="BA29" s="84">
        <f t="shared" si="57"/>
        <v>212368.00684931508</v>
      </c>
      <c r="BB29" s="84"/>
      <c r="BC29" s="85"/>
    </row>
    <row r="30" spans="1:55" x14ac:dyDescent="0.2">
      <c r="A30" s="52">
        <f>IF(Cost_by_Year!B29="",PolicyLTDMiles,Cost_by_Year!B29)</f>
        <v>530920.01712328766</v>
      </c>
      <c r="B30" s="7"/>
      <c r="C30" s="7">
        <f t="shared" si="7"/>
        <v>22</v>
      </c>
      <c r="D30" s="84">
        <f t="shared" si="8"/>
        <v>389341.34589041106</v>
      </c>
      <c r="E30" s="84">
        <f t="shared" si="9"/>
        <v>353946.67808219185</v>
      </c>
      <c r="F30" s="84">
        <f t="shared" si="10"/>
        <v>141578.67123287672</v>
      </c>
      <c r="G30" s="84">
        <f t="shared" si="11"/>
        <v>0</v>
      </c>
      <c r="H30" s="84">
        <f t="shared" si="12"/>
        <v>106184.00342465754</v>
      </c>
      <c r="I30" s="84">
        <f t="shared" si="13"/>
        <v>460130.68150684948</v>
      </c>
      <c r="J30" s="84">
        <f t="shared" si="14"/>
        <v>460130.68150684948</v>
      </c>
      <c r="K30" s="84">
        <f t="shared" si="15"/>
        <v>0</v>
      </c>
      <c r="L30" s="84">
        <f t="shared" si="16"/>
        <v>495525.34931506868</v>
      </c>
      <c r="M30" s="84">
        <f t="shared" si="17"/>
        <v>424736.01369863027</v>
      </c>
      <c r="N30" s="84">
        <f t="shared" si="18"/>
        <v>389341.34589041106</v>
      </c>
      <c r="O30" s="84">
        <f t="shared" si="19"/>
        <v>460130.68150684948</v>
      </c>
      <c r="P30" s="84">
        <f t="shared" si="20"/>
        <v>247762.67465753425</v>
      </c>
      <c r="Q30" s="84">
        <f t="shared" si="21"/>
        <v>247762.67465753425</v>
      </c>
      <c r="R30" s="84">
        <f t="shared" si="22"/>
        <v>247762.67465753425</v>
      </c>
      <c r="S30" s="84">
        <f t="shared" si="23"/>
        <v>247762.67465753425</v>
      </c>
      <c r="T30" s="84">
        <f t="shared" si="24"/>
        <v>247762.67465753425</v>
      </c>
      <c r="U30" s="84">
        <f t="shared" si="25"/>
        <v>247762.67465753425</v>
      </c>
      <c r="V30" s="84">
        <f t="shared" si="26"/>
        <v>247762.67465753425</v>
      </c>
      <c r="W30" s="84">
        <f t="shared" si="27"/>
        <v>247762.67465753425</v>
      </c>
      <c r="X30" s="84">
        <f t="shared" si="28"/>
        <v>247762.67465753425</v>
      </c>
      <c r="Y30" s="84">
        <f t="shared" si="29"/>
        <v>247762.67465753425</v>
      </c>
      <c r="Z30" s="84">
        <f t="shared" si="30"/>
        <v>247762.67465753425</v>
      </c>
      <c r="AA30" s="84">
        <f t="shared" si="31"/>
        <v>247762.67465753425</v>
      </c>
      <c r="AB30" s="84">
        <f t="shared" si="32"/>
        <v>247762.67465753425</v>
      </c>
      <c r="AC30" s="84">
        <f t="shared" si="33"/>
        <v>247762.67465753425</v>
      </c>
      <c r="AD30" s="84">
        <f t="shared" si="34"/>
        <v>247762.67465753425</v>
      </c>
      <c r="AE30" s="84">
        <f t="shared" si="35"/>
        <v>247762.67465753425</v>
      </c>
      <c r="AF30" s="84">
        <f t="shared" si="36"/>
        <v>247762.67465753425</v>
      </c>
      <c r="AG30" s="84">
        <f t="shared" si="37"/>
        <v>247762.67465753425</v>
      </c>
      <c r="AH30" s="84">
        <f t="shared" si="38"/>
        <v>247762.67465753425</v>
      </c>
      <c r="AI30" s="84">
        <f t="shared" si="39"/>
        <v>247762.67465753425</v>
      </c>
      <c r="AJ30" s="84">
        <f t="shared" si="40"/>
        <v>247762.67465753425</v>
      </c>
      <c r="AK30" s="84">
        <f t="shared" si="41"/>
        <v>247762.67465753425</v>
      </c>
      <c r="AL30" s="84">
        <f t="shared" si="42"/>
        <v>247762.67465753425</v>
      </c>
      <c r="AM30" s="84">
        <f t="shared" si="43"/>
        <v>247762.67465753425</v>
      </c>
      <c r="AN30" s="84">
        <f t="shared" si="44"/>
        <v>247762.67465753425</v>
      </c>
      <c r="AO30" s="84">
        <f t="shared" si="45"/>
        <v>247762.67465753425</v>
      </c>
      <c r="AP30" s="84">
        <f t="shared" si="46"/>
        <v>247762.67465753425</v>
      </c>
      <c r="AQ30" s="84">
        <f t="shared" si="47"/>
        <v>247762.67465753425</v>
      </c>
      <c r="AR30" s="84">
        <f t="shared" si="48"/>
        <v>247762.67465753425</v>
      </c>
      <c r="AS30" s="84">
        <f t="shared" si="49"/>
        <v>247762.67465753425</v>
      </c>
      <c r="AT30" s="84">
        <f t="shared" si="50"/>
        <v>247762.67465753425</v>
      </c>
      <c r="AU30" s="84">
        <f t="shared" si="51"/>
        <v>247762.67465753425</v>
      </c>
      <c r="AV30" s="84">
        <f t="shared" si="52"/>
        <v>247762.67465753425</v>
      </c>
      <c r="AW30" s="84">
        <f t="shared" si="53"/>
        <v>247762.67465753425</v>
      </c>
      <c r="AX30" s="84">
        <f t="shared" si="54"/>
        <v>247762.67465753425</v>
      </c>
      <c r="AY30" s="84">
        <f t="shared" si="55"/>
        <v>247762.67465753425</v>
      </c>
      <c r="AZ30" s="84">
        <f t="shared" si="56"/>
        <v>247762.67465753425</v>
      </c>
      <c r="BA30" s="84">
        <f t="shared" si="57"/>
        <v>247762.67465753425</v>
      </c>
      <c r="BB30" s="84"/>
      <c r="BC30" s="85"/>
    </row>
    <row r="31" spans="1:55" x14ac:dyDescent="0.2">
      <c r="A31" s="52">
        <f>IF(Cost_by_Year!B30="",PolicyLTDMiles,Cost_by_Year!B30)</f>
        <v>530920.01712328766</v>
      </c>
      <c r="B31" s="7"/>
      <c r="C31" s="7">
        <f t="shared" si="7"/>
        <v>23</v>
      </c>
      <c r="D31" s="84">
        <f t="shared" si="8"/>
        <v>424736.01369863027</v>
      </c>
      <c r="E31" s="84">
        <f t="shared" si="9"/>
        <v>389341.34589041106</v>
      </c>
      <c r="F31" s="84">
        <f t="shared" si="10"/>
        <v>176973.3390410959</v>
      </c>
      <c r="G31" s="84">
        <f t="shared" si="11"/>
        <v>35394.667808219179</v>
      </c>
      <c r="H31" s="84">
        <f t="shared" si="12"/>
        <v>141578.67123287672</v>
      </c>
      <c r="I31" s="84">
        <f t="shared" si="13"/>
        <v>495525.34931506868</v>
      </c>
      <c r="J31" s="84">
        <f t="shared" si="14"/>
        <v>495525.34931506868</v>
      </c>
      <c r="K31" s="84">
        <f t="shared" si="15"/>
        <v>35394.667808219179</v>
      </c>
      <c r="L31" s="84">
        <f t="shared" si="16"/>
        <v>0</v>
      </c>
      <c r="M31" s="84">
        <f t="shared" si="17"/>
        <v>460130.68150684948</v>
      </c>
      <c r="N31" s="84">
        <f t="shared" si="18"/>
        <v>424736.01369863027</v>
      </c>
      <c r="O31" s="84">
        <f t="shared" si="19"/>
        <v>495525.34931506868</v>
      </c>
      <c r="P31" s="84">
        <f t="shared" si="20"/>
        <v>283157.34246575343</v>
      </c>
      <c r="Q31" s="84">
        <f t="shared" si="21"/>
        <v>283157.34246575343</v>
      </c>
      <c r="R31" s="84">
        <f t="shared" si="22"/>
        <v>283157.34246575343</v>
      </c>
      <c r="S31" s="84">
        <f t="shared" si="23"/>
        <v>283157.34246575343</v>
      </c>
      <c r="T31" s="84">
        <f t="shared" si="24"/>
        <v>283157.34246575343</v>
      </c>
      <c r="U31" s="84">
        <f t="shared" si="25"/>
        <v>283157.34246575343</v>
      </c>
      <c r="V31" s="84">
        <f t="shared" si="26"/>
        <v>283157.34246575343</v>
      </c>
      <c r="W31" s="84">
        <f t="shared" si="27"/>
        <v>283157.34246575343</v>
      </c>
      <c r="X31" s="84">
        <f t="shared" si="28"/>
        <v>283157.34246575343</v>
      </c>
      <c r="Y31" s="84">
        <f t="shared" si="29"/>
        <v>283157.34246575343</v>
      </c>
      <c r="Z31" s="84">
        <f t="shared" si="30"/>
        <v>283157.34246575343</v>
      </c>
      <c r="AA31" s="84">
        <f t="shared" si="31"/>
        <v>283157.34246575343</v>
      </c>
      <c r="AB31" s="84">
        <f t="shared" si="32"/>
        <v>283157.34246575343</v>
      </c>
      <c r="AC31" s="84">
        <f t="shared" si="33"/>
        <v>283157.34246575343</v>
      </c>
      <c r="AD31" s="84">
        <f t="shared" si="34"/>
        <v>283157.34246575343</v>
      </c>
      <c r="AE31" s="84">
        <f t="shared" si="35"/>
        <v>283157.34246575343</v>
      </c>
      <c r="AF31" s="84">
        <f t="shared" si="36"/>
        <v>283157.34246575343</v>
      </c>
      <c r="AG31" s="84">
        <f t="shared" si="37"/>
        <v>283157.34246575343</v>
      </c>
      <c r="AH31" s="84">
        <f t="shared" si="38"/>
        <v>283157.34246575343</v>
      </c>
      <c r="AI31" s="84">
        <f t="shared" si="39"/>
        <v>283157.34246575343</v>
      </c>
      <c r="AJ31" s="84">
        <f t="shared" si="40"/>
        <v>283157.34246575343</v>
      </c>
      <c r="AK31" s="84">
        <f t="shared" si="41"/>
        <v>283157.34246575343</v>
      </c>
      <c r="AL31" s="84">
        <f t="shared" si="42"/>
        <v>283157.34246575343</v>
      </c>
      <c r="AM31" s="84">
        <f t="shared" si="43"/>
        <v>283157.34246575343</v>
      </c>
      <c r="AN31" s="84">
        <f t="shared" si="44"/>
        <v>283157.34246575343</v>
      </c>
      <c r="AO31" s="84">
        <f t="shared" si="45"/>
        <v>283157.34246575343</v>
      </c>
      <c r="AP31" s="84">
        <f t="shared" si="46"/>
        <v>283157.34246575343</v>
      </c>
      <c r="AQ31" s="84">
        <f t="shared" si="47"/>
        <v>283157.34246575343</v>
      </c>
      <c r="AR31" s="84">
        <f t="shared" si="48"/>
        <v>283157.34246575343</v>
      </c>
      <c r="AS31" s="84">
        <f t="shared" si="49"/>
        <v>283157.34246575343</v>
      </c>
      <c r="AT31" s="84">
        <f t="shared" si="50"/>
        <v>283157.34246575343</v>
      </c>
      <c r="AU31" s="84">
        <f t="shared" si="51"/>
        <v>283157.34246575343</v>
      </c>
      <c r="AV31" s="84">
        <f t="shared" si="52"/>
        <v>283157.34246575343</v>
      </c>
      <c r="AW31" s="84">
        <f t="shared" si="53"/>
        <v>283157.34246575343</v>
      </c>
      <c r="AX31" s="84">
        <f t="shared" si="54"/>
        <v>283157.34246575343</v>
      </c>
      <c r="AY31" s="84">
        <f t="shared" si="55"/>
        <v>283157.34246575343</v>
      </c>
      <c r="AZ31" s="84">
        <f t="shared" si="56"/>
        <v>283157.34246575343</v>
      </c>
      <c r="BA31" s="84">
        <f t="shared" si="57"/>
        <v>283157.34246575343</v>
      </c>
      <c r="BB31" s="84"/>
      <c r="BC31" s="85"/>
    </row>
    <row r="32" spans="1:55" x14ac:dyDescent="0.2">
      <c r="A32" s="52">
        <f>IF(Cost_by_Year!B31="",PolicyLTDMiles,Cost_by_Year!B31)</f>
        <v>530920.01712328766</v>
      </c>
      <c r="B32" s="7"/>
      <c r="C32" s="7">
        <f t="shared" si="7"/>
        <v>24</v>
      </c>
      <c r="D32" s="84">
        <f t="shared" si="8"/>
        <v>460130.68150684948</v>
      </c>
      <c r="E32" s="84">
        <f t="shared" si="9"/>
        <v>424736.01369863027</v>
      </c>
      <c r="F32" s="84">
        <f t="shared" si="10"/>
        <v>212368.00684931508</v>
      </c>
      <c r="G32" s="84">
        <f t="shared" si="11"/>
        <v>70789.335616438359</v>
      </c>
      <c r="H32" s="84">
        <f t="shared" si="12"/>
        <v>176973.3390410959</v>
      </c>
      <c r="I32" s="84">
        <f t="shared" si="13"/>
        <v>0</v>
      </c>
      <c r="J32" s="84">
        <f t="shared" si="14"/>
        <v>0</v>
      </c>
      <c r="K32" s="84">
        <f t="shared" si="15"/>
        <v>70789.335616438359</v>
      </c>
      <c r="L32" s="84">
        <f t="shared" si="16"/>
        <v>35394.667808219179</v>
      </c>
      <c r="M32" s="84">
        <f t="shared" si="17"/>
        <v>495525.34931506868</v>
      </c>
      <c r="N32" s="84">
        <f t="shared" si="18"/>
        <v>460130.68150684948</v>
      </c>
      <c r="O32" s="84">
        <f t="shared" si="19"/>
        <v>0</v>
      </c>
      <c r="P32" s="84">
        <f t="shared" si="20"/>
        <v>318552.01027397264</v>
      </c>
      <c r="Q32" s="84">
        <f t="shared" si="21"/>
        <v>318552.01027397264</v>
      </c>
      <c r="R32" s="84">
        <f t="shared" si="22"/>
        <v>318552.01027397264</v>
      </c>
      <c r="S32" s="84">
        <f t="shared" si="23"/>
        <v>318552.01027397264</v>
      </c>
      <c r="T32" s="84">
        <f t="shared" si="24"/>
        <v>318552.01027397264</v>
      </c>
      <c r="U32" s="84">
        <f t="shared" si="25"/>
        <v>318552.01027397264</v>
      </c>
      <c r="V32" s="84">
        <f t="shared" si="26"/>
        <v>318552.01027397264</v>
      </c>
      <c r="W32" s="84">
        <f t="shared" si="27"/>
        <v>318552.01027397264</v>
      </c>
      <c r="X32" s="84">
        <f t="shared" si="28"/>
        <v>318552.01027397264</v>
      </c>
      <c r="Y32" s="84">
        <f t="shared" si="29"/>
        <v>318552.01027397264</v>
      </c>
      <c r="Z32" s="84">
        <f t="shared" si="30"/>
        <v>318552.01027397264</v>
      </c>
      <c r="AA32" s="84">
        <f t="shared" si="31"/>
        <v>318552.01027397264</v>
      </c>
      <c r="AB32" s="84">
        <f t="shared" si="32"/>
        <v>318552.01027397264</v>
      </c>
      <c r="AC32" s="84">
        <f t="shared" si="33"/>
        <v>318552.01027397264</v>
      </c>
      <c r="AD32" s="84">
        <f t="shared" si="34"/>
        <v>318552.01027397264</v>
      </c>
      <c r="AE32" s="84">
        <f t="shared" si="35"/>
        <v>318552.01027397264</v>
      </c>
      <c r="AF32" s="84">
        <f t="shared" si="36"/>
        <v>318552.01027397264</v>
      </c>
      <c r="AG32" s="84">
        <f t="shared" si="37"/>
        <v>318552.01027397264</v>
      </c>
      <c r="AH32" s="84">
        <f t="shared" si="38"/>
        <v>318552.01027397264</v>
      </c>
      <c r="AI32" s="84">
        <f t="shared" si="39"/>
        <v>318552.01027397264</v>
      </c>
      <c r="AJ32" s="84">
        <f t="shared" si="40"/>
        <v>318552.01027397264</v>
      </c>
      <c r="AK32" s="84">
        <f t="shared" si="41"/>
        <v>318552.01027397264</v>
      </c>
      <c r="AL32" s="84">
        <f t="shared" si="42"/>
        <v>318552.01027397264</v>
      </c>
      <c r="AM32" s="84">
        <f t="shared" si="43"/>
        <v>318552.01027397264</v>
      </c>
      <c r="AN32" s="84">
        <f t="shared" si="44"/>
        <v>318552.01027397264</v>
      </c>
      <c r="AO32" s="84">
        <f t="shared" si="45"/>
        <v>318552.01027397264</v>
      </c>
      <c r="AP32" s="84">
        <f t="shared" si="46"/>
        <v>318552.01027397264</v>
      </c>
      <c r="AQ32" s="84">
        <f t="shared" si="47"/>
        <v>318552.01027397264</v>
      </c>
      <c r="AR32" s="84">
        <f t="shared" si="48"/>
        <v>318552.01027397264</v>
      </c>
      <c r="AS32" s="84">
        <f t="shared" si="49"/>
        <v>318552.01027397264</v>
      </c>
      <c r="AT32" s="84">
        <f t="shared" si="50"/>
        <v>318552.01027397264</v>
      </c>
      <c r="AU32" s="84">
        <f t="shared" si="51"/>
        <v>318552.01027397264</v>
      </c>
      <c r="AV32" s="84">
        <f t="shared" si="52"/>
        <v>318552.01027397264</v>
      </c>
      <c r="AW32" s="84">
        <f t="shared" si="53"/>
        <v>318552.01027397264</v>
      </c>
      <c r="AX32" s="84">
        <f t="shared" si="54"/>
        <v>318552.01027397264</v>
      </c>
      <c r="AY32" s="84">
        <f t="shared" si="55"/>
        <v>318552.01027397264</v>
      </c>
      <c r="AZ32" s="84">
        <f t="shared" si="56"/>
        <v>318552.01027397264</v>
      </c>
      <c r="BA32" s="84">
        <f t="shared" si="57"/>
        <v>318552.01027397264</v>
      </c>
      <c r="BB32" s="84"/>
      <c r="BC32" s="85"/>
    </row>
    <row r="33" spans="1:55" x14ac:dyDescent="0.2">
      <c r="A33" s="52">
        <f>IF(Cost_by_Year!B32="",PolicyLTDMiles,Cost_by_Year!B32)</f>
        <v>530920.01712328766</v>
      </c>
      <c r="B33" s="7"/>
      <c r="C33" s="7">
        <f t="shared" si="7"/>
        <v>25</v>
      </c>
      <c r="D33" s="84">
        <f t="shared" si="8"/>
        <v>495525.34931506868</v>
      </c>
      <c r="E33" s="84">
        <f t="shared" si="9"/>
        <v>460130.68150684948</v>
      </c>
      <c r="F33" s="84">
        <f t="shared" si="10"/>
        <v>247762.67465753425</v>
      </c>
      <c r="G33" s="84">
        <f t="shared" si="11"/>
        <v>106184.00342465754</v>
      </c>
      <c r="H33" s="84">
        <f t="shared" si="12"/>
        <v>212368.00684931508</v>
      </c>
      <c r="I33" s="84">
        <f t="shared" si="13"/>
        <v>35394.667808219179</v>
      </c>
      <c r="J33" s="84">
        <f t="shared" si="14"/>
        <v>35394.667808219179</v>
      </c>
      <c r="K33" s="84">
        <f t="shared" si="15"/>
        <v>106184.00342465754</v>
      </c>
      <c r="L33" s="84">
        <f t="shared" si="16"/>
        <v>70789.335616438359</v>
      </c>
      <c r="M33" s="84">
        <f t="shared" si="17"/>
        <v>0</v>
      </c>
      <c r="N33" s="84">
        <f t="shared" si="18"/>
        <v>495525.34931506868</v>
      </c>
      <c r="O33" s="84">
        <f t="shared" si="19"/>
        <v>35394.667808219179</v>
      </c>
      <c r="P33" s="84">
        <f t="shared" si="20"/>
        <v>353946.67808219185</v>
      </c>
      <c r="Q33" s="84">
        <f t="shared" si="21"/>
        <v>353946.67808219185</v>
      </c>
      <c r="R33" s="84">
        <f t="shared" si="22"/>
        <v>353946.67808219185</v>
      </c>
      <c r="S33" s="84">
        <f t="shared" si="23"/>
        <v>353946.67808219185</v>
      </c>
      <c r="T33" s="84">
        <f t="shared" si="24"/>
        <v>353946.67808219185</v>
      </c>
      <c r="U33" s="84">
        <f t="shared" si="25"/>
        <v>353946.67808219185</v>
      </c>
      <c r="V33" s="84">
        <f t="shared" si="26"/>
        <v>353946.67808219185</v>
      </c>
      <c r="W33" s="84">
        <f t="shared" si="27"/>
        <v>353946.67808219185</v>
      </c>
      <c r="X33" s="84">
        <f t="shared" si="28"/>
        <v>353946.67808219185</v>
      </c>
      <c r="Y33" s="84">
        <f t="shared" si="29"/>
        <v>353946.67808219185</v>
      </c>
      <c r="Z33" s="84">
        <f t="shared" si="30"/>
        <v>353946.67808219185</v>
      </c>
      <c r="AA33" s="84">
        <f t="shared" si="31"/>
        <v>353946.67808219185</v>
      </c>
      <c r="AB33" s="84">
        <f t="shared" si="32"/>
        <v>353946.67808219185</v>
      </c>
      <c r="AC33" s="84">
        <f t="shared" si="33"/>
        <v>353946.67808219185</v>
      </c>
      <c r="AD33" s="84">
        <f t="shared" si="34"/>
        <v>353946.67808219185</v>
      </c>
      <c r="AE33" s="84">
        <f t="shared" si="35"/>
        <v>353946.67808219185</v>
      </c>
      <c r="AF33" s="84">
        <f t="shared" si="36"/>
        <v>353946.67808219185</v>
      </c>
      <c r="AG33" s="84">
        <f t="shared" si="37"/>
        <v>353946.67808219185</v>
      </c>
      <c r="AH33" s="84">
        <f t="shared" si="38"/>
        <v>353946.67808219185</v>
      </c>
      <c r="AI33" s="84">
        <f t="shared" si="39"/>
        <v>353946.67808219185</v>
      </c>
      <c r="AJ33" s="84">
        <f t="shared" si="40"/>
        <v>353946.67808219185</v>
      </c>
      <c r="AK33" s="84">
        <f t="shared" si="41"/>
        <v>353946.67808219185</v>
      </c>
      <c r="AL33" s="84">
        <f t="shared" si="42"/>
        <v>353946.67808219185</v>
      </c>
      <c r="AM33" s="84">
        <f t="shared" si="43"/>
        <v>353946.67808219185</v>
      </c>
      <c r="AN33" s="84">
        <f t="shared" si="44"/>
        <v>353946.67808219185</v>
      </c>
      <c r="AO33" s="84">
        <f t="shared" si="45"/>
        <v>353946.67808219185</v>
      </c>
      <c r="AP33" s="84">
        <f t="shared" si="46"/>
        <v>353946.67808219185</v>
      </c>
      <c r="AQ33" s="84">
        <f t="shared" si="47"/>
        <v>353946.67808219185</v>
      </c>
      <c r="AR33" s="84">
        <f t="shared" si="48"/>
        <v>353946.67808219185</v>
      </c>
      <c r="AS33" s="84">
        <f t="shared" si="49"/>
        <v>353946.67808219185</v>
      </c>
      <c r="AT33" s="84">
        <f t="shared" si="50"/>
        <v>353946.67808219185</v>
      </c>
      <c r="AU33" s="84">
        <f t="shared" si="51"/>
        <v>353946.67808219185</v>
      </c>
      <c r="AV33" s="84">
        <f t="shared" si="52"/>
        <v>353946.67808219185</v>
      </c>
      <c r="AW33" s="84">
        <f t="shared" si="53"/>
        <v>353946.67808219185</v>
      </c>
      <c r="AX33" s="84">
        <f t="shared" si="54"/>
        <v>353946.67808219185</v>
      </c>
      <c r="AY33" s="84">
        <f t="shared" si="55"/>
        <v>353946.67808219185</v>
      </c>
      <c r="AZ33" s="84">
        <f t="shared" si="56"/>
        <v>353946.67808219185</v>
      </c>
      <c r="BA33" s="84">
        <f t="shared" si="57"/>
        <v>353946.67808219185</v>
      </c>
      <c r="BB33" s="84"/>
      <c r="BC33" s="85"/>
    </row>
    <row r="34" spans="1:55" x14ac:dyDescent="0.2">
      <c r="A34" s="52">
        <f>IF(Cost_by_Year!B33="",PolicyLTDMiles,Cost_by_Year!B33)</f>
        <v>530920.01712328766</v>
      </c>
      <c r="B34" s="7"/>
      <c r="C34" s="7">
        <f t="shared" si="7"/>
        <v>26</v>
      </c>
      <c r="D34" s="84">
        <f t="shared" si="8"/>
        <v>0</v>
      </c>
      <c r="E34" s="84">
        <f t="shared" si="9"/>
        <v>495525.34931506868</v>
      </c>
      <c r="F34" s="84">
        <f t="shared" si="10"/>
        <v>283157.34246575343</v>
      </c>
      <c r="G34" s="84">
        <f t="shared" si="11"/>
        <v>141578.67123287672</v>
      </c>
      <c r="H34" s="84">
        <f t="shared" si="12"/>
        <v>247762.67465753425</v>
      </c>
      <c r="I34" s="84">
        <f t="shared" si="13"/>
        <v>70789.335616438359</v>
      </c>
      <c r="J34" s="84">
        <f t="shared" si="14"/>
        <v>70789.335616438359</v>
      </c>
      <c r="K34" s="84">
        <f t="shared" si="15"/>
        <v>141578.67123287672</v>
      </c>
      <c r="L34" s="84">
        <f t="shared" si="16"/>
        <v>106184.00342465754</v>
      </c>
      <c r="M34" s="84">
        <f t="shared" si="17"/>
        <v>35394.667808219179</v>
      </c>
      <c r="N34" s="84">
        <f t="shared" si="18"/>
        <v>0</v>
      </c>
      <c r="O34" s="84">
        <f t="shared" si="19"/>
        <v>70789.335616438359</v>
      </c>
      <c r="P34" s="84">
        <f t="shared" si="20"/>
        <v>389341.34589041106</v>
      </c>
      <c r="Q34" s="84">
        <f t="shared" si="21"/>
        <v>389341.34589041106</v>
      </c>
      <c r="R34" s="84">
        <f t="shared" si="22"/>
        <v>389341.34589041106</v>
      </c>
      <c r="S34" s="84">
        <f t="shared" si="23"/>
        <v>389341.34589041106</v>
      </c>
      <c r="T34" s="84">
        <f t="shared" si="24"/>
        <v>389341.34589041106</v>
      </c>
      <c r="U34" s="84">
        <f t="shared" si="25"/>
        <v>389341.34589041106</v>
      </c>
      <c r="V34" s="84">
        <f t="shared" si="26"/>
        <v>389341.34589041106</v>
      </c>
      <c r="W34" s="84">
        <f t="shared" si="27"/>
        <v>389341.34589041106</v>
      </c>
      <c r="X34" s="84">
        <f t="shared" si="28"/>
        <v>389341.34589041106</v>
      </c>
      <c r="Y34" s="84">
        <f t="shared" si="29"/>
        <v>389341.34589041106</v>
      </c>
      <c r="Z34" s="84">
        <f t="shared" si="30"/>
        <v>389341.34589041106</v>
      </c>
      <c r="AA34" s="84">
        <f t="shared" si="31"/>
        <v>389341.34589041106</v>
      </c>
      <c r="AB34" s="84">
        <f t="shared" si="32"/>
        <v>389341.34589041106</v>
      </c>
      <c r="AC34" s="84">
        <f t="shared" si="33"/>
        <v>389341.34589041106</v>
      </c>
      <c r="AD34" s="84">
        <f t="shared" si="34"/>
        <v>389341.34589041106</v>
      </c>
      <c r="AE34" s="84">
        <f t="shared" si="35"/>
        <v>389341.34589041106</v>
      </c>
      <c r="AF34" s="84">
        <f t="shared" si="36"/>
        <v>389341.34589041106</v>
      </c>
      <c r="AG34" s="84">
        <f t="shared" si="37"/>
        <v>389341.34589041106</v>
      </c>
      <c r="AH34" s="84">
        <f t="shared" si="38"/>
        <v>389341.34589041106</v>
      </c>
      <c r="AI34" s="84">
        <f t="shared" si="39"/>
        <v>389341.34589041106</v>
      </c>
      <c r="AJ34" s="84">
        <f t="shared" si="40"/>
        <v>389341.34589041106</v>
      </c>
      <c r="AK34" s="84">
        <f t="shared" si="41"/>
        <v>389341.34589041106</v>
      </c>
      <c r="AL34" s="84">
        <f t="shared" si="42"/>
        <v>389341.34589041106</v>
      </c>
      <c r="AM34" s="84">
        <f t="shared" si="43"/>
        <v>389341.34589041106</v>
      </c>
      <c r="AN34" s="84">
        <f t="shared" si="44"/>
        <v>389341.34589041106</v>
      </c>
      <c r="AO34" s="84">
        <f t="shared" si="45"/>
        <v>389341.34589041106</v>
      </c>
      <c r="AP34" s="84">
        <f t="shared" si="46"/>
        <v>389341.34589041106</v>
      </c>
      <c r="AQ34" s="84">
        <f t="shared" si="47"/>
        <v>389341.34589041106</v>
      </c>
      <c r="AR34" s="84">
        <f t="shared" si="48"/>
        <v>389341.34589041106</v>
      </c>
      <c r="AS34" s="84">
        <f t="shared" si="49"/>
        <v>389341.34589041106</v>
      </c>
      <c r="AT34" s="84">
        <f t="shared" si="50"/>
        <v>389341.34589041106</v>
      </c>
      <c r="AU34" s="84">
        <f t="shared" si="51"/>
        <v>389341.34589041106</v>
      </c>
      <c r="AV34" s="84">
        <f t="shared" si="52"/>
        <v>389341.34589041106</v>
      </c>
      <c r="AW34" s="84">
        <f t="shared" si="53"/>
        <v>389341.34589041106</v>
      </c>
      <c r="AX34" s="84">
        <f t="shared" si="54"/>
        <v>389341.34589041106</v>
      </c>
      <c r="AY34" s="84">
        <f t="shared" si="55"/>
        <v>389341.34589041106</v>
      </c>
      <c r="AZ34" s="84">
        <f t="shared" si="56"/>
        <v>389341.34589041106</v>
      </c>
      <c r="BA34" s="84">
        <f t="shared" si="57"/>
        <v>389341.34589041106</v>
      </c>
      <c r="BB34" s="84"/>
      <c r="BC34" s="85"/>
    </row>
    <row r="35" spans="1:55" x14ac:dyDescent="0.2">
      <c r="A35" s="52">
        <f>IF(Cost_by_Year!B34="",PolicyLTDMiles,Cost_by_Year!B34)</f>
        <v>530920.01712328766</v>
      </c>
      <c r="B35" s="7"/>
      <c r="C35" s="7">
        <f>1+C34</f>
        <v>27</v>
      </c>
      <c r="D35" s="84">
        <f t="shared" si="8"/>
        <v>35394.667808219179</v>
      </c>
      <c r="E35" s="84">
        <f t="shared" si="9"/>
        <v>0</v>
      </c>
      <c r="F35" s="84">
        <f t="shared" si="10"/>
        <v>318552.01027397264</v>
      </c>
      <c r="G35" s="84">
        <f t="shared" si="11"/>
        <v>176973.3390410959</v>
      </c>
      <c r="H35" s="84">
        <f t="shared" si="12"/>
        <v>283157.34246575343</v>
      </c>
      <c r="I35" s="84">
        <f t="shared" si="13"/>
        <v>106184.00342465754</v>
      </c>
      <c r="J35" s="84">
        <f t="shared" si="14"/>
        <v>106184.00342465754</v>
      </c>
      <c r="K35" s="84">
        <f t="shared" si="15"/>
        <v>176973.3390410959</v>
      </c>
      <c r="L35" s="84">
        <f t="shared" si="16"/>
        <v>141578.67123287672</v>
      </c>
      <c r="M35" s="84">
        <f t="shared" si="17"/>
        <v>70789.335616438359</v>
      </c>
      <c r="N35" s="84">
        <f t="shared" si="18"/>
        <v>35394.667808219179</v>
      </c>
      <c r="O35" s="84">
        <f t="shared" si="19"/>
        <v>106184.00342465754</v>
      </c>
      <c r="P35" s="84">
        <f t="shared" si="20"/>
        <v>424736.01369863027</v>
      </c>
      <c r="Q35" s="84">
        <f t="shared" si="21"/>
        <v>424736.01369863027</v>
      </c>
      <c r="R35" s="84">
        <f t="shared" si="22"/>
        <v>424736.01369863027</v>
      </c>
      <c r="S35" s="84">
        <f t="shared" si="23"/>
        <v>424736.01369863027</v>
      </c>
      <c r="T35" s="84">
        <f t="shared" si="24"/>
        <v>424736.01369863027</v>
      </c>
      <c r="U35" s="84">
        <f t="shared" si="25"/>
        <v>424736.01369863027</v>
      </c>
      <c r="V35" s="84">
        <f t="shared" si="26"/>
        <v>424736.01369863027</v>
      </c>
      <c r="W35" s="84">
        <f t="shared" si="27"/>
        <v>424736.01369863027</v>
      </c>
      <c r="X35" s="84">
        <f t="shared" si="28"/>
        <v>424736.01369863027</v>
      </c>
      <c r="Y35" s="84">
        <f t="shared" si="29"/>
        <v>424736.01369863027</v>
      </c>
      <c r="Z35" s="84">
        <f t="shared" si="30"/>
        <v>424736.01369863027</v>
      </c>
      <c r="AA35" s="84">
        <f t="shared" si="31"/>
        <v>424736.01369863027</v>
      </c>
      <c r="AB35" s="84">
        <f t="shared" si="32"/>
        <v>424736.01369863027</v>
      </c>
      <c r="AC35" s="84">
        <f t="shared" si="33"/>
        <v>424736.01369863027</v>
      </c>
      <c r="AD35" s="84">
        <f t="shared" si="34"/>
        <v>424736.01369863027</v>
      </c>
      <c r="AE35" s="84">
        <f t="shared" si="35"/>
        <v>424736.01369863027</v>
      </c>
      <c r="AF35" s="84">
        <f t="shared" si="36"/>
        <v>424736.01369863027</v>
      </c>
      <c r="AG35" s="84">
        <f t="shared" si="37"/>
        <v>424736.01369863027</v>
      </c>
      <c r="AH35" s="84">
        <f t="shared" si="38"/>
        <v>424736.01369863027</v>
      </c>
      <c r="AI35" s="84">
        <f t="shared" si="39"/>
        <v>424736.01369863027</v>
      </c>
      <c r="AJ35" s="84">
        <f t="shared" si="40"/>
        <v>424736.01369863027</v>
      </c>
      <c r="AK35" s="84">
        <f t="shared" si="41"/>
        <v>424736.01369863027</v>
      </c>
      <c r="AL35" s="84">
        <f t="shared" si="42"/>
        <v>424736.01369863027</v>
      </c>
      <c r="AM35" s="84">
        <f t="shared" si="43"/>
        <v>424736.01369863027</v>
      </c>
      <c r="AN35" s="84">
        <f t="shared" si="44"/>
        <v>424736.01369863027</v>
      </c>
      <c r="AO35" s="84">
        <f t="shared" si="45"/>
        <v>424736.01369863027</v>
      </c>
      <c r="AP35" s="84">
        <f t="shared" si="46"/>
        <v>424736.01369863027</v>
      </c>
      <c r="AQ35" s="84">
        <f t="shared" si="47"/>
        <v>424736.01369863027</v>
      </c>
      <c r="AR35" s="84">
        <f t="shared" si="48"/>
        <v>424736.01369863027</v>
      </c>
      <c r="AS35" s="84">
        <f t="shared" si="49"/>
        <v>424736.01369863027</v>
      </c>
      <c r="AT35" s="84">
        <f t="shared" si="50"/>
        <v>424736.01369863027</v>
      </c>
      <c r="AU35" s="84">
        <f t="shared" si="51"/>
        <v>424736.01369863027</v>
      </c>
      <c r="AV35" s="84">
        <f t="shared" si="52"/>
        <v>424736.01369863027</v>
      </c>
      <c r="AW35" s="84">
        <f t="shared" si="53"/>
        <v>424736.01369863027</v>
      </c>
      <c r="AX35" s="84">
        <f t="shared" si="54"/>
        <v>424736.01369863027</v>
      </c>
      <c r="AY35" s="84">
        <f t="shared" si="55"/>
        <v>424736.01369863027</v>
      </c>
      <c r="AZ35" s="84">
        <f t="shared" si="56"/>
        <v>424736.01369863027</v>
      </c>
      <c r="BA35" s="84">
        <f t="shared" si="57"/>
        <v>424736.01369863027</v>
      </c>
      <c r="BB35" s="84"/>
      <c r="BC35" s="85"/>
    </row>
    <row r="36" spans="1:55" x14ac:dyDescent="0.2">
      <c r="A36" s="52">
        <f>IF(Cost_by_Year!B35="",PolicyLTDMiles,Cost_by_Year!B35)</f>
        <v>530920.01712328766</v>
      </c>
      <c r="B36" s="7"/>
      <c r="C36" s="7">
        <f>1+C35</f>
        <v>28</v>
      </c>
      <c r="D36" s="84">
        <f t="shared" si="8"/>
        <v>70789.335616438359</v>
      </c>
      <c r="E36" s="84">
        <f t="shared" si="9"/>
        <v>35394.667808219179</v>
      </c>
      <c r="F36" s="84">
        <f t="shared" si="10"/>
        <v>353946.67808219185</v>
      </c>
      <c r="G36" s="84">
        <f t="shared" si="11"/>
        <v>212368.00684931508</v>
      </c>
      <c r="H36" s="84">
        <f t="shared" si="12"/>
        <v>318552.01027397264</v>
      </c>
      <c r="I36" s="84">
        <f t="shared" si="13"/>
        <v>141578.67123287672</v>
      </c>
      <c r="J36" s="84">
        <f t="shared" si="14"/>
        <v>141578.67123287672</v>
      </c>
      <c r="K36" s="84">
        <f t="shared" si="15"/>
        <v>212368.00684931508</v>
      </c>
      <c r="L36" s="84">
        <f t="shared" si="16"/>
        <v>176973.3390410959</v>
      </c>
      <c r="M36" s="84">
        <f t="shared" si="17"/>
        <v>106184.00342465754</v>
      </c>
      <c r="N36" s="84">
        <f t="shared" si="18"/>
        <v>70789.335616438359</v>
      </c>
      <c r="O36" s="84">
        <f t="shared" si="19"/>
        <v>141578.67123287672</v>
      </c>
      <c r="P36" s="84">
        <f t="shared" si="20"/>
        <v>460130.68150684948</v>
      </c>
      <c r="Q36" s="84">
        <f t="shared" si="21"/>
        <v>460130.68150684948</v>
      </c>
      <c r="R36" s="84">
        <f t="shared" si="22"/>
        <v>460130.68150684948</v>
      </c>
      <c r="S36" s="84">
        <f t="shared" si="23"/>
        <v>460130.68150684948</v>
      </c>
      <c r="T36" s="84">
        <f t="shared" si="24"/>
        <v>460130.68150684948</v>
      </c>
      <c r="U36" s="84">
        <f t="shared" si="25"/>
        <v>460130.68150684948</v>
      </c>
      <c r="V36" s="84">
        <f t="shared" si="26"/>
        <v>460130.68150684948</v>
      </c>
      <c r="W36" s="84">
        <f t="shared" si="27"/>
        <v>460130.68150684948</v>
      </c>
      <c r="X36" s="84">
        <f t="shared" si="28"/>
        <v>460130.68150684948</v>
      </c>
      <c r="Y36" s="84">
        <f t="shared" si="29"/>
        <v>460130.68150684948</v>
      </c>
      <c r="Z36" s="84">
        <f t="shared" si="30"/>
        <v>460130.68150684948</v>
      </c>
      <c r="AA36" s="84">
        <f t="shared" si="31"/>
        <v>460130.68150684948</v>
      </c>
      <c r="AB36" s="84">
        <f t="shared" si="32"/>
        <v>460130.68150684948</v>
      </c>
      <c r="AC36" s="84">
        <f t="shared" si="33"/>
        <v>460130.68150684948</v>
      </c>
      <c r="AD36" s="84">
        <f t="shared" si="34"/>
        <v>460130.68150684948</v>
      </c>
      <c r="AE36" s="84">
        <f t="shared" si="35"/>
        <v>460130.68150684948</v>
      </c>
      <c r="AF36" s="84">
        <f t="shared" si="36"/>
        <v>460130.68150684948</v>
      </c>
      <c r="AG36" s="84">
        <f t="shared" si="37"/>
        <v>460130.68150684948</v>
      </c>
      <c r="AH36" s="84">
        <f t="shared" si="38"/>
        <v>460130.68150684948</v>
      </c>
      <c r="AI36" s="84">
        <f t="shared" si="39"/>
        <v>460130.68150684948</v>
      </c>
      <c r="AJ36" s="84">
        <f t="shared" si="40"/>
        <v>460130.68150684948</v>
      </c>
      <c r="AK36" s="84">
        <f t="shared" si="41"/>
        <v>460130.68150684948</v>
      </c>
      <c r="AL36" s="84">
        <f t="shared" si="42"/>
        <v>460130.68150684948</v>
      </c>
      <c r="AM36" s="84">
        <f t="shared" si="43"/>
        <v>460130.68150684948</v>
      </c>
      <c r="AN36" s="84">
        <f t="shared" si="44"/>
        <v>460130.68150684948</v>
      </c>
      <c r="AO36" s="84">
        <f t="shared" si="45"/>
        <v>460130.68150684948</v>
      </c>
      <c r="AP36" s="84">
        <f t="shared" si="46"/>
        <v>460130.68150684948</v>
      </c>
      <c r="AQ36" s="84">
        <f t="shared" si="47"/>
        <v>460130.68150684948</v>
      </c>
      <c r="AR36" s="84">
        <f t="shared" si="48"/>
        <v>460130.68150684948</v>
      </c>
      <c r="AS36" s="84">
        <f t="shared" si="49"/>
        <v>460130.68150684948</v>
      </c>
      <c r="AT36" s="84">
        <f t="shared" si="50"/>
        <v>460130.68150684948</v>
      </c>
      <c r="AU36" s="84">
        <f t="shared" si="51"/>
        <v>460130.68150684948</v>
      </c>
      <c r="AV36" s="84">
        <f t="shared" si="52"/>
        <v>460130.68150684948</v>
      </c>
      <c r="AW36" s="84">
        <f t="shared" si="53"/>
        <v>460130.68150684948</v>
      </c>
      <c r="AX36" s="84">
        <f t="shared" si="54"/>
        <v>460130.68150684948</v>
      </c>
      <c r="AY36" s="84">
        <f t="shared" si="55"/>
        <v>460130.68150684948</v>
      </c>
      <c r="AZ36" s="84">
        <f t="shared" si="56"/>
        <v>460130.68150684948</v>
      </c>
      <c r="BA36" s="84">
        <f t="shared" si="57"/>
        <v>460130.68150684948</v>
      </c>
      <c r="BB36" s="84"/>
      <c r="BC36" s="85"/>
    </row>
    <row r="37" spans="1:55" x14ac:dyDescent="0.2">
      <c r="A37" s="52">
        <f>IF(Cost_by_Year!B36="",PolicyLTDMiles,Cost_by_Year!B36)</f>
        <v>530920.01712328766</v>
      </c>
      <c r="B37" s="7"/>
      <c r="C37" s="7">
        <f>1+C36</f>
        <v>29</v>
      </c>
      <c r="D37" s="84">
        <f t="shared" si="8"/>
        <v>106184.00342465754</v>
      </c>
      <c r="E37" s="84">
        <f t="shared" si="9"/>
        <v>70789.335616438359</v>
      </c>
      <c r="F37" s="84">
        <f t="shared" si="10"/>
        <v>389341.34589041106</v>
      </c>
      <c r="G37" s="84">
        <f t="shared" si="11"/>
        <v>247762.67465753425</v>
      </c>
      <c r="H37" s="84">
        <f t="shared" si="12"/>
        <v>353946.67808219185</v>
      </c>
      <c r="I37" s="84">
        <f t="shared" si="13"/>
        <v>176973.3390410959</v>
      </c>
      <c r="J37" s="84">
        <f t="shared" si="14"/>
        <v>176973.3390410959</v>
      </c>
      <c r="K37" s="84">
        <f t="shared" si="15"/>
        <v>247762.67465753425</v>
      </c>
      <c r="L37" s="84">
        <f t="shared" si="16"/>
        <v>212368.00684931508</v>
      </c>
      <c r="M37" s="84">
        <f t="shared" si="17"/>
        <v>141578.67123287672</v>
      </c>
      <c r="N37" s="84">
        <f t="shared" si="18"/>
        <v>106184.00342465754</v>
      </c>
      <c r="O37" s="84">
        <f t="shared" si="19"/>
        <v>176973.3390410959</v>
      </c>
      <c r="P37" s="84">
        <f t="shared" si="20"/>
        <v>495525.34931506868</v>
      </c>
      <c r="Q37" s="84">
        <f t="shared" si="21"/>
        <v>495525.34931506868</v>
      </c>
      <c r="R37" s="84">
        <f t="shared" si="22"/>
        <v>495525.34931506868</v>
      </c>
      <c r="S37" s="84">
        <f t="shared" si="23"/>
        <v>495525.34931506868</v>
      </c>
      <c r="T37" s="84">
        <f t="shared" si="24"/>
        <v>495525.34931506868</v>
      </c>
      <c r="U37" s="84">
        <f t="shared" si="25"/>
        <v>495525.34931506868</v>
      </c>
      <c r="V37" s="84">
        <f t="shared" si="26"/>
        <v>495525.34931506868</v>
      </c>
      <c r="W37" s="84">
        <f t="shared" si="27"/>
        <v>495525.34931506868</v>
      </c>
      <c r="X37" s="84">
        <f t="shared" si="28"/>
        <v>495525.34931506868</v>
      </c>
      <c r="Y37" s="84">
        <f t="shared" si="29"/>
        <v>495525.34931506868</v>
      </c>
      <c r="Z37" s="84">
        <f t="shared" si="30"/>
        <v>495525.34931506868</v>
      </c>
      <c r="AA37" s="84">
        <f t="shared" si="31"/>
        <v>495525.34931506868</v>
      </c>
      <c r="AB37" s="84">
        <f t="shared" si="32"/>
        <v>495525.34931506868</v>
      </c>
      <c r="AC37" s="84">
        <f t="shared" si="33"/>
        <v>495525.34931506868</v>
      </c>
      <c r="AD37" s="84">
        <f t="shared" si="34"/>
        <v>495525.34931506868</v>
      </c>
      <c r="AE37" s="84">
        <f t="shared" si="35"/>
        <v>495525.34931506868</v>
      </c>
      <c r="AF37" s="84">
        <f t="shared" si="36"/>
        <v>495525.34931506868</v>
      </c>
      <c r="AG37" s="84">
        <f t="shared" si="37"/>
        <v>495525.34931506868</v>
      </c>
      <c r="AH37" s="84">
        <f t="shared" si="38"/>
        <v>495525.34931506868</v>
      </c>
      <c r="AI37" s="84">
        <f t="shared" si="39"/>
        <v>495525.34931506868</v>
      </c>
      <c r="AJ37" s="84">
        <f t="shared" si="40"/>
        <v>495525.34931506868</v>
      </c>
      <c r="AK37" s="84">
        <f t="shared" si="41"/>
        <v>495525.34931506868</v>
      </c>
      <c r="AL37" s="84">
        <f t="shared" si="42"/>
        <v>495525.34931506868</v>
      </c>
      <c r="AM37" s="84">
        <f t="shared" si="43"/>
        <v>495525.34931506868</v>
      </c>
      <c r="AN37" s="84">
        <f t="shared" si="44"/>
        <v>495525.34931506868</v>
      </c>
      <c r="AO37" s="84">
        <f t="shared" si="45"/>
        <v>495525.34931506868</v>
      </c>
      <c r="AP37" s="84">
        <f t="shared" si="46"/>
        <v>495525.34931506868</v>
      </c>
      <c r="AQ37" s="84">
        <f t="shared" si="47"/>
        <v>495525.34931506868</v>
      </c>
      <c r="AR37" s="84">
        <f t="shared" si="48"/>
        <v>495525.34931506868</v>
      </c>
      <c r="AS37" s="84">
        <f t="shared" si="49"/>
        <v>495525.34931506868</v>
      </c>
      <c r="AT37" s="84">
        <f t="shared" si="50"/>
        <v>495525.34931506868</v>
      </c>
      <c r="AU37" s="84">
        <f t="shared" si="51"/>
        <v>495525.34931506868</v>
      </c>
      <c r="AV37" s="84">
        <f t="shared" si="52"/>
        <v>495525.34931506868</v>
      </c>
      <c r="AW37" s="84">
        <f t="shared" si="53"/>
        <v>495525.34931506868</v>
      </c>
      <c r="AX37" s="84">
        <f t="shared" si="54"/>
        <v>495525.34931506868</v>
      </c>
      <c r="AY37" s="84">
        <f t="shared" si="55"/>
        <v>495525.34931506868</v>
      </c>
      <c r="AZ37" s="84">
        <f t="shared" si="56"/>
        <v>495525.34931506868</v>
      </c>
      <c r="BA37" s="84">
        <f t="shared" si="57"/>
        <v>495525.34931506868</v>
      </c>
      <c r="BB37" s="84"/>
      <c r="BC37" s="85"/>
    </row>
    <row r="38" spans="1:55" x14ac:dyDescent="0.2">
      <c r="A38" s="88">
        <f>IF(Cost_by_Year!B37="",PolicyLTDMiles,Cost_by_Year!B37)</f>
        <v>530920.01712328766</v>
      </c>
      <c r="B38" s="67"/>
      <c r="C38" s="67">
        <f>1+C37</f>
        <v>30</v>
      </c>
      <c r="D38" s="89">
        <f t="shared" si="8"/>
        <v>141578.67123287672</v>
      </c>
      <c r="E38" s="89">
        <f t="shared" si="9"/>
        <v>106184.00342465754</v>
      </c>
      <c r="F38" s="89">
        <f t="shared" si="10"/>
        <v>424736.01369863027</v>
      </c>
      <c r="G38" s="89">
        <f t="shared" si="11"/>
        <v>283157.34246575343</v>
      </c>
      <c r="H38" s="89">
        <f t="shared" si="12"/>
        <v>389341.34589041106</v>
      </c>
      <c r="I38" s="89">
        <f t="shared" si="13"/>
        <v>212368.00684931508</v>
      </c>
      <c r="J38" s="89">
        <f t="shared" si="14"/>
        <v>212368.00684931508</v>
      </c>
      <c r="K38" s="89">
        <f t="shared" si="15"/>
        <v>283157.34246575343</v>
      </c>
      <c r="L38" s="89">
        <f t="shared" si="16"/>
        <v>247762.67465753425</v>
      </c>
      <c r="M38" s="89">
        <f t="shared" si="17"/>
        <v>176973.3390410959</v>
      </c>
      <c r="N38" s="89">
        <f t="shared" si="18"/>
        <v>141578.67123287672</v>
      </c>
      <c r="O38" s="89">
        <f t="shared" si="19"/>
        <v>212368.00684931508</v>
      </c>
      <c r="P38" s="89">
        <f t="shared" si="20"/>
        <v>0</v>
      </c>
      <c r="Q38" s="89">
        <f t="shared" si="21"/>
        <v>0</v>
      </c>
      <c r="R38" s="89">
        <f t="shared" si="22"/>
        <v>0</v>
      </c>
      <c r="S38" s="89">
        <f t="shared" si="23"/>
        <v>0</v>
      </c>
      <c r="T38" s="89">
        <f t="shared" si="24"/>
        <v>0</v>
      </c>
      <c r="U38" s="89">
        <f t="shared" si="25"/>
        <v>0</v>
      </c>
      <c r="V38" s="89">
        <f t="shared" si="26"/>
        <v>0</v>
      </c>
      <c r="W38" s="89">
        <f t="shared" si="27"/>
        <v>0</v>
      </c>
      <c r="X38" s="89">
        <f t="shared" si="28"/>
        <v>0</v>
      </c>
      <c r="Y38" s="89">
        <f t="shared" si="29"/>
        <v>0</v>
      </c>
      <c r="Z38" s="89">
        <f t="shared" si="30"/>
        <v>0</v>
      </c>
      <c r="AA38" s="89">
        <f t="shared" si="31"/>
        <v>0</v>
      </c>
      <c r="AB38" s="89">
        <f t="shared" si="32"/>
        <v>0</v>
      </c>
      <c r="AC38" s="89">
        <f t="shared" si="33"/>
        <v>0</v>
      </c>
      <c r="AD38" s="89">
        <f t="shared" si="34"/>
        <v>0</v>
      </c>
      <c r="AE38" s="89">
        <f t="shared" si="35"/>
        <v>0</v>
      </c>
      <c r="AF38" s="89">
        <f t="shared" si="36"/>
        <v>0</v>
      </c>
      <c r="AG38" s="89">
        <f t="shared" si="37"/>
        <v>0</v>
      </c>
      <c r="AH38" s="89">
        <f t="shared" si="38"/>
        <v>0</v>
      </c>
      <c r="AI38" s="89">
        <f t="shared" si="39"/>
        <v>0</v>
      </c>
      <c r="AJ38" s="89">
        <f t="shared" si="40"/>
        <v>0</v>
      </c>
      <c r="AK38" s="89">
        <f t="shared" si="41"/>
        <v>0</v>
      </c>
      <c r="AL38" s="89">
        <f t="shared" si="42"/>
        <v>0</v>
      </c>
      <c r="AM38" s="89">
        <f t="shared" si="43"/>
        <v>0</v>
      </c>
      <c r="AN38" s="89">
        <f t="shared" si="44"/>
        <v>0</v>
      </c>
      <c r="AO38" s="89">
        <f t="shared" si="45"/>
        <v>0</v>
      </c>
      <c r="AP38" s="89">
        <f t="shared" si="46"/>
        <v>0</v>
      </c>
      <c r="AQ38" s="89">
        <f t="shared" si="47"/>
        <v>0</v>
      </c>
      <c r="AR38" s="89">
        <f t="shared" si="48"/>
        <v>0</v>
      </c>
      <c r="AS38" s="89">
        <f t="shared" si="49"/>
        <v>0</v>
      </c>
      <c r="AT38" s="89">
        <f t="shared" si="50"/>
        <v>0</v>
      </c>
      <c r="AU38" s="89">
        <f t="shared" si="51"/>
        <v>0</v>
      </c>
      <c r="AV38" s="89">
        <f t="shared" si="52"/>
        <v>0</v>
      </c>
      <c r="AW38" s="89">
        <f t="shared" si="53"/>
        <v>0</v>
      </c>
      <c r="AX38" s="89">
        <f t="shared" si="54"/>
        <v>0</v>
      </c>
      <c r="AY38" s="89">
        <f t="shared" si="55"/>
        <v>0</v>
      </c>
      <c r="AZ38" s="89">
        <f t="shared" si="56"/>
        <v>0</v>
      </c>
      <c r="BA38" s="89">
        <f t="shared" si="57"/>
        <v>0</v>
      </c>
      <c r="BB38" s="89"/>
      <c r="BC38" s="90"/>
    </row>
    <row r="39" spans="1:55" x14ac:dyDescent="0.2">
      <c r="A39" s="52" t="s">
        <v>15</v>
      </c>
      <c r="B39" s="7"/>
      <c r="C39" s="7">
        <f t="shared" ref="C39:C69" si="58">+C9</f>
        <v>1</v>
      </c>
      <c r="D39" s="84">
        <f t="shared" ref="D39:AI39" si="59">D$6*IF(D9=0,NewBusCost,0)</f>
        <v>0</v>
      </c>
      <c r="E39" s="84">
        <f t="shared" si="59"/>
        <v>0</v>
      </c>
      <c r="F39" s="84">
        <f t="shared" si="59"/>
        <v>0</v>
      </c>
      <c r="G39" s="84">
        <f t="shared" si="59"/>
        <v>0</v>
      </c>
      <c r="H39" s="84">
        <f t="shared" si="59"/>
        <v>0</v>
      </c>
      <c r="I39" s="84">
        <f t="shared" si="59"/>
        <v>0</v>
      </c>
      <c r="J39" s="84">
        <f t="shared" si="59"/>
        <v>0</v>
      </c>
      <c r="K39" s="84">
        <f t="shared" si="59"/>
        <v>0</v>
      </c>
      <c r="L39" s="84">
        <f t="shared" si="59"/>
        <v>0</v>
      </c>
      <c r="M39" s="84">
        <f t="shared" si="59"/>
        <v>0</v>
      </c>
      <c r="N39" s="84">
        <f t="shared" si="59"/>
        <v>0</v>
      </c>
      <c r="O39" s="84">
        <f t="shared" si="59"/>
        <v>0</v>
      </c>
      <c r="P39" s="84">
        <f t="shared" si="59"/>
        <v>0</v>
      </c>
      <c r="Q39" s="84">
        <f t="shared" si="59"/>
        <v>0</v>
      </c>
      <c r="R39" s="84">
        <f t="shared" si="59"/>
        <v>0</v>
      </c>
      <c r="S39" s="84">
        <f t="shared" si="59"/>
        <v>0</v>
      </c>
      <c r="T39" s="84">
        <f t="shared" si="59"/>
        <v>0</v>
      </c>
      <c r="U39" s="84">
        <f t="shared" si="59"/>
        <v>0</v>
      </c>
      <c r="V39" s="84">
        <f t="shared" si="59"/>
        <v>0</v>
      </c>
      <c r="W39" s="84">
        <f t="shared" si="59"/>
        <v>0</v>
      </c>
      <c r="X39" s="84">
        <f t="shared" si="59"/>
        <v>0</v>
      </c>
      <c r="Y39" s="84">
        <f t="shared" si="59"/>
        <v>0</v>
      </c>
      <c r="Z39" s="84">
        <f t="shared" si="59"/>
        <v>0</v>
      </c>
      <c r="AA39" s="84">
        <f t="shared" si="59"/>
        <v>0</v>
      </c>
      <c r="AB39" s="84">
        <f t="shared" si="59"/>
        <v>0</v>
      </c>
      <c r="AC39" s="84">
        <f t="shared" si="59"/>
        <v>0</v>
      </c>
      <c r="AD39" s="84">
        <f t="shared" si="59"/>
        <v>0</v>
      </c>
      <c r="AE39" s="84">
        <f t="shared" si="59"/>
        <v>0</v>
      </c>
      <c r="AF39" s="84">
        <f t="shared" si="59"/>
        <v>0</v>
      </c>
      <c r="AG39" s="84">
        <f t="shared" si="59"/>
        <v>0</v>
      </c>
      <c r="AH39" s="84">
        <f t="shared" si="59"/>
        <v>0</v>
      </c>
      <c r="AI39" s="84">
        <f t="shared" si="59"/>
        <v>0</v>
      </c>
      <c r="AJ39" s="84">
        <f t="shared" ref="AJ39:BA39" si="60">AJ$6*IF(AJ9=0,NewBusCost,0)</f>
        <v>0</v>
      </c>
      <c r="AK39" s="84">
        <f t="shared" si="60"/>
        <v>0</v>
      </c>
      <c r="AL39" s="84">
        <f t="shared" si="60"/>
        <v>0</v>
      </c>
      <c r="AM39" s="84">
        <f t="shared" si="60"/>
        <v>0</v>
      </c>
      <c r="AN39" s="84">
        <f t="shared" si="60"/>
        <v>0</v>
      </c>
      <c r="AO39" s="84">
        <f t="shared" si="60"/>
        <v>0</v>
      </c>
      <c r="AP39" s="84">
        <f t="shared" si="60"/>
        <v>0</v>
      </c>
      <c r="AQ39" s="84">
        <f t="shared" si="60"/>
        <v>0</v>
      </c>
      <c r="AR39" s="84">
        <f t="shared" si="60"/>
        <v>0</v>
      </c>
      <c r="AS39" s="84">
        <f t="shared" si="60"/>
        <v>0</v>
      </c>
      <c r="AT39" s="84">
        <f t="shared" si="60"/>
        <v>0</v>
      </c>
      <c r="AU39" s="84">
        <f t="shared" si="60"/>
        <v>0</v>
      </c>
      <c r="AV39" s="84">
        <f t="shared" si="60"/>
        <v>0</v>
      </c>
      <c r="AW39" s="84">
        <f t="shared" si="60"/>
        <v>0</v>
      </c>
      <c r="AX39" s="84">
        <f t="shared" si="60"/>
        <v>0</v>
      </c>
      <c r="AY39" s="84">
        <f t="shared" si="60"/>
        <v>0</v>
      </c>
      <c r="AZ39" s="84">
        <f t="shared" si="60"/>
        <v>0</v>
      </c>
      <c r="BA39" s="84">
        <f t="shared" si="60"/>
        <v>0</v>
      </c>
      <c r="BB39" s="84"/>
      <c r="BC39" s="85">
        <f t="shared" ref="BC39:BC98" si="61">SUM(D39:BB39)</f>
        <v>0</v>
      </c>
    </row>
    <row r="40" spans="1:55" x14ac:dyDescent="0.2">
      <c r="A40" s="52"/>
      <c r="B40" s="7"/>
      <c r="C40" s="7">
        <f t="shared" si="58"/>
        <v>2</v>
      </c>
      <c r="D40" s="84">
        <f t="shared" ref="D40:AI40" si="62">D$6*IF(D10=0,NewBusCost,0)</f>
        <v>0</v>
      </c>
      <c r="E40" s="84">
        <f t="shared" si="62"/>
        <v>0</v>
      </c>
      <c r="F40" s="84">
        <f t="shared" si="62"/>
        <v>0</v>
      </c>
      <c r="G40" s="84">
        <f t="shared" si="62"/>
        <v>0</v>
      </c>
      <c r="H40" s="84">
        <f t="shared" si="62"/>
        <v>0</v>
      </c>
      <c r="I40" s="84">
        <f t="shared" si="62"/>
        <v>0</v>
      </c>
      <c r="J40" s="84">
        <f t="shared" si="62"/>
        <v>0</v>
      </c>
      <c r="K40" s="84">
        <f t="shared" si="62"/>
        <v>0</v>
      </c>
      <c r="L40" s="84">
        <f t="shared" si="62"/>
        <v>0</v>
      </c>
      <c r="M40" s="84">
        <f t="shared" si="62"/>
        <v>0</v>
      </c>
      <c r="N40" s="84">
        <f t="shared" si="62"/>
        <v>0</v>
      </c>
      <c r="O40" s="84">
        <f t="shared" si="62"/>
        <v>0</v>
      </c>
      <c r="P40" s="84">
        <f t="shared" si="62"/>
        <v>0</v>
      </c>
      <c r="Q40" s="84">
        <f t="shared" si="62"/>
        <v>0</v>
      </c>
      <c r="R40" s="84">
        <f t="shared" si="62"/>
        <v>0</v>
      </c>
      <c r="S40" s="84">
        <f t="shared" si="62"/>
        <v>0</v>
      </c>
      <c r="T40" s="84">
        <f t="shared" si="62"/>
        <v>0</v>
      </c>
      <c r="U40" s="84">
        <f t="shared" si="62"/>
        <v>0</v>
      </c>
      <c r="V40" s="84">
        <f t="shared" si="62"/>
        <v>0</v>
      </c>
      <c r="W40" s="84">
        <f t="shared" si="62"/>
        <v>0</v>
      </c>
      <c r="X40" s="84">
        <f t="shared" si="62"/>
        <v>0</v>
      </c>
      <c r="Y40" s="84">
        <f t="shared" si="62"/>
        <v>0</v>
      </c>
      <c r="Z40" s="84">
        <f t="shared" si="62"/>
        <v>0</v>
      </c>
      <c r="AA40" s="84">
        <f t="shared" si="62"/>
        <v>0</v>
      </c>
      <c r="AB40" s="84">
        <f t="shared" si="62"/>
        <v>0</v>
      </c>
      <c r="AC40" s="84">
        <f t="shared" si="62"/>
        <v>0</v>
      </c>
      <c r="AD40" s="84">
        <f t="shared" si="62"/>
        <v>0</v>
      </c>
      <c r="AE40" s="84">
        <f t="shared" si="62"/>
        <v>0</v>
      </c>
      <c r="AF40" s="84">
        <f t="shared" si="62"/>
        <v>0</v>
      </c>
      <c r="AG40" s="84">
        <f t="shared" si="62"/>
        <v>0</v>
      </c>
      <c r="AH40" s="84">
        <f t="shared" si="62"/>
        <v>0</v>
      </c>
      <c r="AI40" s="84">
        <f t="shared" si="62"/>
        <v>0</v>
      </c>
      <c r="AJ40" s="84">
        <f t="shared" ref="AJ40:BA40" si="63">AJ$6*IF(AJ10=0,NewBusCost,0)</f>
        <v>0</v>
      </c>
      <c r="AK40" s="84">
        <f t="shared" si="63"/>
        <v>0</v>
      </c>
      <c r="AL40" s="84">
        <f t="shared" si="63"/>
        <v>0</v>
      </c>
      <c r="AM40" s="84">
        <f t="shared" si="63"/>
        <v>0</v>
      </c>
      <c r="AN40" s="84">
        <f t="shared" si="63"/>
        <v>0</v>
      </c>
      <c r="AO40" s="84">
        <f t="shared" si="63"/>
        <v>0</v>
      </c>
      <c r="AP40" s="84">
        <f t="shared" si="63"/>
        <v>0</v>
      </c>
      <c r="AQ40" s="84">
        <f t="shared" si="63"/>
        <v>0</v>
      </c>
      <c r="AR40" s="84">
        <f t="shared" si="63"/>
        <v>0</v>
      </c>
      <c r="AS40" s="84">
        <f t="shared" si="63"/>
        <v>0</v>
      </c>
      <c r="AT40" s="84">
        <f t="shared" si="63"/>
        <v>0</v>
      </c>
      <c r="AU40" s="84">
        <f t="shared" si="63"/>
        <v>0</v>
      </c>
      <c r="AV40" s="84">
        <f t="shared" si="63"/>
        <v>0</v>
      </c>
      <c r="AW40" s="84">
        <f t="shared" si="63"/>
        <v>0</v>
      </c>
      <c r="AX40" s="84">
        <f t="shared" si="63"/>
        <v>0</v>
      </c>
      <c r="AY40" s="84">
        <f t="shared" si="63"/>
        <v>0</v>
      </c>
      <c r="AZ40" s="84">
        <f t="shared" si="63"/>
        <v>0</v>
      </c>
      <c r="BA40" s="84">
        <f t="shared" si="63"/>
        <v>0</v>
      </c>
      <c r="BB40" s="84"/>
      <c r="BC40" s="85">
        <f t="shared" si="61"/>
        <v>0</v>
      </c>
    </row>
    <row r="41" spans="1:55" x14ac:dyDescent="0.2">
      <c r="A41" s="52"/>
      <c r="B41" s="7"/>
      <c r="C41" s="7">
        <f t="shared" si="58"/>
        <v>3</v>
      </c>
      <c r="D41" s="84">
        <f t="shared" ref="D41:AI41" si="64">D$6*IF(D11=0,NewBusCost,0)</f>
        <v>0</v>
      </c>
      <c r="E41" s="84">
        <f t="shared" si="64"/>
        <v>0</v>
      </c>
      <c r="F41" s="84">
        <f t="shared" si="64"/>
        <v>46449000</v>
      </c>
      <c r="G41" s="84">
        <f t="shared" si="64"/>
        <v>0</v>
      </c>
      <c r="H41" s="84">
        <f t="shared" si="64"/>
        <v>0</v>
      </c>
      <c r="I41" s="84">
        <f t="shared" si="64"/>
        <v>0</v>
      </c>
      <c r="J41" s="84">
        <f t="shared" si="64"/>
        <v>0</v>
      </c>
      <c r="K41" s="84">
        <f t="shared" si="64"/>
        <v>0</v>
      </c>
      <c r="L41" s="84">
        <f t="shared" si="64"/>
        <v>0</v>
      </c>
      <c r="M41" s="84">
        <f t="shared" si="64"/>
        <v>0</v>
      </c>
      <c r="N41" s="84">
        <f t="shared" si="64"/>
        <v>0</v>
      </c>
      <c r="O41" s="84">
        <f t="shared" si="64"/>
        <v>0</v>
      </c>
      <c r="P41" s="84">
        <f t="shared" si="64"/>
        <v>0</v>
      </c>
      <c r="Q41" s="84">
        <f t="shared" si="64"/>
        <v>0</v>
      </c>
      <c r="R41" s="84">
        <f t="shared" si="64"/>
        <v>0</v>
      </c>
      <c r="S41" s="84">
        <f t="shared" si="64"/>
        <v>0</v>
      </c>
      <c r="T41" s="84">
        <f t="shared" si="64"/>
        <v>0</v>
      </c>
      <c r="U41" s="84">
        <f t="shared" si="64"/>
        <v>0</v>
      </c>
      <c r="V41" s="84">
        <f t="shared" si="64"/>
        <v>0</v>
      </c>
      <c r="W41" s="84">
        <f t="shared" si="64"/>
        <v>0</v>
      </c>
      <c r="X41" s="84">
        <f t="shared" si="64"/>
        <v>0</v>
      </c>
      <c r="Y41" s="84">
        <f t="shared" si="64"/>
        <v>0</v>
      </c>
      <c r="Z41" s="84">
        <f t="shared" si="64"/>
        <v>0</v>
      </c>
      <c r="AA41" s="84">
        <f t="shared" si="64"/>
        <v>0</v>
      </c>
      <c r="AB41" s="84">
        <f t="shared" si="64"/>
        <v>0</v>
      </c>
      <c r="AC41" s="84">
        <f t="shared" si="64"/>
        <v>0</v>
      </c>
      <c r="AD41" s="84">
        <f t="shared" si="64"/>
        <v>0</v>
      </c>
      <c r="AE41" s="84">
        <f t="shared" si="64"/>
        <v>0</v>
      </c>
      <c r="AF41" s="84">
        <f t="shared" si="64"/>
        <v>0</v>
      </c>
      <c r="AG41" s="84">
        <f t="shared" si="64"/>
        <v>0</v>
      </c>
      <c r="AH41" s="84">
        <f t="shared" si="64"/>
        <v>0</v>
      </c>
      <c r="AI41" s="84">
        <f t="shared" si="64"/>
        <v>0</v>
      </c>
      <c r="AJ41" s="84">
        <f t="shared" ref="AJ41:BA41" si="65">AJ$6*IF(AJ11=0,NewBusCost,0)</f>
        <v>0</v>
      </c>
      <c r="AK41" s="84">
        <f t="shared" si="65"/>
        <v>0</v>
      </c>
      <c r="AL41" s="84">
        <f t="shared" si="65"/>
        <v>0</v>
      </c>
      <c r="AM41" s="84">
        <f t="shared" si="65"/>
        <v>0</v>
      </c>
      <c r="AN41" s="84">
        <f t="shared" si="65"/>
        <v>0</v>
      </c>
      <c r="AO41" s="84">
        <f t="shared" si="65"/>
        <v>0</v>
      </c>
      <c r="AP41" s="84">
        <f t="shared" si="65"/>
        <v>0</v>
      </c>
      <c r="AQ41" s="84">
        <f t="shared" si="65"/>
        <v>0</v>
      </c>
      <c r="AR41" s="84">
        <f t="shared" si="65"/>
        <v>0</v>
      </c>
      <c r="AS41" s="84">
        <f t="shared" si="65"/>
        <v>0</v>
      </c>
      <c r="AT41" s="84">
        <f t="shared" si="65"/>
        <v>0</v>
      </c>
      <c r="AU41" s="84">
        <f t="shared" si="65"/>
        <v>0</v>
      </c>
      <c r="AV41" s="84">
        <f t="shared" si="65"/>
        <v>0</v>
      </c>
      <c r="AW41" s="84">
        <f t="shared" si="65"/>
        <v>0</v>
      </c>
      <c r="AX41" s="84">
        <f t="shared" si="65"/>
        <v>0</v>
      </c>
      <c r="AY41" s="84">
        <f t="shared" si="65"/>
        <v>0</v>
      </c>
      <c r="AZ41" s="84">
        <f t="shared" si="65"/>
        <v>0</v>
      </c>
      <c r="BA41" s="84">
        <f t="shared" si="65"/>
        <v>0</v>
      </c>
      <c r="BB41" s="84"/>
      <c r="BC41" s="85">
        <f t="shared" si="61"/>
        <v>46449000</v>
      </c>
    </row>
    <row r="42" spans="1:55" x14ac:dyDescent="0.2">
      <c r="A42" s="52"/>
      <c r="B42" s="7"/>
      <c r="C42" s="7">
        <f t="shared" si="58"/>
        <v>4</v>
      </c>
      <c r="D42" s="84">
        <f t="shared" ref="D42:AI42" si="66">D$6*IF(D12=0,NewBusCost,0)</f>
        <v>0</v>
      </c>
      <c r="E42" s="84">
        <f t="shared" si="66"/>
        <v>0</v>
      </c>
      <c r="F42" s="84">
        <f t="shared" si="66"/>
        <v>0</v>
      </c>
      <c r="G42" s="84">
        <f t="shared" si="66"/>
        <v>0</v>
      </c>
      <c r="H42" s="84">
        <f t="shared" si="66"/>
        <v>63123000</v>
      </c>
      <c r="I42" s="84">
        <f t="shared" si="66"/>
        <v>0</v>
      </c>
      <c r="J42" s="84">
        <f t="shared" si="66"/>
        <v>0</v>
      </c>
      <c r="K42" s="84">
        <f t="shared" si="66"/>
        <v>0</v>
      </c>
      <c r="L42" s="84">
        <f t="shared" si="66"/>
        <v>0</v>
      </c>
      <c r="M42" s="84">
        <f t="shared" si="66"/>
        <v>0</v>
      </c>
      <c r="N42" s="84">
        <f t="shared" si="66"/>
        <v>0</v>
      </c>
      <c r="O42" s="84">
        <f t="shared" si="66"/>
        <v>0</v>
      </c>
      <c r="P42" s="84">
        <f t="shared" si="66"/>
        <v>0</v>
      </c>
      <c r="Q42" s="84">
        <f t="shared" si="66"/>
        <v>0</v>
      </c>
      <c r="R42" s="84">
        <f t="shared" si="66"/>
        <v>0</v>
      </c>
      <c r="S42" s="84">
        <f t="shared" si="66"/>
        <v>0</v>
      </c>
      <c r="T42" s="84">
        <f t="shared" si="66"/>
        <v>0</v>
      </c>
      <c r="U42" s="84">
        <f t="shared" si="66"/>
        <v>0</v>
      </c>
      <c r="V42" s="84">
        <f t="shared" si="66"/>
        <v>0</v>
      </c>
      <c r="W42" s="84">
        <f t="shared" si="66"/>
        <v>0</v>
      </c>
      <c r="X42" s="84">
        <f t="shared" si="66"/>
        <v>0</v>
      </c>
      <c r="Y42" s="84">
        <f t="shared" si="66"/>
        <v>0</v>
      </c>
      <c r="Z42" s="84">
        <f t="shared" si="66"/>
        <v>0</v>
      </c>
      <c r="AA42" s="84">
        <f t="shared" si="66"/>
        <v>0</v>
      </c>
      <c r="AB42" s="84">
        <f t="shared" si="66"/>
        <v>0</v>
      </c>
      <c r="AC42" s="84">
        <f t="shared" si="66"/>
        <v>0</v>
      </c>
      <c r="AD42" s="84">
        <f t="shared" si="66"/>
        <v>0</v>
      </c>
      <c r="AE42" s="84">
        <f t="shared" si="66"/>
        <v>0</v>
      </c>
      <c r="AF42" s="84">
        <f t="shared" si="66"/>
        <v>0</v>
      </c>
      <c r="AG42" s="84">
        <f t="shared" si="66"/>
        <v>0</v>
      </c>
      <c r="AH42" s="84">
        <f t="shared" si="66"/>
        <v>0</v>
      </c>
      <c r="AI42" s="84">
        <f t="shared" si="66"/>
        <v>0</v>
      </c>
      <c r="AJ42" s="84">
        <f t="shared" ref="AJ42:BA42" si="67">AJ$6*IF(AJ12=0,NewBusCost,0)</f>
        <v>0</v>
      </c>
      <c r="AK42" s="84">
        <f t="shared" si="67"/>
        <v>0</v>
      </c>
      <c r="AL42" s="84">
        <f t="shared" si="67"/>
        <v>0</v>
      </c>
      <c r="AM42" s="84">
        <f t="shared" si="67"/>
        <v>0</v>
      </c>
      <c r="AN42" s="84">
        <f t="shared" si="67"/>
        <v>0</v>
      </c>
      <c r="AO42" s="84">
        <f t="shared" si="67"/>
        <v>0</v>
      </c>
      <c r="AP42" s="84">
        <f t="shared" si="67"/>
        <v>0</v>
      </c>
      <c r="AQ42" s="84">
        <f t="shared" si="67"/>
        <v>0</v>
      </c>
      <c r="AR42" s="84">
        <f t="shared" si="67"/>
        <v>0</v>
      </c>
      <c r="AS42" s="84">
        <f t="shared" si="67"/>
        <v>0</v>
      </c>
      <c r="AT42" s="84">
        <f t="shared" si="67"/>
        <v>0</v>
      </c>
      <c r="AU42" s="84">
        <f t="shared" si="67"/>
        <v>0</v>
      </c>
      <c r="AV42" s="84">
        <f t="shared" si="67"/>
        <v>0</v>
      </c>
      <c r="AW42" s="84">
        <f t="shared" si="67"/>
        <v>0</v>
      </c>
      <c r="AX42" s="84">
        <f t="shared" si="67"/>
        <v>0</v>
      </c>
      <c r="AY42" s="84">
        <f t="shared" si="67"/>
        <v>0</v>
      </c>
      <c r="AZ42" s="84">
        <f t="shared" si="67"/>
        <v>0</v>
      </c>
      <c r="BA42" s="84">
        <f t="shared" si="67"/>
        <v>0</v>
      </c>
      <c r="BB42" s="84"/>
      <c r="BC42" s="85">
        <f t="shared" si="61"/>
        <v>63123000</v>
      </c>
    </row>
    <row r="43" spans="1:55" x14ac:dyDescent="0.2">
      <c r="A43" s="52"/>
      <c r="B43" s="7"/>
      <c r="C43" s="7">
        <f t="shared" si="58"/>
        <v>5</v>
      </c>
      <c r="D43" s="84">
        <f t="shared" ref="D43:AI43" si="68">D$6*IF(D13=0,NewBusCost,0)</f>
        <v>0</v>
      </c>
      <c r="E43" s="84">
        <f t="shared" si="68"/>
        <v>0</v>
      </c>
      <c r="F43" s="84">
        <f t="shared" si="68"/>
        <v>0</v>
      </c>
      <c r="G43" s="84">
        <f t="shared" si="68"/>
        <v>0</v>
      </c>
      <c r="H43" s="84">
        <f t="shared" si="68"/>
        <v>0</v>
      </c>
      <c r="I43" s="84">
        <f t="shared" si="68"/>
        <v>0</v>
      </c>
      <c r="J43" s="84">
        <f t="shared" si="68"/>
        <v>0</v>
      </c>
      <c r="K43" s="84">
        <f t="shared" si="68"/>
        <v>0</v>
      </c>
      <c r="L43" s="84">
        <f t="shared" si="68"/>
        <v>0</v>
      </c>
      <c r="M43" s="84">
        <f t="shared" si="68"/>
        <v>0</v>
      </c>
      <c r="N43" s="84">
        <f t="shared" si="68"/>
        <v>0</v>
      </c>
      <c r="O43" s="84">
        <f t="shared" si="68"/>
        <v>0</v>
      </c>
      <c r="P43" s="84">
        <f t="shared" si="68"/>
        <v>0</v>
      </c>
      <c r="Q43" s="84">
        <f t="shared" si="68"/>
        <v>0</v>
      </c>
      <c r="R43" s="84">
        <f t="shared" si="68"/>
        <v>0</v>
      </c>
      <c r="S43" s="84">
        <f t="shared" si="68"/>
        <v>0</v>
      </c>
      <c r="T43" s="84">
        <f t="shared" si="68"/>
        <v>0</v>
      </c>
      <c r="U43" s="84">
        <f t="shared" si="68"/>
        <v>0</v>
      </c>
      <c r="V43" s="84">
        <f t="shared" si="68"/>
        <v>0</v>
      </c>
      <c r="W43" s="84">
        <f t="shared" si="68"/>
        <v>0</v>
      </c>
      <c r="X43" s="84">
        <f t="shared" si="68"/>
        <v>0</v>
      </c>
      <c r="Y43" s="84">
        <f t="shared" si="68"/>
        <v>0</v>
      </c>
      <c r="Z43" s="84">
        <f t="shared" si="68"/>
        <v>0</v>
      </c>
      <c r="AA43" s="84">
        <f t="shared" si="68"/>
        <v>0</v>
      </c>
      <c r="AB43" s="84">
        <f t="shared" si="68"/>
        <v>0</v>
      </c>
      <c r="AC43" s="84">
        <f t="shared" si="68"/>
        <v>0</v>
      </c>
      <c r="AD43" s="84">
        <f t="shared" si="68"/>
        <v>0</v>
      </c>
      <c r="AE43" s="84">
        <f t="shared" si="68"/>
        <v>0</v>
      </c>
      <c r="AF43" s="84">
        <f t="shared" si="68"/>
        <v>0</v>
      </c>
      <c r="AG43" s="84">
        <f t="shared" si="68"/>
        <v>0</v>
      </c>
      <c r="AH43" s="84">
        <f t="shared" si="68"/>
        <v>0</v>
      </c>
      <c r="AI43" s="84">
        <f t="shared" si="68"/>
        <v>0</v>
      </c>
      <c r="AJ43" s="84">
        <f t="shared" ref="AJ43:BA43" si="69">AJ$6*IF(AJ13=0,NewBusCost,0)</f>
        <v>0</v>
      </c>
      <c r="AK43" s="84">
        <f t="shared" si="69"/>
        <v>0</v>
      </c>
      <c r="AL43" s="84">
        <f t="shared" si="69"/>
        <v>0</v>
      </c>
      <c r="AM43" s="84">
        <f t="shared" si="69"/>
        <v>0</v>
      </c>
      <c r="AN43" s="84">
        <f t="shared" si="69"/>
        <v>0</v>
      </c>
      <c r="AO43" s="84">
        <f t="shared" si="69"/>
        <v>0</v>
      </c>
      <c r="AP43" s="84">
        <f t="shared" si="69"/>
        <v>0</v>
      </c>
      <c r="AQ43" s="84">
        <f t="shared" si="69"/>
        <v>0</v>
      </c>
      <c r="AR43" s="84">
        <f t="shared" si="69"/>
        <v>0</v>
      </c>
      <c r="AS43" s="84">
        <f t="shared" si="69"/>
        <v>0</v>
      </c>
      <c r="AT43" s="84">
        <f t="shared" si="69"/>
        <v>0</v>
      </c>
      <c r="AU43" s="84">
        <f t="shared" si="69"/>
        <v>0</v>
      </c>
      <c r="AV43" s="84">
        <f t="shared" si="69"/>
        <v>0</v>
      </c>
      <c r="AW43" s="84">
        <f t="shared" si="69"/>
        <v>0</v>
      </c>
      <c r="AX43" s="84">
        <f t="shared" si="69"/>
        <v>0</v>
      </c>
      <c r="AY43" s="84">
        <f t="shared" si="69"/>
        <v>0</v>
      </c>
      <c r="AZ43" s="84">
        <f t="shared" si="69"/>
        <v>0</v>
      </c>
      <c r="BA43" s="84">
        <f t="shared" si="69"/>
        <v>0</v>
      </c>
      <c r="BB43" s="84"/>
      <c r="BC43" s="85">
        <f t="shared" si="61"/>
        <v>0</v>
      </c>
    </row>
    <row r="44" spans="1:55" x14ac:dyDescent="0.2">
      <c r="A44" s="52"/>
      <c r="B44" s="7"/>
      <c r="C44" s="7">
        <f t="shared" si="58"/>
        <v>6</v>
      </c>
      <c r="D44" s="84">
        <f t="shared" ref="D44:AI44" si="70">D$6*IF(D14=0,NewBusCost,0)</f>
        <v>0</v>
      </c>
      <c r="E44" s="84">
        <f t="shared" si="70"/>
        <v>0</v>
      </c>
      <c r="F44" s="84">
        <f t="shared" si="70"/>
        <v>0</v>
      </c>
      <c r="G44" s="84">
        <f t="shared" si="70"/>
        <v>0</v>
      </c>
      <c r="H44" s="84">
        <f t="shared" si="70"/>
        <v>0</v>
      </c>
      <c r="I44" s="84">
        <f t="shared" si="70"/>
        <v>0</v>
      </c>
      <c r="J44" s="84">
        <f t="shared" si="70"/>
        <v>0</v>
      </c>
      <c r="K44" s="84">
        <f t="shared" si="70"/>
        <v>0</v>
      </c>
      <c r="L44" s="84">
        <f t="shared" si="70"/>
        <v>0</v>
      </c>
      <c r="M44" s="84">
        <f t="shared" si="70"/>
        <v>0</v>
      </c>
      <c r="N44" s="84">
        <f t="shared" si="70"/>
        <v>0</v>
      </c>
      <c r="O44" s="84">
        <f t="shared" si="70"/>
        <v>0</v>
      </c>
      <c r="P44" s="84">
        <f t="shared" si="70"/>
        <v>0</v>
      </c>
      <c r="Q44" s="84">
        <f t="shared" si="70"/>
        <v>0</v>
      </c>
      <c r="R44" s="84">
        <f t="shared" si="70"/>
        <v>0</v>
      </c>
      <c r="S44" s="84">
        <f t="shared" si="70"/>
        <v>0</v>
      </c>
      <c r="T44" s="84">
        <f t="shared" si="70"/>
        <v>0</v>
      </c>
      <c r="U44" s="84">
        <f t="shared" si="70"/>
        <v>0</v>
      </c>
      <c r="V44" s="84">
        <f t="shared" si="70"/>
        <v>0</v>
      </c>
      <c r="W44" s="84">
        <f t="shared" si="70"/>
        <v>0</v>
      </c>
      <c r="X44" s="84">
        <f t="shared" si="70"/>
        <v>0</v>
      </c>
      <c r="Y44" s="84">
        <f t="shared" si="70"/>
        <v>0</v>
      </c>
      <c r="Z44" s="84">
        <f t="shared" si="70"/>
        <v>0</v>
      </c>
      <c r="AA44" s="84">
        <f t="shared" si="70"/>
        <v>0</v>
      </c>
      <c r="AB44" s="84">
        <f t="shared" si="70"/>
        <v>0</v>
      </c>
      <c r="AC44" s="84">
        <f t="shared" si="70"/>
        <v>0</v>
      </c>
      <c r="AD44" s="84">
        <f t="shared" si="70"/>
        <v>0</v>
      </c>
      <c r="AE44" s="84">
        <f t="shared" si="70"/>
        <v>0</v>
      </c>
      <c r="AF44" s="84">
        <f t="shared" si="70"/>
        <v>0</v>
      </c>
      <c r="AG44" s="84">
        <f t="shared" si="70"/>
        <v>0</v>
      </c>
      <c r="AH44" s="84">
        <f t="shared" si="70"/>
        <v>0</v>
      </c>
      <c r="AI44" s="84">
        <f t="shared" si="70"/>
        <v>0</v>
      </c>
      <c r="AJ44" s="84">
        <f t="shared" ref="AJ44:BA44" si="71">AJ$6*IF(AJ14=0,NewBusCost,0)</f>
        <v>0</v>
      </c>
      <c r="AK44" s="84">
        <f t="shared" si="71"/>
        <v>0</v>
      </c>
      <c r="AL44" s="84">
        <f t="shared" si="71"/>
        <v>0</v>
      </c>
      <c r="AM44" s="84">
        <f t="shared" si="71"/>
        <v>0</v>
      </c>
      <c r="AN44" s="84">
        <f t="shared" si="71"/>
        <v>0</v>
      </c>
      <c r="AO44" s="84">
        <f t="shared" si="71"/>
        <v>0</v>
      </c>
      <c r="AP44" s="84">
        <f t="shared" si="71"/>
        <v>0</v>
      </c>
      <c r="AQ44" s="84">
        <f t="shared" si="71"/>
        <v>0</v>
      </c>
      <c r="AR44" s="84">
        <f t="shared" si="71"/>
        <v>0</v>
      </c>
      <c r="AS44" s="84">
        <f t="shared" si="71"/>
        <v>0</v>
      </c>
      <c r="AT44" s="84">
        <f t="shared" si="71"/>
        <v>0</v>
      </c>
      <c r="AU44" s="84">
        <f t="shared" si="71"/>
        <v>0</v>
      </c>
      <c r="AV44" s="84">
        <f t="shared" si="71"/>
        <v>0</v>
      </c>
      <c r="AW44" s="84">
        <f t="shared" si="71"/>
        <v>0</v>
      </c>
      <c r="AX44" s="84">
        <f t="shared" si="71"/>
        <v>0</v>
      </c>
      <c r="AY44" s="84">
        <f t="shared" si="71"/>
        <v>0</v>
      </c>
      <c r="AZ44" s="84">
        <f t="shared" si="71"/>
        <v>0</v>
      </c>
      <c r="BA44" s="84">
        <f t="shared" si="71"/>
        <v>0</v>
      </c>
      <c r="BB44" s="84"/>
      <c r="BC44" s="85">
        <f t="shared" si="61"/>
        <v>0</v>
      </c>
    </row>
    <row r="45" spans="1:55" x14ac:dyDescent="0.2">
      <c r="A45" s="52"/>
      <c r="B45" s="7"/>
      <c r="C45" s="7">
        <f t="shared" si="58"/>
        <v>7</v>
      </c>
      <c r="D45" s="84">
        <f t="shared" ref="D45:AI45" si="72">D$6*IF(D15=0,NewBusCost,0)</f>
        <v>0</v>
      </c>
      <c r="E45" s="84">
        <f t="shared" si="72"/>
        <v>0</v>
      </c>
      <c r="F45" s="84">
        <f t="shared" si="72"/>
        <v>0</v>
      </c>
      <c r="G45" s="84">
        <f t="shared" si="72"/>
        <v>9925000</v>
      </c>
      <c r="H45" s="84">
        <f t="shared" si="72"/>
        <v>0</v>
      </c>
      <c r="I45" s="84">
        <f t="shared" si="72"/>
        <v>0</v>
      </c>
      <c r="J45" s="84">
        <f t="shared" si="72"/>
        <v>0</v>
      </c>
      <c r="K45" s="84">
        <f t="shared" si="72"/>
        <v>65505000</v>
      </c>
      <c r="L45" s="84">
        <f t="shared" si="72"/>
        <v>0</v>
      </c>
      <c r="M45" s="84">
        <f t="shared" si="72"/>
        <v>0</v>
      </c>
      <c r="N45" s="84">
        <f t="shared" si="72"/>
        <v>0</v>
      </c>
      <c r="O45" s="84">
        <f t="shared" si="72"/>
        <v>0</v>
      </c>
      <c r="P45" s="84">
        <f t="shared" si="72"/>
        <v>0</v>
      </c>
      <c r="Q45" s="84">
        <f t="shared" si="72"/>
        <v>0</v>
      </c>
      <c r="R45" s="84">
        <f t="shared" si="72"/>
        <v>0</v>
      </c>
      <c r="S45" s="84">
        <f t="shared" si="72"/>
        <v>0</v>
      </c>
      <c r="T45" s="84">
        <f t="shared" si="72"/>
        <v>0</v>
      </c>
      <c r="U45" s="84">
        <f t="shared" si="72"/>
        <v>0</v>
      </c>
      <c r="V45" s="84">
        <f t="shared" si="72"/>
        <v>0</v>
      </c>
      <c r="W45" s="84">
        <f t="shared" si="72"/>
        <v>0</v>
      </c>
      <c r="X45" s="84">
        <f t="shared" si="72"/>
        <v>0</v>
      </c>
      <c r="Y45" s="84">
        <f t="shared" si="72"/>
        <v>0</v>
      </c>
      <c r="Z45" s="84">
        <f t="shared" si="72"/>
        <v>0</v>
      </c>
      <c r="AA45" s="84">
        <f t="shared" si="72"/>
        <v>0</v>
      </c>
      <c r="AB45" s="84">
        <f t="shared" si="72"/>
        <v>0</v>
      </c>
      <c r="AC45" s="84">
        <f t="shared" si="72"/>
        <v>0</v>
      </c>
      <c r="AD45" s="84">
        <f t="shared" si="72"/>
        <v>0</v>
      </c>
      <c r="AE45" s="84">
        <f t="shared" si="72"/>
        <v>0</v>
      </c>
      <c r="AF45" s="84">
        <f t="shared" si="72"/>
        <v>0</v>
      </c>
      <c r="AG45" s="84">
        <f t="shared" si="72"/>
        <v>0</v>
      </c>
      <c r="AH45" s="84">
        <f t="shared" si="72"/>
        <v>0</v>
      </c>
      <c r="AI45" s="84">
        <f t="shared" si="72"/>
        <v>0</v>
      </c>
      <c r="AJ45" s="84">
        <f t="shared" ref="AJ45:BA45" si="73">AJ$6*IF(AJ15=0,NewBusCost,0)</f>
        <v>0</v>
      </c>
      <c r="AK45" s="84">
        <f t="shared" si="73"/>
        <v>0</v>
      </c>
      <c r="AL45" s="84">
        <f t="shared" si="73"/>
        <v>0</v>
      </c>
      <c r="AM45" s="84">
        <f t="shared" si="73"/>
        <v>0</v>
      </c>
      <c r="AN45" s="84">
        <f t="shared" si="73"/>
        <v>0</v>
      </c>
      <c r="AO45" s="84">
        <f t="shared" si="73"/>
        <v>0</v>
      </c>
      <c r="AP45" s="84">
        <f t="shared" si="73"/>
        <v>0</v>
      </c>
      <c r="AQ45" s="84">
        <f t="shared" si="73"/>
        <v>0</v>
      </c>
      <c r="AR45" s="84">
        <f t="shared" si="73"/>
        <v>0</v>
      </c>
      <c r="AS45" s="84">
        <f t="shared" si="73"/>
        <v>0</v>
      </c>
      <c r="AT45" s="84">
        <f t="shared" si="73"/>
        <v>0</v>
      </c>
      <c r="AU45" s="84">
        <f t="shared" si="73"/>
        <v>0</v>
      </c>
      <c r="AV45" s="84">
        <f t="shared" si="73"/>
        <v>0</v>
      </c>
      <c r="AW45" s="84">
        <f t="shared" si="73"/>
        <v>0</v>
      </c>
      <c r="AX45" s="84">
        <f t="shared" si="73"/>
        <v>0</v>
      </c>
      <c r="AY45" s="84">
        <f t="shared" si="73"/>
        <v>0</v>
      </c>
      <c r="AZ45" s="84">
        <f t="shared" si="73"/>
        <v>0</v>
      </c>
      <c r="BA45" s="84">
        <f t="shared" si="73"/>
        <v>0</v>
      </c>
      <c r="BB45" s="84"/>
      <c r="BC45" s="85">
        <f t="shared" si="61"/>
        <v>75430000</v>
      </c>
    </row>
    <row r="46" spans="1:55" x14ac:dyDescent="0.2">
      <c r="A46" s="52"/>
      <c r="B46" s="7"/>
      <c r="C46" s="7">
        <f t="shared" si="58"/>
        <v>8</v>
      </c>
      <c r="D46" s="84">
        <f t="shared" ref="D46:AI46" si="74">D$6*IF(D16=0,NewBusCost,0)</f>
        <v>0</v>
      </c>
      <c r="E46" s="84">
        <f t="shared" si="74"/>
        <v>0</v>
      </c>
      <c r="F46" s="84">
        <f t="shared" si="74"/>
        <v>0</v>
      </c>
      <c r="G46" s="84">
        <f t="shared" si="74"/>
        <v>0</v>
      </c>
      <c r="H46" s="84">
        <f t="shared" si="74"/>
        <v>0</v>
      </c>
      <c r="I46" s="84">
        <f t="shared" si="74"/>
        <v>0</v>
      </c>
      <c r="J46" s="84">
        <f t="shared" si="74"/>
        <v>0</v>
      </c>
      <c r="K46" s="84">
        <f t="shared" si="74"/>
        <v>0</v>
      </c>
      <c r="L46" s="84">
        <f t="shared" si="74"/>
        <v>3970000</v>
      </c>
      <c r="M46" s="84">
        <f t="shared" si="74"/>
        <v>0</v>
      </c>
      <c r="N46" s="84">
        <f t="shared" si="74"/>
        <v>0</v>
      </c>
      <c r="O46" s="84">
        <f t="shared" si="74"/>
        <v>0</v>
      </c>
      <c r="P46" s="84">
        <f t="shared" si="74"/>
        <v>0</v>
      </c>
      <c r="Q46" s="84">
        <f t="shared" si="74"/>
        <v>0</v>
      </c>
      <c r="R46" s="84">
        <f t="shared" si="74"/>
        <v>0</v>
      </c>
      <c r="S46" s="84">
        <f t="shared" si="74"/>
        <v>0</v>
      </c>
      <c r="T46" s="84">
        <f t="shared" si="74"/>
        <v>0</v>
      </c>
      <c r="U46" s="84">
        <f t="shared" si="74"/>
        <v>0</v>
      </c>
      <c r="V46" s="84">
        <f t="shared" si="74"/>
        <v>0</v>
      </c>
      <c r="W46" s="84">
        <f t="shared" si="74"/>
        <v>0</v>
      </c>
      <c r="X46" s="84">
        <f t="shared" si="74"/>
        <v>0</v>
      </c>
      <c r="Y46" s="84">
        <f t="shared" si="74"/>
        <v>0</v>
      </c>
      <c r="Z46" s="84">
        <f t="shared" si="74"/>
        <v>0</v>
      </c>
      <c r="AA46" s="84">
        <f t="shared" si="74"/>
        <v>0</v>
      </c>
      <c r="AB46" s="84">
        <f t="shared" si="74"/>
        <v>0</v>
      </c>
      <c r="AC46" s="84">
        <f t="shared" si="74"/>
        <v>0</v>
      </c>
      <c r="AD46" s="84">
        <f t="shared" si="74"/>
        <v>0</v>
      </c>
      <c r="AE46" s="84">
        <f t="shared" si="74"/>
        <v>0</v>
      </c>
      <c r="AF46" s="84">
        <f t="shared" si="74"/>
        <v>0</v>
      </c>
      <c r="AG46" s="84">
        <f t="shared" si="74"/>
        <v>0</v>
      </c>
      <c r="AH46" s="84">
        <f t="shared" si="74"/>
        <v>0</v>
      </c>
      <c r="AI46" s="84">
        <f t="shared" si="74"/>
        <v>0</v>
      </c>
      <c r="AJ46" s="84">
        <f t="shared" ref="AJ46:BA46" si="75">AJ$6*IF(AJ16=0,NewBusCost,0)</f>
        <v>0</v>
      </c>
      <c r="AK46" s="84">
        <f t="shared" si="75"/>
        <v>0</v>
      </c>
      <c r="AL46" s="84">
        <f t="shared" si="75"/>
        <v>0</v>
      </c>
      <c r="AM46" s="84">
        <f t="shared" si="75"/>
        <v>0</v>
      </c>
      <c r="AN46" s="84">
        <f t="shared" si="75"/>
        <v>0</v>
      </c>
      <c r="AO46" s="84">
        <f t="shared" si="75"/>
        <v>0</v>
      </c>
      <c r="AP46" s="84">
        <f t="shared" si="75"/>
        <v>0</v>
      </c>
      <c r="AQ46" s="84">
        <f t="shared" si="75"/>
        <v>0</v>
      </c>
      <c r="AR46" s="84">
        <f t="shared" si="75"/>
        <v>0</v>
      </c>
      <c r="AS46" s="84">
        <f t="shared" si="75"/>
        <v>0</v>
      </c>
      <c r="AT46" s="84">
        <f t="shared" si="75"/>
        <v>0</v>
      </c>
      <c r="AU46" s="84">
        <f t="shared" si="75"/>
        <v>0</v>
      </c>
      <c r="AV46" s="84">
        <f t="shared" si="75"/>
        <v>0</v>
      </c>
      <c r="AW46" s="84">
        <f t="shared" si="75"/>
        <v>0</v>
      </c>
      <c r="AX46" s="84">
        <f t="shared" si="75"/>
        <v>0</v>
      </c>
      <c r="AY46" s="84">
        <f t="shared" si="75"/>
        <v>0</v>
      </c>
      <c r="AZ46" s="84">
        <f t="shared" si="75"/>
        <v>0</v>
      </c>
      <c r="BA46" s="84">
        <f t="shared" si="75"/>
        <v>0</v>
      </c>
      <c r="BB46" s="84"/>
      <c r="BC46" s="85">
        <f t="shared" si="61"/>
        <v>3970000</v>
      </c>
    </row>
    <row r="47" spans="1:55" x14ac:dyDescent="0.2">
      <c r="A47" s="52"/>
      <c r="B47" s="7"/>
      <c r="C47" s="7">
        <f t="shared" si="58"/>
        <v>9</v>
      </c>
      <c r="D47" s="84">
        <f t="shared" ref="D47:AI47" si="76">D$6*IF(D17=0,NewBusCost,0)</f>
        <v>0</v>
      </c>
      <c r="E47" s="84">
        <f t="shared" si="76"/>
        <v>0</v>
      </c>
      <c r="F47" s="84">
        <f t="shared" si="76"/>
        <v>0</v>
      </c>
      <c r="G47" s="84">
        <f t="shared" si="76"/>
        <v>0</v>
      </c>
      <c r="H47" s="84">
        <f t="shared" si="76"/>
        <v>0</v>
      </c>
      <c r="I47" s="84">
        <f t="shared" si="76"/>
        <v>15880000</v>
      </c>
      <c r="J47" s="84">
        <f t="shared" si="76"/>
        <v>23820000</v>
      </c>
      <c r="K47" s="84">
        <f t="shared" si="76"/>
        <v>0</v>
      </c>
      <c r="L47" s="84">
        <f t="shared" si="76"/>
        <v>0</v>
      </c>
      <c r="M47" s="84">
        <f t="shared" si="76"/>
        <v>0</v>
      </c>
      <c r="N47" s="84">
        <f t="shared" si="76"/>
        <v>0</v>
      </c>
      <c r="O47" s="84">
        <f t="shared" si="76"/>
        <v>23820000</v>
      </c>
      <c r="P47" s="84">
        <f t="shared" si="76"/>
        <v>0</v>
      </c>
      <c r="Q47" s="84">
        <f t="shared" si="76"/>
        <v>0</v>
      </c>
      <c r="R47" s="84">
        <f t="shared" si="76"/>
        <v>0</v>
      </c>
      <c r="S47" s="84">
        <f t="shared" si="76"/>
        <v>0</v>
      </c>
      <c r="T47" s="84">
        <f t="shared" si="76"/>
        <v>0</v>
      </c>
      <c r="U47" s="84">
        <f t="shared" si="76"/>
        <v>0</v>
      </c>
      <c r="V47" s="84">
        <f t="shared" si="76"/>
        <v>0</v>
      </c>
      <c r="W47" s="84">
        <f t="shared" si="76"/>
        <v>0</v>
      </c>
      <c r="X47" s="84">
        <f t="shared" si="76"/>
        <v>0</v>
      </c>
      <c r="Y47" s="84">
        <f t="shared" si="76"/>
        <v>0</v>
      </c>
      <c r="Z47" s="84">
        <f t="shared" si="76"/>
        <v>0</v>
      </c>
      <c r="AA47" s="84">
        <f t="shared" si="76"/>
        <v>0</v>
      </c>
      <c r="AB47" s="84">
        <f t="shared" si="76"/>
        <v>0</v>
      </c>
      <c r="AC47" s="84">
        <f t="shared" si="76"/>
        <v>0</v>
      </c>
      <c r="AD47" s="84">
        <f t="shared" si="76"/>
        <v>0</v>
      </c>
      <c r="AE47" s="84">
        <f t="shared" si="76"/>
        <v>0</v>
      </c>
      <c r="AF47" s="84">
        <f t="shared" si="76"/>
        <v>0</v>
      </c>
      <c r="AG47" s="84">
        <f t="shared" si="76"/>
        <v>0</v>
      </c>
      <c r="AH47" s="84">
        <f t="shared" si="76"/>
        <v>0</v>
      </c>
      <c r="AI47" s="84">
        <f t="shared" si="76"/>
        <v>0</v>
      </c>
      <c r="AJ47" s="84">
        <f t="shared" ref="AJ47:BA47" si="77">AJ$6*IF(AJ17=0,NewBusCost,0)</f>
        <v>0</v>
      </c>
      <c r="AK47" s="84">
        <f t="shared" si="77"/>
        <v>0</v>
      </c>
      <c r="AL47" s="84">
        <f t="shared" si="77"/>
        <v>0</v>
      </c>
      <c r="AM47" s="84">
        <f t="shared" si="77"/>
        <v>0</v>
      </c>
      <c r="AN47" s="84">
        <f t="shared" si="77"/>
        <v>0</v>
      </c>
      <c r="AO47" s="84">
        <f t="shared" si="77"/>
        <v>0</v>
      </c>
      <c r="AP47" s="84">
        <f t="shared" si="77"/>
        <v>0</v>
      </c>
      <c r="AQ47" s="84">
        <f t="shared" si="77"/>
        <v>0</v>
      </c>
      <c r="AR47" s="84">
        <f t="shared" si="77"/>
        <v>0</v>
      </c>
      <c r="AS47" s="84">
        <f t="shared" si="77"/>
        <v>0</v>
      </c>
      <c r="AT47" s="84">
        <f t="shared" si="77"/>
        <v>0</v>
      </c>
      <c r="AU47" s="84">
        <f t="shared" si="77"/>
        <v>0</v>
      </c>
      <c r="AV47" s="84">
        <f t="shared" si="77"/>
        <v>0</v>
      </c>
      <c r="AW47" s="84">
        <f t="shared" si="77"/>
        <v>0</v>
      </c>
      <c r="AX47" s="84">
        <f t="shared" si="77"/>
        <v>0</v>
      </c>
      <c r="AY47" s="84">
        <f t="shared" si="77"/>
        <v>0</v>
      </c>
      <c r="AZ47" s="84">
        <f t="shared" si="77"/>
        <v>0</v>
      </c>
      <c r="BA47" s="84">
        <f t="shared" si="77"/>
        <v>0</v>
      </c>
      <c r="BB47" s="84"/>
      <c r="BC47" s="85">
        <f t="shared" si="61"/>
        <v>63520000</v>
      </c>
    </row>
    <row r="48" spans="1:55" x14ac:dyDescent="0.2">
      <c r="A48" s="52"/>
      <c r="B48" s="7"/>
      <c r="C48" s="7">
        <f t="shared" si="58"/>
        <v>10</v>
      </c>
      <c r="D48" s="84">
        <f t="shared" ref="D48:AI48" si="78">D$6*IF(D18=0,NewBusCost,0)</f>
        <v>0</v>
      </c>
      <c r="E48" s="84">
        <f t="shared" si="78"/>
        <v>0</v>
      </c>
      <c r="F48" s="84">
        <f t="shared" si="78"/>
        <v>0</v>
      </c>
      <c r="G48" s="84">
        <f t="shared" si="78"/>
        <v>0</v>
      </c>
      <c r="H48" s="84">
        <f t="shared" si="78"/>
        <v>0</v>
      </c>
      <c r="I48" s="84">
        <f t="shared" si="78"/>
        <v>0</v>
      </c>
      <c r="J48" s="84">
        <f t="shared" si="78"/>
        <v>0</v>
      </c>
      <c r="K48" s="84">
        <f t="shared" si="78"/>
        <v>0</v>
      </c>
      <c r="L48" s="84">
        <f t="shared" si="78"/>
        <v>0</v>
      </c>
      <c r="M48" s="84">
        <f t="shared" si="78"/>
        <v>15483000</v>
      </c>
      <c r="N48" s="84">
        <f t="shared" si="78"/>
        <v>0</v>
      </c>
      <c r="O48" s="84">
        <f t="shared" si="78"/>
        <v>0</v>
      </c>
      <c r="P48" s="84">
        <f t="shared" si="78"/>
        <v>0</v>
      </c>
      <c r="Q48" s="84">
        <f t="shared" si="78"/>
        <v>0</v>
      </c>
      <c r="R48" s="84">
        <f t="shared" si="78"/>
        <v>0</v>
      </c>
      <c r="S48" s="84">
        <f t="shared" si="78"/>
        <v>0</v>
      </c>
      <c r="T48" s="84">
        <f t="shared" si="78"/>
        <v>0</v>
      </c>
      <c r="U48" s="84">
        <f t="shared" si="78"/>
        <v>0</v>
      </c>
      <c r="V48" s="84">
        <f t="shared" si="78"/>
        <v>0</v>
      </c>
      <c r="W48" s="84">
        <f t="shared" si="78"/>
        <v>0</v>
      </c>
      <c r="X48" s="84">
        <f t="shared" si="78"/>
        <v>0</v>
      </c>
      <c r="Y48" s="84">
        <f t="shared" si="78"/>
        <v>0</v>
      </c>
      <c r="Z48" s="84">
        <f t="shared" si="78"/>
        <v>0</v>
      </c>
      <c r="AA48" s="84">
        <f t="shared" si="78"/>
        <v>0</v>
      </c>
      <c r="AB48" s="84">
        <f t="shared" si="78"/>
        <v>0</v>
      </c>
      <c r="AC48" s="84">
        <f t="shared" si="78"/>
        <v>0</v>
      </c>
      <c r="AD48" s="84">
        <f t="shared" si="78"/>
        <v>0</v>
      </c>
      <c r="AE48" s="84">
        <f t="shared" si="78"/>
        <v>0</v>
      </c>
      <c r="AF48" s="84">
        <f t="shared" si="78"/>
        <v>0</v>
      </c>
      <c r="AG48" s="84">
        <f t="shared" si="78"/>
        <v>0</v>
      </c>
      <c r="AH48" s="84">
        <f t="shared" si="78"/>
        <v>0</v>
      </c>
      <c r="AI48" s="84">
        <f t="shared" si="78"/>
        <v>0</v>
      </c>
      <c r="AJ48" s="84">
        <f t="shared" ref="AJ48:BA48" si="79">AJ$6*IF(AJ18=0,NewBusCost,0)</f>
        <v>0</v>
      </c>
      <c r="AK48" s="84">
        <f t="shared" si="79"/>
        <v>0</v>
      </c>
      <c r="AL48" s="84">
        <f t="shared" si="79"/>
        <v>0</v>
      </c>
      <c r="AM48" s="84">
        <f t="shared" si="79"/>
        <v>0</v>
      </c>
      <c r="AN48" s="84">
        <f t="shared" si="79"/>
        <v>0</v>
      </c>
      <c r="AO48" s="84">
        <f t="shared" si="79"/>
        <v>0</v>
      </c>
      <c r="AP48" s="84">
        <f t="shared" si="79"/>
        <v>0</v>
      </c>
      <c r="AQ48" s="84">
        <f t="shared" si="79"/>
        <v>0</v>
      </c>
      <c r="AR48" s="84">
        <f t="shared" si="79"/>
        <v>0</v>
      </c>
      <c r="AS48" s="84">
        <f t="shared" si="79"/>
        <v>0</v>
      </c>
      <c r="AT48" s="84">
        <f t="shared" si="79"/>
        <v>0</v>
      </c>
      <c r="AU48" s="84">
        <f t="shared" si="79"/>
        <v>0</v>
      </c>
      <c r="AV48" s="84">
        <f t="shared" si="79"/>
        <v>0</v>
      </c>
      <c r="AW48" s="84">
        <f t="shared" si="79"/>
        <v>0</v>
      </c>
      <c r="AX48" s="84">
        <f t="shared" si="79"/>
        <v>0</v>
      </c>
      <c r="AY48" s="84">
        <f t="shared" si="79"/>
        <v>0</v>
      </c>
      <c r="AZ48" s="84">
        <f t="shared" si="79"/>
        <v>0</v>
      </c>
      <c r="BA48" s="84">
        <f t="shared" si="79"/>
        <v>0</v>
      </c>
      <c r="BB48" s="84"/>
      <c r="BC48" s="85">
        <f t="shared" si="61"/>
        <v>15483000</v>
      </c>
    </row>
    <row r="49" spans="1:55" x14ac:dyDescent="0.2">
      <c r="A49" s="52"/>
      <c r="B49" s="7"/>
      <c r="C49" s="7">
        <f t="shared" si="58"/>
        <v>11</v>
      </c>
      <c r="D49" s="84">
        <f t="shared" ref="D49:AI49" si="80">D$6*IF(D19=0,NewBusCost,0)</f>
        <v>35730000</v>
      </c>
      <c r="E49" s="84">
        <f t="shared" si="80"/>
        <v>0</v>
      </c>
      <c r="F49" s="84">
        <f t="shared" si="80"/>
        <v>0</v>
      </c>
      <c r="G49" s="84">
        <f t="shared" si="80"/>
        <v>0</v>
      </c>
      <c r="H49" s="84">
        <f t="shared" si="80"/>
        <v>0</v>
      </c>
      <c r="I49" s="84">
        <f t="shared" si="80"/>
        <v>0</v>
      </c>
      <c r="J49" s="84">
        <f t="shared" si="80"/>
        <v>0</v>
      </c>
      <c r="K49" s="84">
        <f t="shared" si="80"/>
        <v>0</v>
      </c>
      <c r="L49" s="84">
        <f t="shared" si="80"/>
        <v>0</v>
      </c>
      <c r="M49" s="84">
        <f t="shared" si="80"/>
        <v>0</v>
      </c>
      <c r="N49" s="84">
        <f t="shared" si="80"/>
        <v>2382000</v>
      </c>
      <c r="O49" s="84">
        <f t="shared" si="80"/>
        <v>0</v>
      </c>
      <c r="P49" s="84">
        <f t="shared" si="80"/>
        <v>0</v>
      </c>
      <c r="Q49" s="84">
        <f t="shared" si="80"/>
        <v>0</v>
      </c>
      <c r="R49" s="84">
        <f t="shared" si="80"/>
        <v>0</v>
      </c>
      <c r="S49" s="84">
        <f t="shared" si="80"/>
        <v>0</v>
      </c>
      <c r="T49" s="84">
        <f t="shared" si="80"/>
        <v>0</v>
      </c>
      <c r="U49" s="84">
        <f t="shared" si="80"/>
        <v>0</v>
      </c>
      <c r="V49" s="84">
        <f t="shared" si="80"/>
        <v>0</v>
      </c>
      <c r="W49" s="84">
        <f t="shared" si="80"/>
        <v>0</v>
      </c>
      <c r="X49" s="84">
        <f t="shared" si="80"/>
        <v>0</v>
      </c>
      <c r="Y49" s="84">
        <f t="shared" si="80"/>
        <v>0</v>
      </c>
      <c r="Z49" s="84">
        <f t="shared" si="80"/>
        <v>0</v>
      </c>
      <c r="AA49" s="84">
        <f t="shared" si="80"/>
        <v>0</v>
      </c>
      <c r="AB49" s="84">
        <f t="shared" si="80"/>
        <v>0</v>
      </c>
      <c r="AC49" s="84">
        <f t="shared" si="80"/>
        <v>0</v>
      </c>
      <c r="AD49" s="84">
        <f t="shared" si="80"/>
        <v>0</v>
      </c>
      <c r="AE49" s="84">
        <f t="shared" si="80"/>
        <v>0</v>
      </c>
      <c r="AF49" s="84">
        <f t="shared" si="80"/>
        <v>0</v>
      </c>
      <c r="AG49" s="84">
        <f t="shared" si="80"/>
        <v>0</v>
      </c>
      <c r="AH49" s="84">
        <f t="shared" si="80"/>
        <v>0</v>
      </c>
      <c r="AI49" s="84">
        <f t="shared" si="80"/>
        <v>0</v>
      </c>
      <c r="AJ49" s="84">
        <f t="shared" ref="AJ49:BA49" si="81">AJ$6*IF(AJ19=0,NewBusCost,0)</f>
        <v>0</v>
      </c>
      <c r="AK49" s="84">
        <f t="shared" si="81"/>
        <v>0</v>
      </c>
      <c r="AL49" s="84">
        <f t="shared" si="81"/>
        <v>0</v>
      </c>
      <c r="AM49" s="84">
        <f t="shared" si="81"/>
        <v>0</v>
      </c>
      <c r="AN49" s="84">
        <f t="shared" si="81"/>
        <v>0</v>
      </c>
      <c r="AO49" s="84">
        <f t="shared" si="81"/>
        <v>0</v>
      </c>
      <c r="AP49" s="84">
        <f t="shared" si="81"/>
        <v>0</v>
      </c>
      <c r="AQ49" s="84">
        <f t="shared" si="81"/>
        <v>0</v>
      </c>
      <c r="AR49" s="84">
        <f t="shared" si="81"/>
        <v>0</v>
      </c>
      <c r="AS49" s="84">
        <f t="shared" si="81"/>
        <v>0</v>
      </c>
      <c r="AT49" s="84">
        <f t="shared" si="81"/>
        <v>0</v>
      </c>
      <c r="AU49" s="84">
        <f t="shared" si="81"/>
        <v>0</v>
      </c>
      <c r="AV49" s="84">
        <f t="shared" si="81"/>
        <v>0</v>
      </c>
      <c r="AW49" s="84">
        <f t="shared" si="81"/>
        <v>0</v>
      </c>
      <c r="AX49" s="84">
        <f t="shared" si="81"/>
        <v>0</v>
      </c>
      <c r="AY49" s="84">
        <f t="shared" si="81"/>
        <v>0</v>
      </c>
      <c r="AZ49" s="84">
        <f t="shared" si="81"/>
        <v>0</v>
      </c>
      <c r="BA49" s="84">
        <f t="shared" si="81"/>
        <v>0</v>
      </c>
      <c r="BB49" s="84"/>
      <c r="BC49" s="85">
        <f t="shared" si="61"/>
        <v>38112000</v>
      </c>
    </row>
    <row r="50" spans="1:55" x14ac:dyDescent="0.2">
      <c r="A50" s="52"/>
      <c r="B50" s="7"/>
      <c r="C50" s="7">
        <f t="shared" si="58"/>
        <v>12</v>
      </c>
      <c r="D50" s="84">
        <f t="shared" ref="D50:AI50" si="82">D$6*IF(D20=0,NewBusCost,0)</f>
        <v>0</v>
      </c>
      <c r="E50" s="84">
        <f t="shared" si="82"/>
        <v>9925000</v>
      </c>
      <c r="F50" s="84">
        <f t="shared" si="82"/>
        <v>0</v>
      </c>
      <c r="G50" s="84">
        <f t="shared" si="82"/>
        <v>0</v>
      </c>
      <c r="H50" s="84">
        <f t="shared" si="82"/>
        <v>0</v>
      </c>
      <c r="I50" s="84">
        <f t="shared" si="82"/>
        <v>0</v>
      </c>
      <c r="J50" s="84">
        <f t="shared" si="82"/>
        <v>0</v>
      </c>
      <c r="K50" s="84">
        <f t="shared" si="82"/>
        <v>0</v>
      </c>
      <c r="L50" s="84">
        <f t="shared" si="82"/>
        <v>0</v>
      </c>
      <c r="M50" s="84">
        <f t="shared" si="82"/>
        <v>0</v>
      </c>
      <c r="N50" s="84">
        <f t="shared" si="82"/>
        <v>0</v>
      </c>
      <c r="O50" s="84">
        <f t="shared" si="82"/>
        <v>0</v>
      </c>
      <c r="P50" s="84">
        <f t="shared" si="82"/>
        <v>0</v>
      </c>
      <c r="Q50" s="84">
        <f t="shared" si="82"/>
        <v>0</v>
      </c>
      <c r="R50" s="84">
        <f t="shared" si="82"/>
        <v>0</v>
      </c>
      <c r="S50" s="84">
        <f t="shared" si="82"/>
        <v>0</v>
      </c>
      <c r="T50" s="84">
        <f t="shared" si="82"/>
        <v>0</v>
      </c>
      <c r="U50" s="84">
        <f t="shared" si="82"/>
        <v>0</v>
      </c>
      <c r="V50" s="84">
        <f t="shared" si="82"/>
        <v>0</v>
      </c>
      <c r="W50" s="84">
        <f t="shared" si="82"/>
        <v>0</v>
      </c>
      <c r="X50" s="84">
        <f t="shared" si="82"/>
        <v>0</v>
      </c>
      <c r="Y50" s="84">
        <f t="shared" si="82"/>
        <v>0</v>
      </c>
      <c r="Z50" s="84">
        <f t="shared" si="82"/>
        <v>0</v>
      </c>
      <c r="AA50" s="84">
        <f t="shared" si="82"/>
        <v>0</v>
      </c>
      <c r="AB50" s="84">
        <f t="shared" si="82"/>
        <v>0</v>
      </c>
      <c r="AC50" s="84">
        <f t="shared" si="82"/>
        <v>0</v>
      </c>
      <c r="AD50" s="84">
        <f t="shared" si="82"/>
        <v>0</v>
      </c>
      <c r="AE50" s="84">
        <f t="shared" si="82"/>
        <v>0</v>
      </c>
      <c r="AF50" s="84">
        <f t="shared" si="82"/>
        <v>0</v>
      </c>
      <c r="AG50" s="84">
        <f t="shared" si="82"/>
        <v>0</v>
      </c>
      <c r="AH50" s="84">
        <f t="shared" si="82"/>
        <v>0</v>
      </c>
      <c r="AI50" s="84">
        <f t="shared" si="82"/>
        <v>0</v>
      </c>
      <c r="AJ50" s="84">
        <f t="shared" ref="AJ50:BA50" si="83">AJ$6*IF(AJ20=0,NewBusCost,0)</f>
        <v>0</v>
      </c>
      <c r="AK50" s="84">
        <f t="shared" si="83"/>
        <v>0</v>
      </c>
      <c r="AL50" s="84">
        <f t="shared" si="83"/>
        <v>0</v>
      </c>
      <c r="AM50" s="84">
        <f t="shared" si="83"/>
        <v>0</v>
      </c>
      <c r="AN50" s="84">
        <f t="shared" si="83"/>
        <v>0</v>
      </c>
      <c r="AO50" s="84">
        <f t="shared" si="83"/>
        <v>0</v>
      </c>
      <c r="AP50" s="84">
        <f t="shared" si="83"/>
        <v>0</v>
      </c>
      <c r="AQ50" s="84">
        <f t="shared" si="83"/>
        <v>0</v>
      </c>
      <c r="AR50" s="84">
        <f t="shared" si="83"/>
        <v>0</v>
      </c>
      <c r="AS50" s="84">
        <f t="shared" si="83"/>
        <v>0</v>
      </c>
      <c r="AT50" s="84">
        <f t="shared" si="83"/>
        <v>0</v>
      </c>
      <c r="AU50" s="84">
        <f t="shared" si="83"/>
        <v>0</v>
      </c>
      <c r="AV50" s="84">
        <f t="shared" si="83"/>
        <v>0</v>
      </c>
      <c r="AW50" s="84">
        <f t="shared" si="83"/>
        <v>0</v>
      </c>
      <c r="AX50" s="84">
        <f t="shared" si="83"/>
        <v>0</v>
      </c>
      <c r="AY50" s="84">
        <f t="shared" si="83"/>
        <v>0</v>
      </c>
      <c r="AZ50" s="84">
        <f t="shared" si="83"/>
        <v>0</v>
      </c>
      <c r="BA50" s="84">
        <f t="shared" si="83"/>
        <v>0</v>
      </c>
      <c r="BB50" s="84"/>
      <c r="BC50" s="85">
        <f t="shared" si="61"/>
        <v>9925000</v>
      </c>
    </row>
    <row r="51" spans="1:55" x14ac:dyDescent="0.2">
      <c r="A51" s="52"/>
      <c r="B51" s="7"/>
      <c r="C51" s="7">
        <f t="shared" si="58"/>
        <v>13</v>
      </c>
      <c r="D51" s="84">
        <f t="shared" ref="D51:AI51" si="84">D$6*IF(D21=0,NewBusCost,0)</f>
        <v>0</v>
      </c>
      <c r="E51" s="84">
        <f t="shared" si="84"/>
        <v>0</v>
      </c>
      <c r="F51" s="84">
        <f t="shared" si="84"/>
        <v>0</v>
      </c>
      <c r="G51" s="84">
        <f t="shared" si="84"/>
        <v>0</v>
      </c>
      <c r="H51" s="84">
        <f t="shared" si="84"/>
        <v>0</v>
      </c>
      <c r="I51" s="84">
        <f t="shared" si="84"/>
        <v>0</v>
      </c>
      <c r="J51" s="84">
        <f t="shared" si="84"/>
        <v>0</v>
      </c>
      <c r="K51" s="84">
        <f t="shared" si="84"/>
        <v>0</v>
      </c>
      <c r="L51" s="84">
        <f t="shared" si="84"/>
        <v>0</v>
      </c>
      <c r="M51" s="84">
        <f t="shared" si="84"/>
        <v>0</v>
      </c>
      <c r="N51" s="84">
        <f t="shared" si="84"/>
        <v>0</v>
      </c>
      <c r="O51" s="84">
        <f t="shared" si="84"/>
        <v>0</v>
      </c>
      <c r="P51" s="84">
        <f t="shared" si="84"/>
        <v>0</v>
      </c>
      <c r="Q51" s="84">
        <f t="shared" si="84"/>
        <v>0</v>
      </c>
      <c r="R51" s="84">
        <f t="shared" si="84"/>
        <v>0</v>
      </c>
      <c r="S51" s="84">
        <f t="shared" si="84"/>
        <v>0</v>
      </c>
      <c r="T51" s="84">
        <f t="shared" si="84"/>
        <v>0</v>
      </c>
      <c r="U51" s="84">
        <f t="shared" si="84"/>
        <v>0</v>
      </c>
      <c r="V51" s="84">
        <f t="shared" si="84"/>
        <v>0</v>
      </c>
      <c r="W51" s="84">
        <f t="shared" si="84"/>
        <v>0</v>
      </c>
      <c r="X51" s="84">
        <f t="shared" si="84"/>
        <v>0</v>
      </c>
      <c r="Y51" s="84">
        <f t="shared" si="84"/>
        <v>0</v>
      </c>
      <c r="Z51" s="84">
        <f t="shared" si="84"/>
        <v>0</v>
      </c>
      <c r="AA51" s="84">
        <f t="shared" si="84"/>
        <v>0</v>
      </c>
      <c r="AB51" s="84">
        <f t="shared" si="84"/>
        <v>0</v>
      </c>
      <c r="AC51" s="84">
        <f t="shared" si="84"/>
        <v>0</v>
      </c>
      <c r="AD51" s="84">
        <f t="shared" si="84"/>
        <v>0</v>
      </c>
      <c r="AE51" s="84">
        <f t="shared" si="84"/>
        <v>0</v>
      </c>
      <c r="AF51" s="84">
        <f t="shared" si="84"/>
        <v>0</v>
      </c>
      <c r="AG51" s="84">
        <f t="shared" si="84"/>
        <v>0</v>
      </c>
      <c r="AH51" s="84">
        <f t="shared" si="84"/>
        <v>0</v>
      </c>
      <c r="AI51" s="84">
        <f t="shared" si="84"/>
        <v>0</v>
      </c>
      <c r="AJ51" s="84">
        <f t="shared" ref="AJ51:BA51" si="85">AJ$6*IF(AJ21=0,NewBusCost,0)</f>
        <v>0</v>
      </c>
      <c r="AK51" s="84">
        <f t="shared" si="85"/>
        <v>0</v>
      </c>
      <c r="AL51" s="84">
        <f t="shared" si="85"/>
        <v>0</v>
      </c>
      <c r="AM51" s="84">
        <f t="shared" si="85"/>
        <v>0</v>
      </c>
      <c r="AN51" s="84">
        <f t="shared" si="85"/>
        <v>0</v>
      </c>
      <c r="AO51" s="84">
        <f t="shared" si="85"/>
        <v>0</v>
      </c>
      <c r="AP51" s="84">
        <f t="shared" si="85"/>
        <v>0</v>
      </c>
      <c r="AQ51" s="84">
        <f t="shared" si="85"/>
        <v>0</v>
      </c>
      <c r="AR51" s="84">
        <f t="shared" si="85"/>
        <v>0</v>
      </c>
      <c r="AS51" s="84">
        <f t="shared" si="85"/>
        <v>0</v>
      </c>
      <c r="AT51" s="84">
        <f t="shared" si="85"/>
        <v>0</v>
      </c>
      <c r="AU51" s="84">
        <f t="shared" si="85"/>
        <v>0</v>
      </c>
      <c r="AV51" s="84">
        <f t="shared" si="85"/>
        <v>0</v>
      </c>
      <c r="AW51" s="84">
        <f t="shared" si="85"/>
        <v>0</v>
      </c>
      <c r="AX51" s="84">
        <f t="shared" si="85"/>
        <v>0</v>
      </c>
      <c r="AY51" s="84">
        <f t="shared" si="85"/>
        <v>0</v>
      </c>
      <c r="AZ51" s="84">
        <f t="shared" si="85"/>
        <v>0</v>
      </c>
      <c r="BA51" s="84">
        <f t="shared" si="85"/>
        <v>0</v>
      </c>
      <c r="BB51" s="84"/>
      <c r="BC51" s="85">
        <f t="shared" si="61"/>
        <v>0</v>
      </c>
    </row>
    <row r="52" spans="1:55" x14ac:dyDescent="0.2">
      <c r="A52" s="52"/>
      <c r="B52" s="7"/>
      <c r="C52" s="7">
        <f t="shared" si="58"/>
        <v>14</v>
      </c>
      <c r="D52" s="84">
        <f t="shared" ref="D52:AI52" si="86">D$6*IF(D22=0,NewBusCost,0)</f>
        <v>0</v>
      </c>
      <c r="E52" s="84">
        <f t="shared" si="86"/>
        <v>0</v>
      </c>
      <c r="F52" s="84">
        <f t="shared" si="86"/>
        <v>0</v>
      </c>
      <c r="G52" s="84">
        <f t="shared" si="86"/>
        <v>0</v>
      </c>
      <c r="H52" s="84">
        <f t="shared" si="86"/>
        <v>0</v>
      </c>
      <c r="I52" s="84">
        <f t="shared" si="86"/>
        <v>0</v>
      </c>
      <c r="J52" s="84">
        <f t="shared" si="86"/>
        <v>0</v>
      </c>
      <c r="K52" s="84">
        <f t="shared" si="86"/>
        <v>0</v>
      </c>
      <c r="L52" s="84">
        <f t="shared" si="86"/>
        <v>0</v>
      </c>
      <c r="M52" s="84">
        <f t="shared" si="86"/>
        <v>0</v>
      </c>
      <c r="N52" s="84">
        <f t="shared" si="86"/>
        <v>0</v>
      </c>
      <c r="O52" s="84">
        <f t="shared" si="86"/>
        <v>0</v>
      </c>
      <c r="P52" s="84">
        <f t="shared" si="86"/>
        <v>0</v>
      </c>
      <c r="Q52" s="84">
        <f t="shared" si="86"/>
        <v>0</v>
      </c>
      <c r="R52" s="84">
        <f t="shared" si="86"/>
        <v>0</v>
      </c>
      <c r="S52" s="84">
        <f t="shared" si="86"/>
        <v>0</v>
      </c>
      <c r="T52" s="84">
        <f t="shared" si="86"/>
        <v>0</v>
      </c>
      <c r="U52" s="84">
        <f t="shared" si="86"/>
        <v>0</v>
      </c>
      <c r="V52" s="84">
        <f t="shared" si="86"/>
        <v>0</v>
      </c>
      <c r="W52" s="84">
        <f t="shared" si="86"/>
        <v>0</v>
      </c>
      <c r="X52" s="84">
        <f t="shared" si="86"/>
        <v>0</v>
      </c>
      <c r="Y52" s="84">
        <f t="shared" si="86"/>
        <v>0</v>
      </c>
      <c r="Z52" s="84">
        <f t="shared" si="86"/>
        <v>0</v>
      </c>
      <c r="AA52" s="84">
        <f t="shared" si="86"/>
        <v>0</v>
      </c>
      <c r="AB52" s="84">
        <f t="shared" si="86"/>
        <v>0</v>
      </c>
      <c r="AC52" s="84">
        <f t="shared" si="86"/>
        <v>0</v>
      </c>
      <c r="AD52" s="84">
        <f t="shared" si="86"/>
        <v>0</v>
      </c>
      <c r="AE52" s="84">
        <f t="shared" si="86"/>
        <v>0</v>
      </c>
      <c r="AF52" s="84">
        <f t="shared" si="86"/>
        <v>0</v>
      </c>
      <c r="AG52" s="84">
        <f t="shared" si="86"/>
        <v>0</v>
      </c>
      <c r="AH52" s="84">
        <f t="shared" si="86"/>
        <v>0</v>
      </c>
      <c r="AI52" s="84">
        <f t="shared" si="86"/>
        <v>0</v>
      </c>
      <c r="AJ52" s="84">
        <f t="shared" ref="AJ52:BA52" si="87">AJ$6*IF(AJ22=0,NewBusCost,0)</f>
        <v>0</v>
      </c>
      <c r="AK52" s="84">
        <f t="shared" si="87"/>
        <v>0</v>
      </c>
      <c r="AL52" s="84">
        <f t="shared" si="87"/>
        <v>0</v>
      </c>
      <c r="AM52" s="84">
        <f t="shared" si="87"/>
        <v>0</v>
      </c>
      <c r="AN52" s="84">
        <f t="shared" si="87"/>
        <v>0</v>
      </c>
      <c r="AO52" s="84">
        <f t="shared" si="87"/>
        <v>0</v>
      </c>
      <c r="AP52" s="84">
        <f t="shared" si="87"/>
        <v>0</v>
      </c>
      <c r="AQ52" s="84">
        <f t="shared" si="87"/>
        <v>0</v>
      </c>
      <c r="AR52" s="84">
        <f t="shared" si="87"/>
        <v>0</v>
      </c>
      <c r="AS52" s="84">
        <f t="shared" si="87"/>
        <v>0</v>
      </c>
      <c r="AT52" s="84">
        <f t="shared" si="87"/>
        <v>0</v>
      </c>
      <c r="AU52" s="84">
        <f t="shared" si="87"/>
        <v>0</v>
      </c>
      <c r="AV52" s="84">
        <f t="shared" si="87"/>
        <v>0</v>
      </c>
      <c r="AW52" s="84">
        <f t="shared" si="87"/>
        <v>0</v>
      </c>
      <c r="AX52" s="84">
        <f t="shared" si="87"/>
        <v>0</v>
      </c>
      <c r="AY52" s="84">
        <f t="shared" si="87"/>
        <v>0</v>
      </c>
      <c r="AZ52" s="84">
        <f t="shared" si="87"/>
        <v>0</v>
      </c>
      <c r="BA52" s="84">
        <f t="shared" si="87"/>
        <v>0</v>
      </c>
      <c r="BB52" s="84"/>
      <c r="BC52" s="85">
        <f t="shared" si="61"/>
        <v>0</v>
      </c>
    </row>
    <row r="53" spans="1:55" x14ac:dyDescent="0.2">
      <c r="A53" s="52"/>
      <c r="B53" s="7"/>
      <c r="C53" s="7">
        <f t="shared" si="58"/>
        <v>15</v>
      </c>
      <c r="D53" s="84">
        <f t="shared" ref="D53:AI53" si="88">D$6*IF(D23=0,NewBusCost,0)</f>
        <v>0</v>
      </c>
      <c r="E53" s="84">
        <f t="shared" si="88"/>
        <v>0</v>
      </c>
      <c r="F53" s="84">
        <f t="shared" si="88"/>
        <v>0</v>
      </c>
      <c r="G53" s="84">
        <f t="shared" si="88"/>
        <v>0</v>
      </c>
      <c r="H53" s="84">
        <f t="shared" si="88"/>
        <v>0</v>
      </c>
      <c r="I53" s="84">
        <f t="shared" si="88"/>
        <v>0</v>
      </c>
      <c r="J53" s="84">
        <f t="shared" si="88"/>
        <v>0</v>
      </c>
      <c r="K53" s="84">
        <f t="shared" si="88"/>
        <v>0</v>
      </c>
      <c r="L53" s="84">
        <f t="shared" si="88"/>
        <v>0</v>
      </c>
      <c r="M53" s="84">
        <f t="shared" si="88"/>
        <v>0</v>
      </c>
      <c r="N53" s="84">
        <f t="shared" si="88"/>
        <v>0</v>
      </c>
      <c r="O53" s="84">
        <f t="shared" si="88"/>
        <v>0</v>
      </c>
      <c r="P53" s="84">
        <f t="shared" si="88"/>
        <v>10322000</v>
      </c>
      <c r="Q53" s="84">
        <f t="shared" si="88"/>
        <v>21438000</v>
      </c>
      <c r="R53" s="84">
        <f t="shared" si="88"/>
        <v>0</v>
      </c>
      <c r="S53" s="84">
        <f t="shared" si="88"/>
        <v>0</v>
      </c>
      <c r="T53" s="84">
        <f t="shared" si="88"/>
        <v>0</v>
      </c>
      <c r="U53" s="84">
        <f t="shared" si="88"/>
        <v>0</v>
      </c>
      <c r="V53" s="84">
        <f t="shared" si="88"/>
        <v>0</v>
      </c>
      <c r="W53" s="84">
        <f t="shared" si="88"/>
        <v>0</v>
      </c>
      <c r="X53" s="84">
        <f t="shared" si="88"/>
        <v>0</v>
      </c>
      <c r="Y53" s="84">
        <f t="shared" si="88"/>
        <v>0</v>
      </c>
      <c r="Z53" s="84">
        <f t="shared" si="88"/>
        <v>0</v>
      </c>
      <c r="AA53" s="84">
        <f t="shared" si="88"/>
        <v>0</v>
      </c>
      <c r="AB53" s="84">
        <f t="shared" si="88"/>
        <v>0</v>
      </c>
      <c r="AC53" s="84">
        <f t="shared" si="88"/>
        <v>0</v>
      </c>
      <c r="AD53" s="84">
        <f t="shared" si="88"/>
        <v>0</v>
      </c>
      <c r="AE53" s="84">
        <f t="shared" si="88"/>
        <v>0</v>
      </c>
      <c r="AF53" s="84">
        <f t="shared" si="88"/>
        <v>0</v>
      </c>
      <c r="AG53" s="84">
        <f t="shared" si="88"/>
        <v>0</v>
      </c>
      <c r="AH53" s="84">
        <f t="shared" si="88"/>
        <v>0</v>
      </c>
      <c r="AI53" s="84">
        <f t="shared" si="88"/>
        <v>0</v>
      </c>
      <c r="AJ53" s="84">
        <f t="shared" ref="AJ53:BA53" si="89">AJ$6*IF(AJ23=0,NewBusCost,0)</f>
        <v>0</v>
      </c>
      <c r="AK53" s="84">
        <f t="shared" si="89"/>
        <v>0</v>
      </c>
      <c r="AL53" s="84">
        <f t="shared" si="89"/>
        <v>0</v>
      </c>
      <c r="AM53" s="84">
        <f t="shared" si="89"/>
        <v>0</v>
      </c>
      <c r="AN53" s="84">
        <f t="shared" si="89"/>
        <v>0</v>
      </c>
      <c r="AO53" s="84">
        <f t="shared" si="89"/>
        <v>0</v>
      </c>
      <c r="AP53" s="84">
        <f t="shared" si="89"/>
        <v>0</v>
      </c>
      <c r="AQ53" s="84">
        <f t="shared" si="89"/>
        <v>0</v>
      </c>
      <c r="AR53" s="84">
        <f t="shared" si="89"/>
        <v>0</v>
      </c>
      <c r="AS53" s="84">
        <f t="shared" si="89"/>
        <v>0</v>
      </c>
      <c r="AT53" s="84">
        <f t="shared" si="89"/>
        <v>0</v>
      </c>
      <c r="AU53" s="84">
        <f t="shared" si="89"/>
        <v>0</v>
      </c>
      <c r="AV53" s="84">
        <f t="shared" si="89"/>
        <v>0</v>
      </c>
      <c r="AW53" s="84">
        <f t="shared" si="89"/>
        <v>0</v>
      </c>
      <c r="AX53" s="84">
        <f t="shared" si="89"/>
        <v>0</v>
      </c>
      <c r="AY53" s="84">
        <f t="shared" si="89"/>
        <v>0</v>
      </c>
      <c r="AZ53" s="84">
        <f t="shared" si="89"/>
        <v>0</v>
      </c>
      <c r="BA53" s="84">
        <f t="shared" si="89"/>
        <v>0</v>
      </c>
      <c r="BB53" s="84"/>
      <c r="BC53" s="85">
        <f t="shared" si="61"/>
        <v>31760000</v>
      </c>
    </row>
    <row r="54" spans="1:55" x14ac:dyDescent="0.2">
      <c r="A54" s="52"/>
      <c r="B54" s="7"/>
      <c r="C54" s="7">
        <f t="shared" si="58"/>
        <v>16</v>
      </c>
      <c r="D54" s="84">
        <f t="shared" ref="D54:AI54" si="90">D$6*IF(D24=0,NewBusCost,0)</f>
        <v>0</v>
      </c>
      <c r="E54" s="84">
        <f t="shared" si="90"/>
        <v>0</v>
      </c>
      <c r="F54" s="84">
        <f t="shared" si="90"/>
        <v>0</v>
      </c>
      <c r="G54" s="84">
        <f t="shared" si="90"/>
        <v>0</v>
      </c>
      <c r="H54" s="84">
        <f t="shared" si="90"/>
        <v>0</v>
      </c>
      <c r="I54" s="84">
        <f t="shared" si="90"/>
        <v>0</v>
      </c>
      <c r="J54" s="84">
        <f t="shared" si="90"/>
        <v>0</v>
      </c>
      <c r="K54" s="84">
        <f t="shared" si="90"/>
        <v>0</v>
      </c>
      <c r="L54" s="84">
        <f t="shared" si="90"/>
        <v>0</v>
      </c>
      <c r="M54" s="84">
        <f t="shared" si="90"/>
        <v>0</v>
      </c>
      <c r="N54" s="84">
        <f t="shared" si="90"/>
        <v>0</v>
      </c>
      <c r="O54" s="84">
        <f t="shared" si="90"/>
        <v>0</v>
      </c>
      <c r="P54" s="84">
        <f t="shared" si="90"/>
        <v>0</v>
      </c>
      <c r="Q54" s="84">
        <f t="shared" si="90"/>
        <v>0</v>
      </c>
      <c r="R54" s="84">
        <f t="shared" si="90"/>
        <v>0</v>
      </c>
      <c r="S54" s="84">
        <f t="shared" si="90"/>
        <v>0</v>
      </c>
      <c r="T54" s="84">
        <f t="shared" si="90"/>
        <v>0</v>
      </c>
      <c r="U54" s="84">
        <f t="shared" si="90"/>
        <v>0</v>
      </c>
      <c r="V54" s="84">
        <f t="shared" si="90"/>
        <v>0</v>
      </c>
      <c r="W54" s="84">
        <f t="shared" si="90"/>
        <v>0</v>
      </c>
      <c r="X54" s="84">
        <f t="shared" si="90"/>
        <v>0</v>
      </c>
      <c r="Y54" s="84">
        <f t="shared" si="90"/>
        <v>0</v>
      </c>
      <c r="Z54" s="84">
        <f t="shared" si="90"/>
        <v>0</v>
      </c>
      <c r="AA54" s="84">
        <f t="shared" si="90"/>
        <v>0</v>
      </c>
      <c r="AB54" s="84">
        <f t="shared" si="90"/>
        <v>0</v>
      </c>
      <c r="AC54" s="84">
        <f t="shared" si="90"/>
        <v>0</v>
      </c>
      <c r="AD54" s="84">
        <f t="shared" si="90"/>
        <v>0</v>
      </c>
      <c r="AE54" s="84">
        <f t="shared" si="90"/>
        <v>0</v>
      </c>
      <c r="AF54" s="84">
        <f t="shared" si="90"/>
        <v>0</v>
      </c>
      <c r="AG54" s="84">
        <f t="shared" si="90"/>
        <v>0</v>
      </c>
      <c r="AH54" s="84">
        <f t="shared" si="90"/>
        <v>0</v>
      </c>
      <c r="AI54" s="84">
        <f t="shared" si="90"/>
        <v>0</v>
      </c>
      <c r="AJ54" s="84">
        <f t="shared" ref="AJ54:BA54" si="91">AJ$6*IF(AJ24=0,NewBusCost,0)</f>
        <v>0</v>
      </c>
      <c r="AK54" s="84">
        <f t="shared" si="91"/>
        <v>0</v>
      </c>
      <c r="AL54" s="84">
        <f t="shared" si="91"/>
        <v>0</v>
      </c>
      <c r="AM54" s="84">
        <f t="shared" si="91"/>
        <v>0</v>
      </c>
      <c r="AN54" s="84">
        <f t="shared" si="91"/>
        <v>0</v>
      </c>
      <c r="AO54" s="84">
        <f t="shared" si="91"/>
        <v>0</v>
      </c>
      <c r="AP54" s="84">
        <f t="shared" si="91"/>
        <v>0</v>
      </c>
      <c r="AQ54" s="84">
        <f t="shared" si="91"/>
        <v>0</v>
      </c>
      <c r="AR54" s="84">
        <f t="shared" si="91"/>
        <v>0</v>
      </c>
      <c r="AS54" s="84">
        <f t="shared" si="91"/>
        <v>0</v>
      </c>
      <c r="AT54" s="84">
        <f t="shared" si="91"/>
        <v>0</v>
      </c>
      <c r="AU54" s="84">
        <f t="shared" si="91"/>
        <v>0</v>
      </c>
      <c r="AV54" s="84">
        <f t="shared" si="91"/>
        <v>0</v>
      </c>
      <c r="AW54" s="84">
        <f t="shared" si="91"/>
        <v>0</v>
      </c>
      <c r="AX54" s="84">
        <f t="shared" si="91"/>
        <v>0</v>
      </c>
      <c r="AY54" s="84">
        <f t="shared" si="91"/>
        <v>0</v>
      </c>
      <c r="AZ54" s="84">
        <f t="shared" si="91"/>
        <v>0</v>
      </c>
      <c r="BA54" s="84">
        <f t="shared" si="91"/>
        <v>0</v>
      </c>
      <c r="BB54" s="84"/>
      <c r="BC54" s="85">
        <f t="shared" si="61"/>
        <v>0</v>
      </c>
    </row>
    <row r="55" spans="1:55" x14ac:dyDescent="0.2">
      <c r="A55" s="52"/>
      <c r="B55" s="7"/>
      <c r="C55" s="7">
        <f t="shared" si="58"/>
        <v>17</v>
      </c>
      <c r="D55" s="84">
        <f t="shared" ref="D55:AI55" si="92">D$6*IF(D25=0,NewBusCost,0)</f>
        <v>0</v>
      </c>
      <c r="E55" s="84">
        <f t="shared" si="92"/>
        <v>0</v>
      </c>
      <c r="F55" s="84">
        <f t="shared" si="92"/>
        <v>0</v>
      </c>
      <c r="G55" s="84">
        <f t="shared" si="92"/>
        <v>0</v>
      </c>
      <c r="H55" s="84">
        <f t="shared" si="92"/>
        <v>0</v>
      </c>
      <c r="I55" s="84">
        <f t="shared" si="92"/>
        <v>0</v>
      </c>
      <c r="J55" s="84">
        <f t="shared" si="92"/>
        <v>0</v>
      </c>
      <c r="K55" s="84">
        <f t="shared" si="92"/>
        <v>0</v>
      </c>
      <c r="L55" s="84">
        <f t="shared" si="92"/>
        <v>0</v>
      </c>
      <c r="M55" s="84">
        <f t="shared" si="92"/>
        <v>0</v>
      </c>
      <c r="N55" s="84">
        <f t="shared" si="92"/>
        <v>0</v>
      </c>
      <c r="O55" s="84">
        <f t="shared" si="92"/>
        <v>0</v>
      </c>
      <c r="P55" s="84">
        <f t="shared" si="92"/>
        <v>0</v>
      </c>
      <c r="Q55" s="84">
        <f t="shared" si="92"/>
        <v>0</v>
      </c>
      <c r="R55" s="84">
        <f t="shared" si="92"/>
        <v>0</v>
      </c>
      <c r="S55" s="84">
        <f t="shared" si="92"/>
        <v>0</v>
      </c>
      <c r="T55" s="84">
        <f t="shared" si="92"/>
        <v>0</v>
      </c>
      <c r="U55" s="84">
        <f t="shared" si="92"/>
        <v>0</v>
      </c>
      <c r="V55" s="84">
        <f t="shared" si="92"/>
        <v>0</v>
      </c>
      <c r="W55" s="84">
        <f t="shared" si="92"/>
        <v>0</v>
      </c>
      <c r="X55" s="84">
        <f t="shared" si="92"/>
        <v>0</v>
      </c>
      <c r="Y55" s="84">
        <f t="shared" si="92"/>
        <v>0</v>
      </c>
      <c r="Z55" s="84">
        <f t="shared" si="92"/>
        <v>0</v>
      </c>
      <c r="AA55" s="84">
        <f t="shared" si="92"/>
        <v>0</v>
      </c>
      <c r="AB55" s="84">
        <f t="shared" si="92"/>
        <v>0</v>
      </c>
      <c r="AC55" s="84">
        <f t="shared" si="92"/>
        <v>0</v>
      </c>
      <c r="AD55" s="84">
        <f t="shared" si="92"/>
        <v>0</v>
      </c>
      <c r="AE55" s="84">
        <f t="shared" si="92"/>
        <v>0</v>
      </c>
      <c r="AF55" s="84">
        <f t="shared" si="92"/>
        <v>0</v>
      </c>
      <c r="AG55" s="84">
        <f t="shared" si="92"/>
        <v>0</v>
      </c>
      <c r="AH55" s="84">
        <f t="shared" si="92"/>
        <v>0</v>
      </c>
      <c r="AI55" s="84">
        <f t="shared" si="92"/>
        <v>0</v>
      </c>
      <c r="AJ55" s="84">
        <f t="shared" ref="AJ55:BA55" si="93">AJ$6*IF(AJ25=0,NewBusCost,0)</f>
        <v>0</v>
      </c>
      <c r="AK55" s="84">
        <f t="shared" si="93"/>
        <v>0</v>
      </c>
      <c r="AL55" s="84">
        <f t="shared" si="93"/>
        <v>0</v>
      </c>
      <c r="AM55" s="84">
        <f t="shared" si="93"/>
        <v>0</v>
      </c>
      <c r="AN55" s="84">
        <f t="shared" si="93"/>
        <v>0</v>
      </c>
      <c r="AO55" s="84">
        <f t="shared" si="93"/>
        <v>0</v>
      </c>
      <c r="AP55" s="84">
        <f t="shared" si="93"/>
        <v>0</v>
      </c>
      <c r="AQ55" s="84">
        <f t="shared" si="93"/>
        <v>0</v>
      </c>
      <c r="AR55" s="84">
        <f t="shared" si="93"/>
        <v>0</v>
      </c>
      <c r="AS55" s="84">
        <f t="shared" si="93"/>
        <v>0</v>
      </c>
      <c r="AT55" s="84">
        <f t="shared" si="93"/>
        <v>0</v>
      </c>
      <c r="AU55" s="84">
        <f t="shared" si="93"/>
        <v>0</v>
      </c>
      <c r="AV55" s="84">
        <f t="shared" si="93"/>
        <v>0</v>
      </c>
      <c r="AW55" s="84">
        <f t="shared" si="93"/>
        <v>0</v>
      </c>
      <c r="AX55" s="84">
        <f t="shared" si="93"/>
        <v>0</v>
      </c>
      <c r="AY55" s="84">
        <f t="shared" si="93"/>
        <v>0</v>
      </c>
      <c r="AZ55" s="84">
        <f t="shared" si="93"/>
        <v>0</v>
      </c>
      <c r="BA55" s="84">
        <f t="shared" si="93"/>
        <v>0</v>
      </c>
      <c r="BB55" s="84"/>
      <c r="BC55" s="85">
        <f t="shared" si="61"/>
        <v>0</v>
      </c>
    </row>
    <row r="56" spans="1:55" x14ac:dyDescent="0.2">
      <c r="A56" s="52"/>
      <c r="B56" s="7"/>
      <c r="C56" s="7">
        <f t="shared" si="58"/>
        <v>18</v>
      </c>
      <c r="D56" s="84">
        <f t="shared" ref="D56:AI56" si="94">D$6*IF(D26=0,NewBusCost,0)</f>
        <v>0</v>
      </c>
      <c r="E56" s="84">
        <f t="shared" si="94"/>
        <v>0</v>
      </c>
      <c r="F56" s="84">
        <f t="shared" si="94"/>
        <v>46449000</v>
      </c>
      <c r="G56" s="84">
        <f t="shared" si="94"/>
        <v>0</v>
      </c>
      <c r="H56" s="84">
        <f t="shared" si="94"/>
        <v>0</v>
      </c>
      <c r="I56" s="84">
        <f t="shared" si="94"/>
        <v>0</v>
      </c>
      <c r="J56" s="84">
        <f t="shared" si="94"/>
        <v>0</v>
      </c>
      <c r="K56" s="84">
        <f t="shared" si="94"/>
        <v>0</v>
      </c>
      <c r="L56" s="84">
        <f t="shared" si="94"/>
        <v>0</v>
      </c>
      <c r="M56" s="84">
        <f t="shared" si="94"/>
        <v>0</v>
      </c>
      <c r="N56" s="84">
        <f t="shared" si="94"/>
        <v>0</v>
      </c>
      <c r="O56" s="84">
        <f t="shared" si="94"/>
        <v>0</v>
      </c>
      <c r="P56" s="84">
        <f t="shared" si="94"/>
        <v>0</v>
      </c>
      <c r="Q56" s="84">
        <f t="shared" si="94"/>
        <v>0</v>
      </c>
      <c r="R56" s="84">
        <f t="shared" si="94"/>
        <v>0</v>
      </c>
      <c r="S56" s="84">
        <f t="shared" si="94"/>
        <v>0</v>
      </c>
      <c r="T56" s="84">
        <f t="shared" si="94"/>
        <v>0</v>
      </c>
      <c r="U56" s="84">
        <f t="shared" si="94"/>
        <v>0</v>
      </c>
      <c r="V56" s="84">
        <f t="shared" si="94"/>
        <v>0</v>
      </c>
      <c r="W56" s="84">
        <f t="shared" si="94"/>
        <v>0</v>
      </c>
      <c r="X56" s="84">
        <f t="shared" si="94"/>
        <v>0</v>
      </c>
      <c r="Y56" s="84">
        <f t="shared" si="94"/>
        <v>0</v>
      </c>
      <c r="Z56" s="84">
        <f t="shared" si="94"/>
        <v>0</v>
      </c>
      <c r="AA56" s="84">
        <f t="shared" si="94"/>
        <v>0</v>
      </c>
      <c r="AB56" s="84">
        <f t="shared" si="94"/>
        <v>0</v>
      </c>
      <c r="AC56" s="84">
        <f t="shared" si="94"/>
        <v>0</v>
      </c>
      <c r="AD56" s="84">
        <f t="shared" si="94"/>
        <v>0</v>
      </c>
      <c r="AE56" s="84">
        <f t="shared" si="94"/>
        <v>0</v>
      </c>
      <c r="AF56" s="84">
        <f t="shared" si="94"/>
        <v>0</v>
      </c>
      <c r="AG56" s="84">
        <f t="shared" si="94"/>
        <v>0</v>
      </c>
      <c r="AH56" s="84">
        <f t="shared" si="94"/>
        <v>0</v>
      </c>
      <c r="AI56" s="84">
        <f t="shared" si="94"/>
        <v>0</v>
      </c>
      <c r="AJ56" s="84">
        <f t="shared" ref="AJ56:BA56" si="95">AJ$6*IF(AJ26=0,NewBusCost,0)</f>
        <v>0</v>
      </c>
      <c r="AK56" s="84">
        <f t="shared" si="95"/>
        <v>0</v>
      </c>
      <c r="AL56" s="84">
        <f t="shared" si="95"/>
        <v>0</v>
      </c>
      <c r="AM56" s="84">
        <f t="shared" si="95"/>
        <v>0</v>
      </c>
      <c r="AN56" s="84">
        <f t="shared" si="95"/>
        <v>0</v>
      </c>
      <c r="AO56" s="84">
        <f t="shared" si="95"/>
        <v>0</v>
      </c>
      <c r="AP56" s="84">
        <f t="shared" si="95"/>
        <v>0</v>
      </c>
      <c r="AQ56" s="84">
        <f t="shared" si="95"/>
        <v>0</v>
      </c>
      <c r="AR56" s="84">
        <f t="shared" si="95"/>
        <v>0</v>
      </c>
      <c r="AS56" s="84">
        <f t="shared" si="95"/>
        <v>0</v>
      </c>
      <c r="AT56" s="84">
        <f t="shared" si="95"/>
        <v>0</v>
      </c>
      <c r="AU56" s="84">
        <f t="shared" si="95"/>
        <v>0</v>
      </c>
      <c r="AV56" s="84">
        <f t="shared" si="95"/>
        <v>0</v>
      </c>
      <c r="AW56" s="84">
        <f t="shared" si="95"/>
        <v>0</v>
      </c>
      <c r="AX56" s="84">
        <f t="shared" si="95"/>
        <v>0</v>
      </c>
      <c r="AY56" s="84">
        <f t="shared" si="95"/>
        <v>0</v>
      </c>
      <c r="AZ56" s="84">
        <f t="shared" si="95"/>
        <v>0</v>
      </c>
      <c r="BA56" s="84">
        <f t="shared" si="95"/>
        <v>0</v>
      </c>
      <c r="BB56" s="84"/>
      <c r="BC56" s="85">
        <f t="shared" si="61"/>
        <v>46449000</v>
      </c>
    </row>
    <row r="57" spans="1:55" x14ac:dyDescent="0.2">
      <c r="A57" s="52"/>
      <c r="B57" s="7"/>
      <c r="C57" s="7">
        <f t="shared" si="58"/>
        <v>19</v>
      </c>
      <c r="D57" s="84">
        <f t="shared" ref="D57:AI57" si="96">D$6*IF(D27=0,NewBusCost,0)</f>
        <v>0</v>
      </c>
      <c r="E57" s="84">
        <f t="shared" si="96"/>
        <v>0</v>
      </c>
      <c r="F57" s="84">
        <f t="shared" si="96"/>
        <v>0</v>
      </c>
      <c r="G57" s="84">
        <f t="shared" si="96"/>
        <v>0</v>
      </c>
      <c r="H57" s="84">
        <f t="shared" si="96"/>
        <v>63123000</v>
      </c>
      <c r="I57" s="84">
        <f t="shared" si="96"/>
        <v>0</v>
      </c>
      <c r="J57" s="84">
        <f t="shared" si="96"/>
        <v>0</v>
      </c>
      <c r="K57" s="84">
        <f t="shared" si="96"/>
        <v>0</v>
      </c>
      <c r="L57" s="84">
        <f t="shared" si="96"/>
        <v>0</v>
      </c>
      <c r="M57" s="84">
        <f t="shared" si="96"/>
        <v>0</v>
      </c>
      <c r="N57" s="84">
        <f t="shared" si="96"/>
        <v>0</v>
      </c>
      <c r="O57" s="84">
        <f t="shared" si="96"/>
        <v>0</v>
      </c>
      <c r="P57" s="84">
        <f t="shared" si="96"/>
        <v>0</v>
      </c>
      <c r="Q57" s="84">
        <f t="shared" si="96"/>
        <v>0</v>
      </c>
      <c r="R57" s="84">
        <f t="shared" si="96"/>
        <v>0</v>
      </c>
      <c r="S57" s="84">
        <f t="shared" si="96"/>
        <v>0</v>
      </c>
      <c r="T57" s="84">
        <f t="shared" si="96"/>
        <v>0</v>
      </c>
      <c r="U57" s="84">
        <f t="shared" si="96"/>
        <v>0</v>
      </c>
      <c r="V57" s="84">
        <f t="shared" si="96"/>
        <v>0</v>
      </c>
      <c r="W57" s="84">
        <f t="shared" si="96"/>
        <v>0</v>
      </c>
      <c r="X57" s="84">
        <f t="shared" si="96"/>
        <v>0</v>
      </c>
      <c r="Y57" s="84">
        <f t="shared" si="96"/>
        <v>0</v>
      </c>
      <c r="Z57" s="84">
        <f t="shared" si="96"/>
        <v>0</v>
      </c>
      <c r="AA57" s="84">
        <f t="shared" si="96"/>
        <v>0</v>
      </c>
      <c r="AB57" s="84">
        <f t="shared" si="96"/>
        <v>0</v>
      </c>
      <c r="AC57" s="84">
        <f t="shared" si="96"/>
        <v>0</v>
      </c>
      <c r="AD57" s="84">
        <f t="shared" si="96"/>
        <v>0</v>
      </c>
      <c r="AE57" s="84">
        <f t="shared" si="96"/>
        <v>0</v>
      </c>
      <c r="AF57" s="84">
        <f t="shared" si="96"/>
        <v>0</v>
      </c>
      <c r="AG57" s="84">
        <f t="shared" si="96"/>
        <v>0</v>
      </c>
      <c r="AH57" s="84">
        <f t="shared" si="96"/>
        <v>0</v>
      </c>
      <c r="AI57" s="84">
        <f t="shared" si="96"/>
        <v>0</v>
      </c>
      <c r="AJ57" s="84">
        <f t="shared" ref="AJ57:BA57" si="97">AJ$6*IF(AJ27=0,NewBusCost,0)</f>
        <v>0</v>
      </c>
      <c r="AK57" s="84">
        <f t="shared" si="97"/>
        <v>0</v>
      </c>
      <c r="AL57" s="84">
        <f t="shared" si="97"/>
        <v>0</v>
      </c>
      <c r="AM57" s="84">
        <f t="shared" si="97"/>
        <v>0</v>
      </c>
      <c r="AN57" s="84">
        <f t="shared" si="97"/>
        <v>0</v>
      </c>
      <c r="AO57" s="84">
        <f t="shared" si="97"/>
        <v>0</v>
      </c>
      <c r="AP57" s="84">
        <f t="shared" si="97"/>
        <v>0</v>
      </c>
      <c r="AQ57" s="84">
        <f t="shared" si="97"/>
        <v>0</v>
      </c>
      <c r="AR57" s="84">
        <f t="shared" si="97"/>
        <v>0</v>
      </c>
      <c r="AS57" s="84">
        <f t="shared" si="97"/>
        <v>0</v>
      </c>
      <c r="AT57" s="84">
        <f t="shared" si="97"/>
        <v>0</v>
      </c>
      <c r="AU57" s="84">
        <f t="shared" si="97"/>
        <v>0</v>
      </c>
      <c r="AV57" s="84">
        <f t="shared" si="97"/>
        <v>0</v>
      </c>
      <c r="AW57" s="84">
        <f t="shared" si="97"/>
        <v>0</v>
      </c>
      <c r="AX57" s="84">
        <f t="shared" si="97"/>
        <v>0</v>
      </c>
      <c r="AY57" s="84">
        <f t="shared" si="97"/>
        <v>0</v>
      </c>
      <c r="AZ57" s="84">
        <f t="shared" si="97"/>
        <v>0</v>
      </c>
      <c r="BA57" s="84">
        <f t="shared" si="97"/>
        <v>0</v>
      </c>
      <c r="BB57" s="84"/>
      <c r="BC57" s="85">
        <f t="shared" si="61"/>
        <v>63123000</v>
      </c>
    </row>
    <row r="58" spans="1:55" x14ac:dyDescent="0.2">
      <c r="A58" s="52"/>
      <c r="B58" s="7"/>
      <c r="C58" s="7">
        <f t="shared" si="58"/>
        <v>20</v>
      </c>
      <c r="D58" s="84">
        <f t="shared" ref="D58:AI58" si="98">D$6*IF(D28=0,NewBusCost,0)</f>
        <v>0</v>
      </c>
      <c r="E58" s="84">
        <f t="shared" si="98"/>
        <v>0</v>
      </c>
      <c r="F58" s="84">
        <f t="shared" si="98"/>
        <v>0</v>
      </c>
      <c r="G58" s="84">
        <f t="shared" si="98"/>
        <v>0</v>
      </c>
      <c r="H58" s="84">
        <f t="shared" si="98"/>
        <v>0</v>
      </c>
      <c r="I58" s="84">
        <f t="shared" si="98"/>
        <v>0</v>
      </c>
      <c r="J58" s="84">
        <f t="shared" si="98"/>
        <v>0</v>
      </c>
      <c r="K58" s="84">
        <f t="shared" si="98"/>
        <v>0</v>
      </c>
      <c r="L58" s="84">
        <f t="shared" si="98"/>
        <v>0</v>
      </c>
      <c r="M58" s="84">
        <f t="shared" si="98"/>
        <v>0</v>
      </c>
      <c r="N58" s="84">
        <f t="shared" si="98"/>
        <v>0</v>
      </c>
      <c r="O58" s="84">
        <f t="shared" si="98"/>
        <v>0</v>
      </c>
      <c r="P58" s="84">
        <f t="shared" si="98"/>
        <v>0</v>
      </c>
      <c r="Q58" s="84">
        <f t="shared" si="98"/>
        <v>0</v>
      </c>
      <c r="R58" s="84">
        <f t="shared" si="98"/>
        <v>0</v>
      </c>
      <c r="S58" s="84">
        <f t="shared" si="98"/>
        <v>0</v>
      </c>
      <c r="T58" s="84">
        <f t="shared" si="98"/>
        <v>0</v>
      </c>
      <c r="U58" s="84">
        <f t="shared" si="98"/>
        <v>0</v>
      </c>
      <c r="V58" s="84">
        <f t="shared" si="98"/>
        <v>0</v>
      </c>
      <c r="W58" s="84">
        <f t="shared" si="98"/>
        <v>0</v>
      </c>
      <c r="X58" s="84">
        <f t="shared" si="98"/>
        <v>0</v>
      </c>
      <c r="Y58" s="84">
        <f t="shared" si="98"/>
        <v>0</v>
      </c>
      <c r="Z58" s="84">
        <f t="shared" si="98"/>
        <v>0</v>
      </c>
      <c r="AA58" s="84">
        <f t="shared" si="98"/>
        <v>0</v>
      </c>
      <c r="AB58" s="84">
        <f t="shared" si="98"/>
        <v>0</v>
      </c>
      <c r="AC58" s="84">
        <f t="shared" si="98"/>
        <v>0</v>
      </c>
      <c r="AD58" s="84">
        <f t="shared" si="98"/>
        <v>0</v>
      </c>
      <c r="AE58" s="84">
        <f t="shared" si="98"/>
        <v>0</v>
      </c>
      <c r="AF58" s="84">
        <f t="shared" si="98"/>
        <v>0</v>
      </c>
      <c r="AG58" s="84">
        <f t="shared" si="98"/>
        <v>0</v>
      </c>
      <c r="AH58" s="84">
        <f t="shared" si="98"/>
        <v>0</v>
      </c>
      <c r="AI58" s="84">
        <f t="shared" si="98"/>
        <v>0</v>
      </c>
      <c r="AJ58" s="84">
        <f t="shared" ref="AJ58:BA58" si="99">AJ$6*IF(AJ28=0,NewBusCost,0)</f>
        <v>0</v>
      </c>
      <c r="AK58" s="84">
        <f t="shared" si="99"/>
        <v>0</v>
      </c>
      <c r="AL58" s="84">
        <f t="shared" si="99"/>
        <v>0</v>
      </c>
      <c r="AM58" s="84">
        <f t="shared" si="99"/>
        <v>0</v>
      </c>
      <c r="AN58" s="84">
        <f t="shared" si="99"/>
        <v>0</v>
      </c>
      <c r="AO58" s="84">
        <f t="shared" si="99"/>
        <v>0</v>
      </c>
      <c r="AP58" s="84">
        <f t="shared" si="99"/>
        <v>0</v>
      </c>
      <c r="AQ58" s="84">
        <f t="shared" si="99"/>
        <v>0</v>
      </c>
      <c r="AR58" s="84">
        <f t="shared" si="99"/>
        <v>0</v>
      </c>
      <c r="AS58" s="84">
        <f t="shared" si="99"/>
        <v>0</v>
      </c>
      <c r="AT58" s="84">
        <f t="shared" si="99"/>
        <v>0</v>
      </c>
      <c r="AU58" s="84">
        <f t="shared" si="99"/>
        <v>0</v>
      </c>
      <c r="AV58" s="84">
        <f t="shared" si="99"/>
        <v>0</v>
      </c>
      <c r="AW58" s="84">
        <f t="shared" si="99"/>
        <v>0</v>
      </c>
      <c r="AX58" s="84">
        <f t="shared" si="99"/>
        <v>0</v>
      </c>
      <c r="AY58" s="84">
        <f t="shared" si="99"/>
        <v>0</v>
      </c>
      <c r="AZ58" s="84">
        <f t="shared" si="99"/>
        <v>0</v>
      </c>
      <c r="BA58" s="84">
        <f t="shared" si="99"/>
        <v>0</v>
      </c>
      <c r="BB58" s="84"/>
      <c r="BC58" s="85">
        <f t="shared" si="61"/>
        <v>0</v>
      </c>
    </row>
    <row r="59" spans="1:55" x14ac:dyDescent="0.2">
      <c r="A59" s="52"/>
      <c r="B59" s="7"/>
      <c r="C59" s="7">
        <f t="shared" si="58"/>
        <v>21</v>
      </c>
      <c r="D59" s="84">
        <f t="shared" ref="D59:AI59" si="100">D$6*IF(D29=0,NewBusCost,0)</f>
        <v>0</v>
      </c>
      <c r="E59" s="84">
        <f t="shared" si="100"/>
        <v>0</v>
      </c>
      <c r="F59" s="84">
        <f t="shared" si="100"/>
        <v>0</v>
      </c>
      <c r="G59" s="84">
        <f t="shared" si="100"/>
        <v>0</v>
      </c>
      <c r="H59" s="84">
        <f t="shared" si="100"/>
        <v>0</v>
      </c>
      <c r="I59" s="84">
        <f t="shared" si="100"/>
        <v>0</v>
      </c>
      <c r="J59" s="84">
        <f t="shared" si="100"/>
        <v>0</v>
      </c>
      <c r="K59" s="84">
        <f t="shared" si="100"/>
        <v>0</v>
      </c>
      <c r="L59" s="84">
        <f t="shared" si="100"/>
        <v>0</v>
      </c>
      <c r="M59" s="84">
        <f t="shared" si="100"/>
        <v>0</v>
      </c>
      <c r="N59" s="84">
        <f t="shared" si="100"/>
        <v>0</v>
      </c>
      <c r="O59" s="84">
        <f t="shared" si="100"/>
        <v>0</v>
      </c>
      <c r="P59" s="84">
        <f t="shared" si="100"/>
        <v>0</v>
      </c>
      <c r="Q59" s="84">
        <f t="shared" si="100"/>
        <v>0</v>
      </c>
      <c r="R59" s="84">
        <f t="shared" si="100"/>
        <v>0</v>
      </c>
      <c r="S59" s="84">
        <f t="shared" si="100"/>
        <v>0</v>
      </c>
      <c r="T59" s="84">
        <f t="shared" si="100"/>
        <v>0</v>
      </c>
      <c r="U59" s="84">
        <f t="shared" si="100"/>
        <v>0</v>
      </c>
      <c r="V59" s="84">
        <f t="shared" si="100"/>
        <v>0</v>
      </c>
      <c r="W59" s="84">
        <f t="shared" si="100"/>
        <v>0</v>
      </c>
      <c r="X59" s="84">
        <f t="shared" si="100"/>
        <v>0</v>
      </c>
      <c r="Y59" s="84">
        <f t="shared" si="100"/>
        <v>0</v>
      </c>
      <c r="Z59" s="84">
        <f t="shared" si="100"/>
        <v>0</v>
      </c>
      <c r="AA59" s="84">
        <f t="shared" si="100"/>
        <v>0</v>
      </c>
      <c r="AB59" s="84">
        <f t="shared" si="100"/>
        <v>0</v>
      </c>
      <c r="AC59" s="84">
        <f t="shared" si="100"/>
        <v>0</v>
      </c>
      <c r="AD59" s="84">
        <f t="shared" si="100"/>
        <v>0</v>
      </c>
      <c r="AE59" s="84">
        <f t="shared" si="100"/>
        <v>0</v>
      </c>
      <c r="AF59" s="84">
        <f t="shared" si="100"/>
        <v>0</v>
      </c>
      <c r="AG59" s="84">
        <f t="shared" si="100"/>
        <v>0</v>
      </c>
      <c r="AH59" s="84">
        <f t="shared" si="100"/>
        <v>0</v>
      </c>
      <c r="AI59" s="84">
        <f t="shared" si="100"/>
        <v>0</v>
      </c>
      <c r="AJ59" s="84">
        <f t="shared" ref="AJ59:BA59" si="101">AJ$6*IF(AJ29=0,NewBusCost,0)</f>
        <v>0</v>
      </c>
      <c r="AK59" s="84">
        <f t="shared" si="101"/>
        <v>0</v>
      </c>
      <c r="AL59" s="84">
        <f t="shared" si="101"/>
        <v>0</v>
      </c>
      <c r="AM59" s="84">
        <f t="shared" si="101"/>
        <v>0</v>
      </c>
      <c r="AN59" s="84">
        <f t="shared" si="101"/>
        <v>0</v>
      </c>
      <c r="AO59" s="84">
        <f t="shared" si="101"/>
        <v>0</v>
      </c>
      <c r="AP59" s="84">
        <f t="shared" si="101"/>
        <v>0</v>
      </c>
      <c r="AQ59" s="84">
        <f t="shared" si="101"/>
        <v>0</v>
      </c>
      <c r="AR59" s="84">
        <f t="shared" si="101"/>
        <v>0</v>
      </c>
      <c r="AS59" s="84">
        <f t="shared" si="101"/>
        <v>0</v>
      </c>
      <c r="AT59" s="84">
        <f t="shared" si="101"/>
        <v>0</v>
      </c>
      <c r="AU59" s="84">
        <f t="shared" si="101"/>
        <v>0</v>
      </c>
      <c r="AV59" s="84">
        <f t="shared" si="101"/>
        <v>0</v>
      </c>
      <c r="AW59" s="84">
        <f t="shared" si="101"/>
        <v>0</v>
      </c>
      <c r="AX59" s="84">
        <f t="shared" si="101"/>
        <v>0</v>
      </c>
      <c r="AY59" s="84">
        <f t="shared" si="101"/>
        <v>0</v>
      </c>
      <c r="AZ59" s="84">
        <f t="shared" si="101"/>
        <v>0</v>
      </c>
      <c r="BA59" s="84">
        <f t="shared" si="101"/>
        <v>0</v>
      </c>
      <c r="BB59" s="84"/>
      <c r="BC59" s="85">
        <f t="shared" si="61"/>
        <v>0</v>
      </c>
    </row>
    <row r="60" spans="1:55" x14ac:dyDescent="0.2">
      <c r="A60" s="52"/>
      <c r="B60" s="7"/>
      <c r="C60" s="7">
        <f t="shared" si="58"/>
        <v>22</v>
      </c>
      <c r="D60" s="84">
        <f t="shared" ref="D60:AI60" si="102">D$6*IF(D30=0,NewBusCost,0)</f>
        <v>0</v>
      </c>
      <c r="E60" s="84">
        <f t="shared" si="102"/>
        <v>0</v>
      </c>
      <c r="F60" s="84">
        <f t="shared" si="102"/>
        <v>0</v>
      </c>
      <c r="G60" s="84">
        <f t="shared" si="102"/>
        <v>9925000</v>
      </c>
      <c r="H60" s="84">
        <f t="shared" si="102"/>
        <v>0</v>
      </c>
      <c r="I60" s="84">
        <f t="shared" si="102"/>
        <v>0</v>
      </c>
      <c r="J60" s="84">
        <f t="shared" si="102"/>
        <v>0</v>
      </c>
      <c r="K60" s="84">
        <f t="shared" si="102"/>
        <v>65505000</v>
      </c>
      <c r="L60" s="84">
        <f t="shared" si="102"/>
        <v>0</v>
      </c>
      <c r="M60" s="84">
        <f t="shared" si="102"/>
        <v>0</v>
      </c>
      <c r="N60" s="84">
        <f t="shared" si="102"/>
        <v>0</v>
      </c>
      <c r="O60" s="84">
        <f t="shared" si="102"/>
        <v>0</v>
      </c>
      <c r="P60" s="84">
        <f t="shared" si="102"/>
        <v>0</v>
      </c>
      <c r="Q60" s="84">
        <f t="shared" si="102"/>
        <v>0</v>
      </c>
      <c r="R60" s="84">
        <f t="shared" si="102"/>
        <v>0</v>
      </c>
      <c r="S60" s="84">
        <f t="shared" si="102"/>
        <v>0</v>
      </c>
      <c r="T60" s="84">
        <f t="shared" si="102"/>
        <v>0</v>
      </c>
      <c r="U60" s="84">
        <f t="shared" si="102"/>
        <v>0</v>
      </c>
      <c r="V60" s="84">
        <f t="shared" si="102"/>
        <v>0</v>
      </c>
      <c r="W60" s="84">
        <f t="shared" si="102"/>
        <v>0</v>
      </c>
      <c r="X60" s="84">
        <f t="shared" si="102"/>
        <v>0</v>
      </c>
      <c r="Y60" s="84">
        <f t="shared" si="102"/>
        <v>0</v>
      </c>
      <c r="Z60" s="84">
        <f t="shared" si="102"/>
        <v>0</v>
      </c>
      <c r="AA60" s="84">
        <f t="shared" si="102"/>
        <v>0</v>
      </c>
      <c r="AB60" s="84">
        <f t="shared" si="102"/>
        <v>0</v>
      </c>
      <c r="AC60" s="84">
        <f t="shared" si="102"/>
        <v>0</v>
      </c>
      <c r="AD60" s="84">
        <f t="shared" si="102"/>
        <v>0</v>
      </c>
      <c r="AE60" s="84">
        <f t="shared" si="102"/>
        <v>0</v>
      </c>
      <c r="AF60" s="84">
        <f t="shared" si="102"/>
        <v>0</v>
      </c>
      <c r="AG60" s="84">
        <f t="shared" si="102"/>
        <v>0</v>
      </c>
      <c r="AH60" s="84">
        <f t="shared" si="102"/>
        <v>0</v>
      </c>
      <c r="AI60" s="84">
        <f t="shared" si="102"/>
        <v>0</v>
      </c>
      <c r="AJ60" s="84">
        <f t="shared" ref="AJ60:BA60" si="103">AJ$6*IF(AJ30=0,NewBusCost,0)</f>
        <v>0</v>
      </c>
      <c r="AK60" s="84">
        <f t="shared" si="103"/>
        <v>0</v>
      </c>
      <c r="AL60" s="84">
        <f t="shared" si="103"/>
        <v>0</v>
      </c>
      <c r="AM60" s="84">
        <f t="shared" si="103"/>
        <v>0</v>
      </c>
      <c r="AN60" s="84">
        <f t="shared" si="103"/>
        <v>0</v>
      </c>
      <c r="AO60" s="84">
        <f t="shared" si="103"/>
        <v>0</v>
      </c>
      <c r="AP60" s="84">
        <f t="shared" si="103"/>
        <v>0</v>
      </c>
      <c r="AQ60" s="84">
        <f t="shared" si="103"/>
        <v>0</v>
      </c>
      <c r="AR60" s="84">
        <f t="shared" si="103"/>
        <v>0</v>
      </c>
      <c r="AS60" s="84">
        <f t="shared" si="103"/>
        <v>0</v>
      </c>
      <c r="AT60" s="84">
        <f t="shared" si="103"/>
        <v>0</v>
      </c>
      <c r="AU60" s="84">
        <f t="shared" si="103"/>
        <v>0</v>
      </c>
      <c r="AV60" s="84">
        <f t="shared" si="103"/>
        <v>0</v>
      </c>
      <c r="AW60" s="84">
        <f t="shared" si="103"/>
        <v>0</v>
      </c>
      <c r="AX60" s="84">
        <f t="shared" si="103"/>
        <v>0</v>
      </c>
      <c r="AY60" s="84">
        <f t="shared" si="103"/>
        <v>0</v>
      </c>
      <c r="AZ60" s="84">
        <f t="shared" si="103"/>
        <v>0</v>
      </c>
      <c r="BA60" s="84">
        <f t="shared" si="103"/>
        <v>0</v>
      </c>
      <c r="BB60" s="84"/>
      <c r="BC60" s="85">
        <f t="shared" si="61"/>
        <v>75430000</v>
      </c>
    </row>
    <row r="61" spans="1:55" x14ac:dyDescent="0.2">
      <c r="A61" s="52"/>
      <c r="B61" s="7"/>
      <c r="C61" s="7">
        <f t="shared" si="58"/>
        <v>23</v>
      </c>
      <c r="D61" s="84">
        <f t="shared" ref="D61:AI61" si="104">D$6*IF(D31=0,NewBusCost,0)</f>
        <v>0</v>
      </c>
      <c r="E61" s="84">
        <f t="shared" si="104"/>
        <v>0</v>
      </c>
      <c r="F61" s="84">
        <f t="shared" si="104"/>
        <v>0</v>
      </c>
      <c r="G61" s="84">
        <f t="shared" si="104"/>
        <v>0</v>
      </c>
      <c r="H61" s="84">
        <f t="shared" si="104"/>
        <v>0</v>
      </c>
      <c r="I61" s="84">
        <f t="shared" si="104"/>
        <v>0</v>
      </c>
      <c r="J61" s="84">
        <f t="shared" si="104"/>
        <v>0</v>
      </c>
      <c r="K61" s="84">
        <f t="shared" si="104"/>
        <v>0</v>
      </c>
      <c r="L61" s="84">
        <f t="shared" si="104"/>
        <v>3970000</v>
      </c>
      <c r="M61" s="84">
        <f t="shared" si="104"/>
        <v>0</v>
      </c>
      <c r="N61" s="84">
        <f t="shared" si="104"/>
        <v>0</v>
      </c>
      <c r="O61" s="84">
        <f t="shared" si="104"/>
        <v>0</v>
      </c>
      <c r="P61" s="84">
        <f t="shared" si="104"/>
        <v>0</v>
      </c>
      <c r="Q61" s="84">
        <f t="shared" si="104"/>
        <v>0</v>
      </c>
      <c r="R61" s="84">
        <f t="shared" si="104"/>
        <v>0</v>
      </c>
      <c r="S61" s="84">
        <f t="shared" si="104"/>
        <v>0</v>
      </c>
      <c r="T61" s="84">
        <f t="shared" si="104"/>
        <v>0</v>
      </c>
      <c r="U61" s="84">
        <f t="shared" si="104"/>
        <v>0</v>
      </c>
      <c r="V61" s="84">
        <f t="shared" si="104"/>
        <v>0</v>
      </c>
      <c r="W61" s="84">
        <f t="shared" si="104"/>
        <v>0</v>
      </c>
      <c r="X61" s="84">
        <f t="shared" si="104"/>
        <v>0</v>
      </c>
      <c r="Y61" s="84">
        <f t="shared" si="104"/>
        <v>0</v>
      </c>
      <c r="Z61" s="84">
        <f t="shared" si="104"/>
        <v>0</v>
      </c>
      <c r="AA61" s="84">
        <f t="shared" si="104"/>
        <v>0</v>
      </c>
      <c r="AB61" s="84">
        <f t="shared" si="104"/>
        <v>0</v>
      </c>
      <c r="AC61" s="84">
        <f t="shared" si="104"/>
        <v>0</v>
      </c>
      <c r="AD61" s="84">
        <f t="shared" si="104"/>
        <v>0</v>
      </c>
      <c r="AE61" s="84">
        <f t="shared" si="104"/>
        <v>0</v>
      </c>
      <c r="AF61" s="84">
        <f t="shared" si="104"/>
        <v>0</v>
      </c>
      <c r="AG61" s="84">
        <f t="shared" si="104"/>
        <v>0</v>
      </c>
      <c r="AH61" s="84">
        <f t="shared" si="104"/>
        <v>0</v>
      </c>
      <c r="AI61" s="84">
        <f t="shared" si="104"/>
        <v>0</v>
      </c>
      <c r="AJ61" s="84">
        <f t="shared" ref="AJ61:BA61" si="105">AJ$6*IF(AJ31=0,NewBusCost,0)</f>
        <v>0</v>
      </c>
      <c r="AK61" s="84">
        <f t="shared" si="105"/>
        <v>0</v>
      </c>
      <c r="AL61" s="84">
        <f t="shared" si="105"/>
        <v>0</v>
      </c>
      <c r="AM61" s="84">
        <f t="shared" si="105"/>
        <v>0</v>
      </c>
      <c r="AN61" s="84">
        <f t="shared" si="105"/>
        <v>0</v>
      </c>
      <c r="AO61" s="84">
        <f t="shared" si="105"/>
        <v>0</v>
      </c>
      <c r="AP61" s="84">
        <f t="shared" si="105"/>
        <v>0</v>
      </c>
      <c r="AQ61" s="84">
        <f t="shared" si="105"/>
        <v>0</v>
      </c>
      <c r="AR61" s="84">
        <f t="shared" si="105"/>
        <v>0</v>
      </c>
      <c r="AS61" s="84">
        <f t="shared" si="105"/>
        <v>0</v>
      </c>
      <c r="AT61" s="84">
        <f t="shared" si="105"/>
        <v>0</v>
      </c>
      <c r="AU61" s="84">
        <f t="shared" si="105"/>
        <v>0</v>
      </c>
      <c r="AV61" s="84">
        <f t="shared" si="105"/>
        <v>0</v>
      </c>
      <c r="AW61" s="84">
        <f t="shared" si="105"/>
        <v>0</v>
      </c>
      <c r="AX61" s="84">
        <f t="shared" si="105"/>
        <v>0</v>
      </c>
      <c r="AY61" s="84">
        <f t="shared" si="105"/>
        <v>0</v>
      </c>
      <c r="AZ61" s="84">
        <f t="shared" si="105"/>
        <v>0</v>
      </c>
      <c r="BA61" s="84">
        <f t="shared" si="105"/>
        <v>0</v>
      </c>
      <c r="BB61" s="84"/>
      <c r="BC61" s="85">
        <f t="shared" si="61"/>
        <v>3970000</v>
      </c>
    </row>
    <row r="62" spans="1:55" x14ac:dyDescent="0.2">
      <c r="A62" s="52"/>
      <c r="B62" s="7"/>
      <c r="C62" s="7">
        <f t="shared" si="58"/>
        <v>24</v>
      </c>
      <c r="D62" s="84">
        <f t="shared" ref="D62:AI62" si="106">D$6*IF(D32=0,NewBusCost,0)</f>
        <v>0</v>
      </c>
      <c r="E62" s="84">
        <f t="shared" si="106"/>
        <v>0</v>
      </c>
      <c r="F62" s="84">
        <f t="shared" si="106"/>
        <v>0</v>
      </c>
      <c r="G62" s="84">
        <f t="shared" si="106"/>
        <v>0</v>
      </c>
      <c r="H62" s="84">
        <f t="shared" si="106"/>
        <v>0</v>
      </c>
      <c r="I62" s="84">
        <f t="shared" si="106"/>
        <v>15880000</v>
      </c>
      <c r="J62" s="84">
        <f t="shared" si="106"/>
        <v>23820000</v>
      </c>
      <c r="K62" s="84">
        <f t="shared" si="106"/>
        <v>0</v>
      </c>
      <c r="L62" s="84">
        <f t="shared" si="106"/>
        <v>0</v>
      </c>
      <c r="M62" s="84">
        <f t="shared" si="106"/>
        <v>0</v>
      </c>
      <c r="N62" s="84">
        <f t="shared" si="106"/>
        <v>0</v>
      </c>
      <c r="O62" s="84">
        <f t="shared" si="106"/>
        <v>23820000</v>
      </c>
      <c r="P62" s="84">
        <f t="shared" si="106"/>
        <v>0</v>
      </c>
      <c r="Q62" s="84">
        <f t="shared" si="106"/>
        <v>0</v>
      </c>
      <c r="R62" s="84">
        <f t="shared" si="106"/>
        <v>0</v>
      </c>
      <c r="S62" s="84">
        <f t="shared" si="106"/>
        <v>0</v>
      </c>
      <c r="T62" s="84">
        <f t="shared" si="106"/>
        <v>0</v>
      </c>
      <c r="U62" s="84">
        <f t="shared" si="106"/>
        <v>0</v>
      </c>
      <c r="V62" s="84">
        <f t="shared" si="106"/>
        <v>0</v>
      </c>
      <c r="W62" s="84">
        <f t="shared" si="106"/>
        <v>0</v>
      </c>
      <c r="X62" s="84">
        <f t="shared" si="106"/>
        <v>0</v>
      </c>
      <c r="Y62" s="84">
        <f t="shared" si="106"/>
        <v>0</v>
      </c>
      <c r="Z62" s="84">
        <f t="shared" si="106"/>
        <v>0</v>
      </c>
      <c r="AA62" s="84">
        <f t="shared" si="106"/>
        <v>0</v>
      </c>
      <c r="AB62" s="84">
        <f t="shared" si="106"/>
        <v>0</v>
      </c>
      <c r="AC62" s="84">
        <f t="shared" si="106"/>
        <v>0</v>
      </c>
      <c r="AD62" s="84">
        <f t="shared" si="106"/>
        <v>0</v>
      </c>
      <c r="AE62" s="84">
        <f t="shared" si="106"/>
        <v>0</v>
      </c>
      <c r="AF62" s="84">
        <f t="shared" si="106"/>
        <v>0</v>
      </c>
      <c r="AG62" s="84">
        <f t="shared" si="106"/>
        <v>0</v>
      </c>
      <c r="AH62" s="84">
        <f t="shared" si="106"/>
        <v>0</v>
      </c>
      <c r="AI62" s="84">
        <f t="shared" si="106"/>
        <v>0</v>
      </c>
      <c r="AJ62" s="84">
        <f t="shared" ref="AJ62:BA62" si="107">AJ$6*IF(AJ32=0,NewBusCost,0)</f>
        <v>0</v>
      </c>
      <c r="AK62" s="84">
        <f t="shared" si="107"/>
        <v>0</v>
      </c>
      <c r="AL62" s="84">
        <f t="shared" si="107"/>
        <v>0</v>
      </c>
      <c r="AM62" s="84">
        <f t="shared" si="107"/>
        <v>0</v>
      </c>
      <c r="AN62" s="84">
        <f t="shared" si="107"/>
        <v>0</v>
      </c>
      <c r="AO62" s="84">
        <f t="shared" si="107"/>
        <v>0</v>
      </c>
      <c r="AP62" s="84">
        <f t="shared" si="107"/>
        <v>0</v>
      </c>
      <c r="AQ62" s="84">
        <f t="shared" si="107"/>
        <v>0</v>
      </c>
      <c r="AR62" s="84">
        <f t="shared" si="107"/>
        <v>0</v>
      </c>
      <c r="AS62" s="84">
        <f t="shared" si="107"/>
        <v>0</v>
      </c>
      <c r="AT62" s="84">
        <f t="shared" si="107"/>
        <v>0</v>
      </c>
      <c r="AU62" s="84">
        <f t="shared" si="107"/>
        <v>0</v>
      </c>
      <c r="AV62" s="84">
        <f t="shared" si="107"/>
        <v>0</v>
      </c>
      <c r="AW62" s="84">
        <f t="shared" si="107"/>
        <v>0</v>
      </c>
      <c r="AX62" s="84">
        <f t="shared" si="107"/>
        <v>0</v>
      </c>
      <c r="AY62" s="84">
        <f t="shared" si="107"/>
        <v>0</v>
      </c>
      <c r="AZ62" s="84">
        <f t="shared" si="107"/>
        <v>0</v>
      </c>
      <c r="BA62" s="84">
        <f t="shared" si="107"/>
        <v>0</v>
      </c>
      <c r="BB62" s="84"/>
      <c r="BC62" s="85">
        <f t="shared" si="61"/>
        <v>63520000</v>
      </c>
    </row>
    <row r="63" spans="1:55" x14ac:dyDescent="0.2">
      <c r="A63" s="52"/>
      <c r="B63" s="7"/>
      <c r="C63" s="7">
        <f t="shared" si="58"/>
        <v>25</v>
      </c>
      <c r="D63" s="84">
        <f t="shared" ref="D63:AI63" si="108">D$6*IF(D33=0,NewBusCost,0)</f>
        <v>0</v>
      </c>
      <c r="E63" s="84">
        <f t="shared" si="108"/>
        <v>0</v>
      </c>
      <c r="F63" s="84">
        <f t="shared" si="108"/>
        <v>0</v>
      </c>
      <c r="G63" s="84">
        <f t="shared" si="108"/>
        <v>0</v>
      </c>
      <c r="H63" s="84">
        <f t="shared" si="108"/>
        <v>0</v>
      </c>
      <c r="I63" s="84">
        <f t="shared" si="108"/>
        <v>0</v>
      </c>
      <c r="J63" s="84">
        <f t="shared" si="108"/>
        <v>0</v>
      </c>
      <c r="K63" s="84">
        <f t="shared" si="108"/>
        <v>0</v>
      </c>
      <c r="L63" s="84">
        <f t="shared" si="108"/>
        <v>0</v>
      </c>
      <c r="M63" s="84">
        <f t="shared" si="108"/>
        <v>15483000</v>
      </c>
      <c r="N63" s="84">
        <f t="shared" si="108"/>
        <v>0</v>
      </c>
      <c r="O63" s="84">
        <f t="shared" si="108"/>
        <v>0</v>
      </c>
      <c r="P63" s="84">
        <f t="shared" si="108"/>
        <v>0</v>
      </c>
      <c r="Q63" s="84">
        <f t="shared" si="108"/>
        <v>0</v>
      </c>
      <c r="R63" s="84">
        <f t="shared" si="108"/>
        <v>0</v>
      </c>
      <c r="S63" s="84">
        <f t="shared" si="108"/>
        <v>0</v>
      </c>
      <c r="T63" s="84">
        <f t="shared" si="108"/>
        <v>0</v>
      </c>
      <c r="U63" s="84">
        <f t="shared" si="108"/>
        <v>0</v>
      </c>
      <c r="V63" s="84">
        <f t="shared" si="108"/>
        <v>0</v>
      </c>
      <c r="W63" s="84">
        <f t="shared" si="108"/>
        <v>0</v>
      </c>
      <c r="X63" s="84">
        <f t="shared" si="108"/>
        <v>0</v>
      </c>
      <c r="Y63" s="84">
        <f t="shared" si="108"/>
        <v>0</v>
      </c>
      <c r="Z63" s="84">
        <f t="shared" si="108"/>
        <v>0</v>
      </c>
      <c r="AA63" s="84">
        <f t="shared" si="108"/>
        <v>0</v>
      </c>
      <c r="AB63" s="84">
        <f t="shared" si="108"/>
        <v>0</v>
      </c>
      <c r="AC63" s="84">
        <f t="shared" si="108"/>
        <v>0</v>
      </c>
      <c r="AD63" s="84">
        <f t="shared" si="108"/>
        <v>0</v>
      </c>
      <c r="AE63" s="84">
        <f t="shared" si="108"/>
        <v>0</v>
      </c>
      <c r="AF63" s="84">
        <f t="shared" si="108"/>
        <v>0</v>
      </c>
      <c r="AG63" s="84">
        <f t="shared" si="108"/>
        <v>0</v>
      </c>
      <c r="AH63" s="84">
        <f t="shared" si="108"/>
        <v>0</v>
      </c>
      <c r="AI63" s="84">
        <f t="shared" si="108"/>
        <v>0</v>
      </c>
      <c r="AJ63" s="84">
        <f t="shared" ref="AJ63:BA63" si="109">AJ$6*IF(AJ33=0,NewBusCost,0)</f>
        <v>0</v>
      </c>
      <c r="AK63" s="84">
        <f t="shared" si="109"/>
        <v>0</v>
      </c>
      <c r="AL63" s="84">
        <f t="shared" si="109"/>
        <v>0</v>
      </c>
      <c r="AM63" s="84">
        <f t="shared" si="109"/>
        <v>0</v>
      </c>
      <c r="AN63" s="84">
        <f t="shared" si="109"/>
        <v>0</v>
      </c>
      <c r="AO63" s="84">
        <f t="shared" si="109"/>
        <v>0</v>
      </c>
      <c r="AP63" s="84">
        <f t="shared" si="109"/>
        <v>0</v>
      </c>
      <c r="AQ63" s="84">
        <f t="shared" si="109"/>
        <v>0</v>
      </c>
      <c r="AR63" s="84">
        <f t="shared" si="109"/>
        <v>0</v>
      </c>
      <c r="AS63" s="84">
        <f t="shared" si="109"/>
        <v>0</v>
      </c>
      <c r="AT63" s="84">
        <f t="shared" si="109"/>
        <v>0</v>
      </c>
      <c r="AU63" s="84">
        <f t="shared" si="109"/>
        <v>0</v>
      </c>
      <c r="AV63" s="84">
        <f t="shared" si="109"/>
        <v>0</v>
      </c>
      <c r="AW63" s="84">
        <f t="shared" si="109"/>
        <v>0</v>
      </c>
      <c r="AX63" s="84">
        <f t="shared" si="109"/>
        <v>0</v>
      </c>
      <c r="AY63" s="84">
        <f t="shared" si="109"/>
        <v>0</v>
      </c>
      <c r="AZ63" s="84">
        <f t="shared" si="109"/>
        <v>0</v>
      </c>
      <c r="BA63" s="84">
        <f t="shared" si="109"/>
        <v>0</v>
      </c>
      <c r="BB63" s="84"/>
      <c r="BC63" s="85">
        <f t="shared" si="61"/>
        <v>15483000</v>
      </c>
    </row>
    <row r="64" spans="1:55" x14ac:dyDescent="0.2">
      <c r="A64" s="52"/>
      <c r="B64" s="7"/>
      <c r="C64" s="7">
        <f t="shared" si="58"/>
        <v>26</v>
      </c>
      <c r="D64" s="84">
        <f t="shared" ref="D64:AI64" si="110">D$6*IF(D34=0,NewBusCost,0)</f>
        <v>35730000</v>
      </c>
      <c r="E64" s="84">
        <f t="shared" si="110"/>
        <v>0</v>
      </c>
      <c r="F64" s="84">
        <f t="shared" si="110"/>
        <v>0</v>
      </c>
      <c r="G64" s="84">
        <f t="shared" si="110"/>
        <v>0</v>
      </c>
      <c r="H64" s="84">
        <f t="shared" si="110"/>
        <v>0</v>
      </c>
      <c r="I64" s="84">
        <f t="shared" si="110"/>
        <v>0</v>
      </c>
      <c r="J64" s="84">
        <f t="shared" si="110"/>
        <v>0</v>
      </c>
      <c r="K64" s="84">
        <f t="shared" si="110"/>
        <v>0</v>
      </c>
      <c r="L64" s="84">
        <f t="shared" si="110"/>
        <v>0</v>
      </c>
      <c r="M64" s="84">
        <f t="shared" si="110"/>
        <v>0</v>
      </c>
      <c r="N64" s="84">
        <f t="shared" si="110"/>
        <v>2382000</v>
      </c>
      <c r="O64" s="84">
        <f t="shared" si="110"/>
        <v>0</v>
      </c>
      <c r="P64" s="84">
        <f t="shared" si="110"/>
        <v>0</v>
      </c>
      <c r="Q64" s="84">
        <f t="shared" si="110"/>
        <v>0</v>
      </c>
      <c r="R64" s="84">
        <f t="shared" si="110"/>
        <v>0</v>
      </c>
      <c r="S64" s="84">
        <f t="shared" si="110"/>
        <v>0</v>
      </c>
      <c r="T64" s="84">
        <f t="shared" si="110"/>
        <v>0</v>
      </c>
      <c r="U64" s="84">
        <f t="shared" si="110"/>
        <v>0</v>
      </c>
      <c r="V64" s="84">
        <f t="shared" si="110"/>
        <v>0</v>
      </c>
      <c r="W64" s="84">
        <f t="shared" si="110"/>
        <v>0</v>
      </c>
      <c r="X64" s="84">
        <f t="shared" si="110"/>
        <v>0</v>
      </c>
      <c r="Y64" s="84">
        <f t="shared" si="110"/>
        <v>0</v>
      </c>
      <c r="Z64" s="84">
        <f t="shared" si="110"/>
        <v>0</v>
      </c>
      <c r="AA64" s="84">
        <f t="shared" si="110"/>
        <v>0</v>
      </c>
      <c r="AB64" s="84">
        <f t="shared" si="110"/>
        <v>0</v>
      </c>
      <c r="AC64" s="84">
        <f t="shared" si="110"/>
        <v>0</v>
      </c>
      <c r="AD64" s="84">
        <f t="shared" si="110"/>
        <v>0</v>
      </c>
      <c r="AE64" s="84">
        <f t="shared" si="110"/>
        <v>0</v>
      </c>
      <c r="AF64" s="84">
        <f t="shared" si="110"/>
        <v>0</v>
      </c>
      <c r="AG64" s="84">
        <f t="shared" si="110"/>
        <v>0</v>
      </c>
      <c r="AH64" s="84">
        <f t="shared" si="110"/>
        <v>0</v>
      </c>
      <c r="AI64" s="84">
        <f t="shared" si="110"/>
        <v>0</v>
      </c>
      <c r="AJ64" s="84">
        <f t="shared" ref="AJ64:BA64" si="111">AJ$6*IF(AJ34=0,NewBusCost,0)</f>
        <v>0</v>
      </c>
      <c r="AK64" s="84">
        <f t="shared" si="111"/>
        <v>0</v>
      </c>
      <c r="AL64" s="84">
        <f t="shared" si="111"/>
        <v>0</v>
      </c>
      <c r="AM64" s="84">
        <f t="shared" si="111"/>
        <v>0</v>
      </c>
      <c r="AN64" s="84">
        <f t="shared" si="111"/>
        <v>0</v>
      </c>
      <c r="AO64" s="84">
        <f t="shared" si="111"/>
        <v>0</v>
      </c>
      <c r="AP64" s="84">
        <f t="shared" si="111"/>
        <v>0</v>
      </c>
      <c r="AQ64" s="84">
        <f t="shared" si="111"/>
        <v>0</v>
      </c>
      <c r="AR64" s="84">
        <f t="shared" si="111"/>
        <v>0</v>
      </c>
      <c r="AS64" s="84">
        <f t="shared" si="111"/>
        <v>0</v>
      </c>
      <c r="AT64" s="84">
        <f t="shared" si="111"/>
        <v>0</v>
      </c>
      <c r="AU64" s="84">
        <f t="shared" si="111"/>
        <v>0</v>
      </c>
      <c r="AV64" s="84">
        <f t="shared" si="111"/>
        <v>0</v>
      </c>
      <c r="AW64" s="84">
        <f t="shared" si="111"/>
        <v>0</v>
      </c>
      <c r="AX64" s="84">
        <f t="shared" si="111"/>
        <v>0</v>
      </c>
      <c r="AY64" s="84">
        <f t="shared" si="111"/>
        <v>0</v>
      </c>
      <c r="AZ64" s="84">
        <f t="shared" si="111"/>
        <v>0</v>
      </c>
      <c r="BA64" s="84">
        <f t="shared" si="111"/>
        <v>0</v>
      </c>
      <c r="BB64" s="84"/>
      <c r="BC64" s="85">
        <f t="shared" si="61"/>
        <v>38112000</v>
      </c>
    </row>
    <row r="65" spans="1:55" x14ac:dyDescent="0.2">
      <c r="A65" s="52"/>
      <c r="B65" s="7"/>
      <c r="C65" s="7">
        <f t="shared" si="58"/>
        <v>27</v>
      </c>
      <c r="D65" s="84">
        <f t="shared" ref="D65:AI65" si="112">D$6*IF(D35=0,NewBusCost,0)</f>
        <v>0</v>
      </c>
      <c r="E65" s="84">
        <f t="shared" si="112"/>
        <v>9925000</v>
      </c>
      <c r="F65" s="84">
        <f t="shared" si="112"/>
        <v>0</v>
      </c>
      <c r="G65" s="84">
        <f t="shared" si="112"/>
        <v>0</v>
      </c>
      <c r="H65" s="84">
        <f t="shared" si="112"/>
        <v>0</v>
      </c>
      <c r="I65" s="84">
        <f t="shared" si="112"/>
        <v>0</v>
      </c>
      <c r="J65" s="84">
        <f t="shared" si="112"/>
        <v>0</v>
      </c>
      <c r="K65" s="84">
        <f t="shared" si="112"/>
        <v>0</v>
      </c>
      <c r="L65" s="84">
        <f t="shared" si="112"/>
        <v>0</v>
      </c>
      <c r="M65" s="84">
        <f t="shared" si="112"/>
        <v>0</v>
      </c>
      <c r="N65" s="84">
        <f t="shared" si="112"/>
        <v>0</v>
      </c>
      <c r="O65" s="84">
        <f t="shared" si="112"/>
        <v>0</v>
      </c>
      <c r="P65" s="84">
        <f t="shared" si="112"/>
        <v>0</v>
      </c>
      <c r="Q65" s="84">
        <f t="shared" si="112"/>
        <v>0</v>
      </c>
      <c r="R65" s="84">
        <f t="shared" si="112"/>
        <v>0</v>
      </c>
      <c r="S65" s="84">
        <f t="shared" si="112"/>
        <v>0</v>
      </c>
      <c r="T65" s="84">
        <f t="shared" si="112"/>
        <v>0</v>
      </c>
      <c r="U65" s="84">
        <f t="shared" si="112"/>
        <v>0</v>
      </c>
      <c r="V65" s="84">
        <f t="shared" si="112"/>
        <v>0</v>
      </c>
      <c r="W65" s="84">
        <f t="shared" si="112"/>
        <v>0</v>
      </c>
      <c r="X65" s="84">
        <f t="shared" si="112"/>
        <v>0</v>
      </c>
      <c r="Y65" s="84">
        <f t="shared" si="112"/>
        <v>0</v>
      </c>
      <c r="Z65" s="84">
        <f t="shared" si="112"/>
        <v>0</v>
      </c>
      <c r="AA65" s="84">
        <f t="shared" si="112"/>
        <v>0</v>
      </c>
      <c r="AB65" s="84">
        <f t="shared" si="112"/>
        <v>0</v>
      </c>
      <c r="AC65" s="84">
        <f t="shared" si="112"/>
        <v>0</v>
      </c>
      <c r="AD65" s="84">
        <f t="shared" si="112"/>
        <v>0</v>
      </c>
      <c r="AE65" s="84">
        <f t="shared" si="112"/>
        <v>0</v>
      </c>
      <c r="AF65" s="84">
        <f t="shared" si="112"/>
        <v>0</v>
      </c>
      <c r="AG65" s="84">
        <f t="shared" si="112"/>
        <v>0</v>
      </c>
      <c r="AH65" s="84">
        <f t="shared" si="112"/>
        <v>0</v>
      </c>
      <c r="AI65" s="84">
        <f t="shared" si="112"/>
        <v>0</v>
      </c>
      <c r="AJ65" s="84">
        <f t="shared" ref="AJ65:BA65" si="113">AJ$6*IF(AJ35=0,NewBusCost,0)</f>
        <v>0</v>
      </c>
      <c r="AK65" s="84">
        <f t="shared" si="113"/>
        <v>0</v>
      </c>
      <c r="AL65" s="84">
        <f t="shared" si="113"/>
        <v>0</v>
      </c>
      <c r="AM65" s="84">
        <f t="shared" si="113"/>
        <v>0</v>
      </c>
      <c r="AN65" s="84">
        <f t="shared" si="113"/>
        <v>0</v>
      </c>
      <c r="AO65" s="84">
        <f t="shared" si="113"/>
        <v>0</v>
      </c>
      <c r="AP65" s="84">
        <f t="shared" si="113"/>
        <v>0</v>
      </c>
      <c r="AQ65" s="84">
        <f t="shared" si="113"/>
        <v>0</v>
      </c>
      <c r="AR65" s="84">
        <f t="shared" si="113"/>
        <v>0</v>
      </c>
      <c r="AS65" s="84">
        <f t="shared" si="113"/>
        <v>0</v>
      </c>
      <c r="AT65" s="84">
        <f t="shared" si="113"/>
        <v>0</v>
      </c>
      <c r="AU65" s="84">
        <f t="shared" si="113"/>
        <v>0</v>
      </c>
      <c r="AV65" s="84">
        <f t="shared" si="113"/>
        <v>0</v>
      </c>
      <c r="AW65" s="84">
        <f t="shared" si="113"/>
        <v>0</v>
      </c>
      <c r="AX65" s="84">
        <f t="shared" si="113"/>
        <v>0</v>
      </c>
      <c r="AY65" s="84">
        <f t="shared" si="113"/>
        <v>0</v>
      </c>
      <c r="AZ65" s="84">
        <f t="shared" si="113"/>
        <v>0</v>
      </c>
      <c r="BA65" s="84">
        <f t="shared" si="113"/>
        <v>0</v>
      </c>
      <c r="BB65" s="84"/>
      <c r="BC65" s="85">
        <f t="shared" si="61"/>
        <v>9925000</v>
      </c>
    </row>
    <row r="66" spans="1:55" x14ac:dyDescent="0.2">
      <c r="A66" s="52"/>
      <c r="B66" s="7"/>
      <c r="C66" s="7">
        <f t="shared" si="58"/>
        <v>28</v>
      </c>
      <c r="D66" s="84">
        <f t="shared" ref="D66:AI66" si="114">D$6*IF(D36=0,NewBusCost,0)</f>
        <v>0</v>
      </c>
      <c r="E66" s="84">
        <f t="shared" si="114"/>
        <v>0</v>
      </c>
      <c r="F66" s="84">
        <f t="shared" si="114"/>
        <v>0</v>
      </c>
      <c r="G66" s="84">
        <f t="shared" si="114"/>
        <v>0</v>
      </c>
      <c r="H66" s="84">
        <f t="shared" si="114"/>
        <v>0</v>
      </c>
      <c r="I66" s="84">
        <f t="shared" si="114"/>
        <v>0</v>
      </c>
      <c r="J66" s="84">
        <f t="shared" si="114"/>
        <v>0</v>
      </c>
      <c r="K66" s="84">
        <f t="shared" si="114"/>
        <v>0</v>
      </c>
      <c r="L66" s="84">
        <f t="shared" si="114"/>
        <v>0</v>
      </c>
      <c r="M66" s="84">
        <f t="shared" si="114"/>
        <v>0</v>
      </c>
      <c r="N66" s="84">
        <f t="shared" si="114"/>
        <v>0</v>
      </c>
      <c r="O66" s="84">
        <f t="shared" si="114"/>
        <v>0</v>
      </c>
      <c r="P66" s="84">
        <f t="shared" si="114"/>
        <v>0</v>
      </c>
      <c r="Q66" s="84">
        <f t="shared" si="114"/>
        <v>0</v>
      </c>
      <c r="R66" s="84">
        <f t="shared" si="114"/>
        <v>0</v>
      </c>
      <c r="S66" s="84">
        <f t="shared" si="114"/>
        <v>0</v>
      </c>
      <c r="T66" s="84">
        <f t="shared" si="114"/>
        <v>0</v>
      </c>
      <c r="U66" s="84">
        <f t="shared" si="114"/>
        <v>0</v>
      </c>
      <c r="V66" s="84">
        <f t="shared" si="114"/>
        <v>0</v>
      </c>
      <c r="W66" s="84">
        <f t="shared" si="114"/>
        <v>0</v>
      </c>
      <c r="X66" s="84">
        <f t="shared" si="114"/>
        <v>0</v>
      </c>
      <c r="Y66" s="84">
        <f t="shared" si="114"/>
        <v>0</v>
      </c>
      <c r="Z66" s="84">
        <f t="shared" si="114"/>
        <v>0</v>
      </c>
      <c r="AA66" s="84">
        <f t="shared" si="114"/>
        <v>0</v>
      </c>
      <c r="AB66" s="84">
        <f t="shared" si="114"/>
        <v>0</v>
      </c>
      <c r="AC66" s="84">
        <f t="shared" si="114"/>
        <v>0</v>
      </c>
      <c r="AD66" s="84">
        <f t="shared" si="114"/>
        <v>0</v>
      </c>
      <c r="AE66" s="84">
        <f t="shared" si="114"/>
        <v>0</v>
      </c>
      <c r="AF66" s="84">
        <f t="shared" si="114"/>
        <v>0</v>
      </c>
      <c r="AG66" s="84">
        <f t="shared" si="114"/>
        <v>0</v>
      </c>
      <c r="AH66" s="84">
        <f t="shared" si="114"/>
        <v>0</v>
      </c>
      <c r="AI66" s="84">
        <f t="shared" si="114"/>
        <v>0</v>
      </c>
      <c r="AJ66" s="84">
        <f t="shared" ref="AJ66:BA66" si="115">AJ$6*IF(AJ36=0,NewBusCost,0)</f>
        <v>0</v>
      </c>
      <c r="AK66" s="84">
        <f t="shared" si="115"/>
        <v>0</v>
      </c>
      <c r="AL66" s="84">
        <f t="shared" si="115"/>
        <v>0</v>
      </c>
      <c r="AM66" s="84">
        <f t="shared" si="115"/>
        <v>0</v>
      </c>
      <c r="AN66" s="84">
        <f t="shared" si="115"/>
        <v>0</v>
      </c>
      <c r="AO66" s="84">
        <f t="shared" si="115"/>
        <v>0</v>
      </c>
      <c r="AP66" s="84">
        <f t="shared" si="115"/>
        <v>0</v>
      </c>
      <c r="AQ66" s="84">
        <f t="shared" si="115"/>
        <v>0</v>
      </c>
      <c r="AR66" s="84">
        <f t="shared" si="115"/>
        <v>0</v>
      </c>
      <c r="AS66" s="84">
        <f t="shared" si="115"/>
        <v>0</v>
      </c>
      <c r="AT66" s="84">
        <f t="shared" si="115"/>
        <v>0</v>
      </c>
      <c r="AU66" s="84">
        <f t="shared" si="115"/>
        <v>0</v>
      </c>
      <c r="AV66" s="84">
        <f t="shared" si="115"/>
        <v>0</v>
      </c>
      <c r="AW66" s="84">
        <f t="shared" si="115"/>
        <v>0</v>
      </c>
      <c r="AX66" s="84">
        <f t="shared" si="115"/>
        <v>0</v>
      </c>
      <c r="AY66" s="84">
        <f t="shared" si="115"/>
        <v>0</v>
      </c>
      <c r="AZ66" s="84">
        <f t="shared" si="115"/>
        <v>0</v>
      </c>
      <c r="BA66" s="84">
        <f t="shared" si="115"/>
        <v>0</v>
      </c>
      <c r="BB66" s="84"/>
      <c r="BC66" s="85">
        <f t="shared" si="61"/>
        <v>0</v>
      </c>
    </row>
    <row r="67" spans="1:55" x14ac:dyDescent="0.2">
      <c r="A67" s="52"/>
      <c r="B67" s="7"/>
      <c r="C67" s="7">
        <f t="shared" si="58"/>
        <v>29</v>
      </c>
      <c r="D67" s="84">
        <f t="shared" ref="D67:AI67" si="116">D$6*IF(D37=0,NewBusCost,0)</f>
        <v>0</v>
      </c>
      <c r="E67" s="84">
        <f t="shared" si="116"/>
        <v>0</v>
      </c>
      <c r="F67" s="84">
        <f t="shared" si="116"/>
        <v>0</v>
      </c>
      <c r="G67" s="84">
        <f t="shared" si="116"/>
        <v>0</v>
      </c>
      <c r="H67" s="84">
        <f t="shared" si="116"/>
        <v>0</v>
      </c>
      <c r="I67" s="84">
        <f t="shared" si="116"/>
        <v>0</v>
      </c>
      <c r="J67" s="84">
        <f t="shared" si="116"/>
        <v>0</v>
      </c>
      <c r="K67" s="84">
        <f t="shared" si="116"/>
        <v>0</v>
      </c>
      <c r="L67" s="84">
        <f t="shared" si="116"/>
        <v>0</v>
      </c>
      <c r="M67" s="84">
        <f t="shared" si="116"/>
        <v>0</v>
      </c>
      <c r="N67" s="84">
        <f t="shared" si="116"/>
        <v>0</v>
      </c>
      <c r="O67" s="84">
        <f t="shared" si="116"/>
        <v>0</v>
      </c>
      <c r="P67" s="84">
        <f t="shared" si="116"/>
        <v>0</v>
      </c>
      <c r="Q67" s="84">
        <f t="shared" si="116"/>
        <v>0</v>
      </c>
      <c r="R67" s="84">
        <f t="shared" si="116"/>
        <v>0</v>
      </c>
      <c r="S67" s="84">
        <f t="shared" si="116"/>
        <v>0</v>
      </c>
      <c r="T67" s="84">
        <f t="shared" si="116"/>
        <v>0</v>
      </c>
      <c r="U67" s="84">
        <f t="shared" si="116"/>
        <v>0</v>
      </c>
      <c r="V67" s="84">
        <f t="shared" si="116"/>
        <v>0</v>
      </c>
      <c r="W67" s="84">
        <f t="shared" si="116"/>
        <v>0</v>
      </c>
      <c r="X67" s="84">
        <f t="shared" si="116"/>
        <v>0</v>
      </c>
      <c r="Y67" s="84">
        <f t="shared" si="116"/>
        <v>0</v>
      </c>
      <c r="Z67" s="84">
        <f t="shared" si="116"/>
        <v>0</v>
      </c>
      <c r="AA67" s="84">
        <f t="shared" si="116"/>
        <v>0</v>
      </c>
      <c r="AB67" s="84">
        <f t="shared" si="116"/>
        <v>0</v>
      </c>
      <c r="AC67" s="84">
        <f t="shared" si="116"/>
        <v>0</v>
      </c>
      <c r="AD67" s="84">
        <f t="shared" si="116"/>
        <v>0</v>
      </c>
      <c r="AE67" s="84">
        <f t="shared" si="116"/>
        <v>0</v>
      </c>
      <c r="AF67" s="84">
        <f t="shared" si="116"/>
        <v>0</v>
      </c>
      <c r="AG67" s="84">
        <f t="shared" si="116"/>
        <v>0</v>
      </c>
      <c r="AH67" s="84">
        <f t="shared" si="116"/>
        <v>0</v>
      </c>
      <c r="AI67" s="84">
        <f t="shared" si="116"/>
        <v>0</v>
      </c>
      <c r="AJ67" s="84">
        <f t="shared" ref="AJ67:BA67" si="117">AJ$6*IF(AJ37=0,NewBusCost,0)</f>
        <v>0</v>
      </c>
      <c r="AK67" s="84">
        <f t="shared" si="117"/>
        <v>0</v>
      </c>
      <c r="AL67" s="84">
        <f t="shared" si="117"/>
        <v>0</v>
      </c>
      <c r="AM67" s="84">
        <f t="shared" si="117"/>
        <v>0</v>
      </c>
      <c r="AN67" s="84">
        <f t="shared" si="117"/>
        <v>0</v>
      </c>
      <c r="AO67" s="84">
        <f t="shared" si="117"/>
        <v>0</v>
      </c>
      <c r="AP67" s="84">
        <f t="shared" si="117"/>
        <v>0</v>
      </c>
      <c r="AQ67" s="84">
        <f t="shared" si="117"/>
        <v>0</v>
      </c>
      <c r="AR67" s="84">
        <f t="shared" si="117"/>
        <v>0</v>
      </c>
      <c r="AS67" s="84">
        <f t="shared" si="117"/>
        <v>0</v>
      </c>
      <c r="AT67" s="84">
        <f t="shared" si="117"/>
        <v>0</v>
      </c>
      <c r="AU67" s="84">
        <f t="shared" si="117"/>
        <v>0</v>
      </c>
      <c r="AV67" s="84">
        <f t="shared" si="117"/>
        <v>0</v>
      </c>
      <c r="AW67" s="84">
        <f t="shared" si="117"/>
        <v>0</v>
      </c>
      <c r="AX67" s="84">
        <f t="shared" si="117"/>
        <v>0</v>
      </c>
      <c r="AY67" s="84">
        <f t="shared" si="117"/>
        <v>0</v>
      </c>
      <c r="AZ67" s="84">
        <f t="shared" si="117"/>
        <v>0</v>
      </c>
      <c r="BA67" s="84">
        <f t="shared" si="117"/>
        <v>0</v>
      </c>
      <c r="BB67" s="84"/>
      <c r="BC67" s="85">
        <f t="shared" si="61"/>
        <v>0</v>
      </c>
    </row>
    <row r="68" spans="1:55" x14ac:dyDescent="0.2">
      <c r="A68" s="88"/>
      <c r="B68" s="67"/>
      <c r="C68" s="67">
        <f t="shared" si="58"/>
        <v>30</v>
      </c>
      <c r="D68" s="89">
        <f t="shared" ref="D68:AI68" si="118">D$6*IF(D38=0,NewBusCost,0)</f>
        <v>0</v>
      </c>
      <c r="E68" s="89">
        <f t="shared" si="118"/>
        <v>0</v>
      </c>
      <c r="F68" s="89">
        <f t="shared" si="118"/>
        <v>0</v>
      </c>
      <c r="G68" s="89">
        <f t="shared" si="118"/>
        <v>0</v>
      </c>
      <c r="H68" s="89">
        <f t="shared" si="118"/>
        <v>0</v>
      </c>
      <c r="I68" s="89">
        <f t="shared" si="118"/>
        <v>0</v>
      </c>
      <c r="J68" s="89">
        <f t="shared" si="118"/>
        <v>0</v>
      </c>
      <c r="K68" s="89">
        <f t="shared" si="118"/>
        <v>0</v>
      </c>
      <c r="L68" s="89">
        <f t="shared" si="118"/>
        <v>0</v>
      </c>
      <c r="M68" s="89">
        <f t="shared" si="118"/>
        <v>0</v>
      </c>
      <c r="N68" s="89">
        <f t="shared" si="118"/>
        <v>0</v>
      </c>
      <c r="O68" s="89">
        <f t="shared" si="118"/>
        <v>0</v>
      </c>
      <c r="P68" s="89">
        <f t="shared" si="118"/>
        <v>10322000</v>
      </c>
      <c r="Q68" s="89">
        <f t="shared" si="118"/>
        <v>21438000</v>
      </c>
      <c r="R68" s="89">
        <f t="shared" si="118"/>
        <v>0</v>
      </c>
      <c r="S68" s="89">
        <f t="shared" si="118"/>
        <v>0</v>
      </c>
      <c r="T68" s="89">
        <f t="shared" si="118"/>
        <v>0</v>
      </c>
      <c r="U68" s="89">
        <f t="shared" si="118"/>
        <v>0</v>
      </c>
      <c r="V68" s="89">
        <f t="shared" si="118"/>
        <v>0</v>
      </c>
      <c r="W68" s="89">
        <f t="shared" si="118"/>
        <v>0</v>
      </c>
      <c r="X68" s="89">
        <f t="shared" si="118"/>
        <v>0</v>
      </c>
      <c r="Y68" s="89">
        <f t="shared" si="118"/>
        <v>0</v>
      </c>
      <c r="Z68" s="89">
        <f t="shared" si="118"/>
        <v>0</v>
      </c>
      <c r="AA68" s="89">
        <f t="shared" si="118"/>
        <v>0</v>
      </c>
      <c r="AB68" s="89">
        <f t="shared" si="118"/>
        <v>0</v>
      </c>
      <c r="AC68" s="89">
        <f t="shared" si="118"/>
        <v>0</v>
      </c>
      <c r="AD68" s="89">
        <f t="shared" si="118"/>
        <v>0</v>
      </c>
      <c r="AE68" s="89">
        <f t="shared" si="118"/>
        <v>0</v>
      </c>
      <c r="AF68" s="89">
        <f t="shared" si="118"/>
        <v>0</v>
      </c>
      <c r="AG68" s="89">
        <f t="shared" si="118"/>
        <v>0</v>
      </c>
      <c r="AH68" s="89">
        <f t="shared" si="118"/>
        <v>0</v>
      </c>
      <c r="AI68" s="89">
        <f t="shared" si="118"/>
        <v>0</v>
      </c>
      <c r="AJ68" s="89">
        <f t="shared" ref="AJ68:BA68" si="119">AJ$6*IF(AJ38=0,NewBusCost,0)</f>
        <v>0</v>
      </c>
      <c r="AK68" s="89">
        <f t="shared" si="119"/>
        <v>0</v>
      </c>
      <c r="AL68" s="89">
        <f t="shared" si="119"/>
        <v>0</v>
      </c>
      <c r="AM68" s="89">
        <f t="shared" si="119"/>
        <v>0</v>
      </c>
      <c r="AN68" s="89">
        <f t="shared" si="119"/>
        <v>0</v>
      </c>
      <c r="AO68" s="89">
        <f t="shared" si="119"/>
        <v>0</v>
      </c>
      <c r="AP68" s="89">
        <f t="shared" si="119"/>
        <v>0</v>
      </c>
      <c r="AQ68" s="89">
        <f t="shared" si="119"/>
        <v>0</v>
      </c>
      <c r="AR68" s="89">
        <f t="shared" si="119"/>
        <v>0</v>
      </c>
      <c r="AS68" s="89">
        <f t="shared" si="119"/>
        <v>0</v>
      </c>
      <c r="AT68" s="89">
        <f t="shared" si="119"/>
        <v>0</v>
      </c>
      <c r="AU68" s="89">
        <f t="shared" si="119"/>
        <v>0</v>
      </c>
      <c r="AV68" s="89">
        <f t="shared" si="119"/>
        <v>0</v>
      </c>
      <c r="AW68" s="89">
        <f t="shared" si="119"/>
        <v>0</v>
      </c>
      <c r="AX68" s="89">
        <f t="shared" si="119"/>
        <v>0</v>
      </c>
      <c r="AY68" s="89">
        <f t="shared" si="119"/>
        <v>0</v>
      </c>
      <c r="AZ68" s="89">
        <f t="shared" si="119"/>
        <v>0</v>
      </c>
      <c r="BA68" s="89">
        <f t="shared" si="119"/>
        <v>0</v>
      </c>
      <c r="BB68" s="89"/>
      <c r="BC68" s="90">
        <f t="shared" si="61"/>
        <v>31760000</v>
      </c>
    </row>
    <row r="69" spans="1:55" x14ac:dyDescent="0.2">
      <c r="A69" s="52" t="s">
        <v>16</v>
      </c>
      <c r="B69" s="7"/>
      <c r="C69" s="7">
        <f t="shared" si="58"/>
        <v>1</v>
      </c>
      <c r="D69" s="84">
        <f t="shared" ref="D69:AI69" si="120">D$6*VLOOKUP(D9,RehabArray,3)*AnnMiles</f>
        <v>2043870.3779499591</v>
      </c>
      <c r="E69" s="84">
        <f t="shared" si="120"/>
        <v>555255.03002337657</v>
      </c>
      <c r="F69" s="84">
        <f t="shared" si="120"/>
        <v>2829823.7511455119</v>
      </c>
      <c r="G69" s="84">
        <f t="shared" si="120"/>
        <v>583548.80035756808</v>
      </c>
      <c r="H69" s="84">
        <f t="shared" si="120"/>
        <v>3774286.2698083082</v>
      </c>
      <c r="I69" s="84">
        <f t="shared" si="120"/>
        <v>928976.0537476039</v>
      </c>
      <c r="J69" s="84">
        <f t="shared" si="120"/>
        <v>1393464.0806214057</v>
      </c>
      <c r="K69" s="84">
        <f t="shared" si="120"/>
        <v>3851422.0823599487</v>
      </c>
      <c r="L69" s="84">
        <f t="shared" si="120"/>
        <v>232244.01343690098</v>
      </c>
      <c r="M69" s="84">
        <f t="shared" si="120"/>
        <v>894983.69752209482</v>
      </c>
      <c r="N69" s="84">
        <f t="shared" si="120"/>
        <v>136258.02519666395</v>
      </c>
      <c r="O69" s="84">
        <f t="shared" si="120"/>
        <v>1385943.6378872273</v>
      </c>
      <c r="P69" s="84">
        <f t="shared" si="120"/>
        <v>343558.7040958188</v>
      </c>
      <c r="Q69" s="84">
        <f t="shared" si="120"/>
        <v>713545.00081439281</v>
      </c>
      <c r="R69" s="84">
        <f t="shared" si="120"/>
        <v>0</v>
      </c>
      <c r="S69" s="84">
        <f t="shared" si="120"/>
        <v>0</v>
      </c>
      <c r="T69" s="84">
        <f t="shared" si="120"/>
        <v>0</v>
      </c>
      <c r="U69" s="84">
        <f t="shared" si="120"/>
        <v>0</v>
      </c>
      <c r="V69" s="84">
        <f t="shared" si="120"/>
        <v>0</v>
      </c>
      <c r="W69" s="84">
        <f t="shared" si="120"/>
        <v>0</v>
      </c>
      <c r="X69" s="84">
        <f t="shared" si="120"/>
        <v>0</v>
      </c>
      <c r="Y69" s="84">
        <f t="shared" si="120"/>
        <v>0</v>
      </c>
      <c r="Z69" s="84">
        <f t="shared" si="120"/>
        <v>0</v>
      </c>
      <c r="AA69" s="84">
        <f t="shared" si="120"/>
        <v>0</v>
      </c>
      <c r="AB69" s="84">
        <f t="shared" si="120"/>
        <v>0</v>
      </c>
      <c r="AC69" s="84">
        <f t="shared" si="120"/>
        <v>0</v>
      </c>
      <c r="AD69" s="84">
        <f t="shared" si="120"/>
        <v>0</v>
      </c>
      <c r="AE69" s="84">
        <f t="shared" si="120"/>
        <v>0</v>
      </c>
      <c r="AF69" s="84">
        <f t="shared" si="120"/>
        <v>0</v>
      </c>
      <c r="AG69" s="84">
        <f t="shared" si="120"/>
        <v>0</v>
      </c>
      <c r="AH69" s="84">
        <f t="shared" si="120"/>
        <v>0</v>
      </c>
      <c r="AI69" s="84">
        <f t="shared" si="120"/>
        <v>0</v>
      </c>
      <c r="AJ69" s="84">
        <f t="shared" ref="AJ69:BA69" si="121">AJ$6*VLOOKUP(AJ9,RehabArray,3)*AnnMiles</f>
        <v>0</v>
      </c>
      <c r="AK69" s="84">
        <f t="shared" si="121"/>
        <v>0</v>
      </c>
      <c r="AL69" s="84">
        <f t="shared" si="121"/>
        <v>0</v>
      </c>
      <c r="AM69" s="84">
        <f t="shared" si="121"/>
        <v>0</v>
      </c>
      <c r="AN69" s="84">
        <f t="shared" si="121"/>
        <v>0</v>
      </c>
      <c r="AO69" s="84">
        <f t="shared" si="121"/>
        <v>0</v>
      </c>
      <c r="AP69" s="84">
        <f t="shared" si="121"/>
        <v>0</v>
      </c>
      <c r="AQ69" s="84">
        <f t="shared" si="121"/>
        <v>0</v>
      </c>
      <c r="AR69" s="84">
        <f t="shared" si="121"/>
        <v>0</v>
      </c>
      <c r="AS69" s="84">
        <f t="shared" si="121"/>
        <v>0</v>
      </c>
      <c r="AT69" s="84">
        <f t="shared" si="121"/>
        <v>0</v>
      </c>
      <c r="AU69" s="84">
        <f t="shared" si="121"/>
        <v>0</v>
      </c>
      <c r="AV69" s="84">
        <f t="shared" si="121"/>
        <v>0</v>
      </c>
      <c r="AW69" s="84">
        <f t="shared" si="121"/>
        <v>0</v>
      </c>
      <c r="AX69" s="84">
        <f t="shared" si="121"/>
        <v>0</v>
      </c>
      <c r="AY69" s="84">
        <f t="shared" si="121"/>
        <v>0</v>
      </c>
      <c r="AZ69" s="84">
        <f t="shared" si="121"/>
        <v>0</v>
      </c>
      <c r="BA69" s="84">
        <f t="shared" si="121"/>
        <v>0</v>
      </c>
      <c r="BB69" s="84"/>
      <c r="BC69" s="90">
        <f t="shared" si="61"/>
        <v>19667179.524966784</v>
      </c>
    </row>
    <row r="70" spans="1:55" x14ac:dyDescent="0.2">
      <c r="A70" s="52"/>
      <c r="B70" s="7"/>
      <c r="C70" s="7">
        <f t="shared" ref="C70:C98" si="122">+C40</f>
        <v>2</v>
      </c>
      <c r="D70" s="84">
        <f t="shared" ref="D70:AI70" si="123">D$6*VLOOKUP(D10,RehabArray,3)*AnnMiles</f>
        <v>2065346.9942817574</v>
      </c>
      <c r="E70" s="84">
        <f t="shared" si="123"/>
        <v>567741.77165276639</v>
      </c>
      <c r="F70" s="84">
        <f t="shared" si="123"/>
        <v>2868133.4354309221</v>
      </c>
      <c r="G70" s="84">
        <f t="shared" si="123"/>
        <v>586473.44645969383</v>
      </c>
      <c r="H70" s="84">
        <f t="shared" si="123"/>
        <v>3805239.7157904054</v>
      </c>
      <c r="I70" s="84">
        <f t="shared" si="123"/>
        <v>933678.08057210885</v>
      </c>
      <c r="J70" s="84">
        <f t="shared" si="123"/>
        <v>1400517.1208581631</v>
      </c>
      <c r="K70" s="84">
        <f t="shared" si="123"/>
        <v>3870724.746633979</v>
      </c>
      <c r="L70" s="84">
        <f t="shared" si="123"/>
        <v>233419.52014302721</v>
      </c>
      <c r="M70" s="84">
        <f t="shared" si="123"/>
        <v>900863.36462669785</v>
      </c>
      <c r="N70" s="84">
        <f t="shared" si="123"/>
        <v>137689.79961878381</v>
      </c>
      <c r="O70" s="84">
        <f t="shared" si="123"/>
        <v>1393464.0806214057</v>
      </c>
      <c r="P70" s="84">
        <f t="shared" si="123"/>
        <v>479584.30167541065</v>
      </c>
      <c r="Q70" s="84">
        <f t="shared" si="123"/>
        <v>996059.70347969909</v>
      </c>
      <c r="R70" s="84">
        <f t="shared" si="123"/>
        <v>0</v>
      </c>
      <c r="S70" s="84">
        <f t="shared" si="123"/>
        <v>0</v>
      </c>
      <c r="T70" s="84">
        <f t="shared" si="123"/>
        <v>0</v>
      </c>
      <c r="U70" s="84">
        <f t="shared" si="123"/>
        <v>0</v>
      </c>
      <c r="V70" s="84">
        <f t="shared" si="123"/>
        <v>0</v>
      </c>
      <c r="W70" s="84">
        <f t="shared" si="123"/>
        <v>0</v>
      </c>
      <c r="X70" s="84">
        <f t="shared" si="123"/>
        <v>0</v>
      </c>
      <c r="Y70" s="84">
        <f t="shared" si="123"/>
        <v>0</v>
      </c>
      <c r="Z70" s="84">
        <f t="shared" si="123"/>
        <v>0</v>
      </c>
      <c r="AA70" s="84">
        <f t="shared" si="123"/>
        <v>0</v>
      </c>
      <c r="AB70" s="84">
        <f t="shared" si="123"/>
        <v>0</v>
      </c>
      <c r="AC70" s="84">
        <f t="shared" si="123"/>
        <v>0</v>
      </c>
      <c r="AD70" s="84">
        <f t="shared" si="123"/>
        <v>0</v>
      </c>
      <c r="AE70" s="84">
        <f t="shared" si="123"/>
        <v>0</v>
      </c>
      <c r="AF70" s="84">
        <f t="shared" si="123"/>
        <v>0</v>
      </c>
      <c r="AG70" s="84">
        <f t="shared" si="123"/>
        <v>0</v>
      </c>
      <c r="AH70" s="84">
        <f t="shared" si="123"/>
        <v>0</v>
      </c>
      <c r="AI70" s="84">
        <f t="shared" si="123"/>
        <v>0</v>
      </c>
      <c r="AJ70" s="84">
        <f t="shared" ref="AJ70:BA70" si="124">AJ$6*VLOOKUP(AJ10,RehabArray,3)*AnnMiles</f>
        <v>0</v>
      </c>
      <c r="AK70" s="84">
        <f t="shared" si="124"/>
        <v>0</v>
      </c>
      <c r="AL70" s="84">
        <f t="shared" si="124"/>
        <v>0</v>
      </c>
      <c r="AM70" s="84">
        <f t="shared" si="124"/>
        <v>0</v>
      </c>
      <c r="AN70" s="84">
        <f t="shared" si="124"/>
        <v>0</v>
      </c>
      <c r="AO70" s="84">
        <f t="shared" si="124"/>
        <v>0</v>
      </c>
      <c r="AP70" s="84">
        <f t="shared" si="124"/>
        <v>0</v>
      </c>
      <c r="AQ70" s="84">
        <f t="shared" si="124"/>
        <v>0</v>
      </c>
      <c r="AR70" s="84">
        <f t="shared" si="124"/>
        <v>0</v>
      </c>
      <c r="AS70" s="84">
        <f t="shared" si="124"/>
        <v>0</v>
      </c>
      <c r="AT70" s="84">
        <f t="shared" si="124"/>
        <v>0</v>
      </c>
      <c r="AU70" s="84">
        <f t="shared" si="124"/>
        <v>0</v>
      </c>
      <c r="AV70" s="84">
        <f t="shared" si="124"/>
        <v>0</v>
      </c>
      <c r="AW70" s="84">
        <f t="shared" si="124"/>
        <v>0</v>
      </c>
      <c r="AX70" s="84">
        <f t="shared" si="124"/>
        <v>0</v>
      </c>
      <c r="AY70" s="84">
        <f t="shared" si="124"/>
        <v>0</v>
      </c>
      <c r="AZ70" s="84">
        <f t="shared" si="124"/>
        <v>0</v>
      </c>
      <c r="BA70" s="84">
        <f t="shared" si="124"/>
        <v>0</v>
      </c>
      <c r="BB70" s="84"/>
      <c r="BC70" s="90">
        <f t="shared" si="61"/>
        <v>20238936.081844818</v>
      </c>
    </row>
    <row r="71" spans="1:55" x14ac:dyDescent="0.2">
      <c r="A71" s="52"/>
      <c r="B71" s="7"/>
      <c r="C71" s="7">
        <f t="shared" si="122"/>
        <v>3</v>
      </c>
      <c r="D71" s="84">
        <f t="shared" ref="D71:AI71" si="125">D$6*VLOOKUP(D11,RehabArray,3)*AnnMiles</f>
        <v>2078915.456830841</v>
      </c>
      <c r="E71" s="84">
        <f t="shared" si="125"/>
        <v>573707.49841159931</v>
      </c>
      <c r="F71" s="84">
        <f t="shared" si="125"/>
        <v>658412.72794168955</v>
      </c>
      <c r="G71" s="84">
        <f t="shared" si="125"/>
        <v>589643.12716513814</v>
      </c>
      <c r="H71" s="84">
        <f t="shared" si="125"/>
        <v>3845657.918223388</v>
      </c>
      <c r="I71" s="84">
        <f t="shared" si="125"/>
        <v>938357.5143355102</v>
      </c>
      <c r="J71" s="84">
        <f t="shared" si="125"/>
        <v>1407536.2715032652</v>
      </c>
      <c r="K71" s="84">
        <f t="shared" si="125"/>
        <v>3891644.6392899123</v>
      </c>
      <c r="L71" s="84">
        <f t="shared" si="125"/>
        <v>234589.37858387755</v>
      </c>
      <c r="M71" s="84">
        <f t="shared" si="125"/>
        <v>905751.65240391379</v>
      </c>
      <c r="N71" s="84">
        <f t="shared" si="125"/>
        <v>138594.36378872275</v>
      </c>
      <c r="O71" s="84">
        <f t="shared" si="125"/>
        <v>1400517.1208581631</v>
      </c>
      <c r="P71" s="84">
        <f t="shared" si="125"/>
        <v>547384.353250177</v>
      </c>
      <c r="Q71" s="84">
        <f t="shared" si="125"/>
        <v>1136875.195211906</v>
      </c>
      <c r="R71" s="84">
        <f t="shared" si="125"/>
        <v>0</v>
      </c>
      <c r="S71" s="84">
        <f t="shared" si="125"/>
        <v>0</v>
      </c>
      <c r="T71" s="84">
        <f t="shared" si="125"/>
        <v>0</v>
      </c>
      <c r="U71" s="84">
        <f t="shared" si="125"/>
        <v>0</v>
      </c>
      <c r="V71" s="84">
        <f t="shared" si="125"/>
        <v>0</v>
      </c>
      <c r="W71" s="84">
        <f t="shared" si="125"/>
        <v>0</v>
      </c>
      <c r="X71" s="84">
        <f t="shared" si="125"/>
        <v>0</v>
      </c>
      <c r="Y71" s="84">
        <f t="shared" si="125"/>
        <v>0</v>
      </c>
      <c r="Z71" s="84">
        <f t="shared" si="125"/>
        <v>0</v>
      </c>
      <c r="AA71" s="84">
        <f t="shared" si="125"/>
        <v>0</v>
      </c>
      <c r="AB71" s="84">
        <f t="shared" si="125"/>
        <v>0</v>
      </c>
      <c r="AC71" s="84">
        <f t="shared" si="125"/>
        <v>0</v>
      </c>
      <c r="AD71" s="84">
        <f t="shared" si="125"/>
        <v>0</v>
      </c>
      <c r="AE71" s="84">
        <f t="shared" si="125"/>
        <v>0</v>
      </c>
      <c r="AF71" s="84">
        <f t="shared" si="125"/>
        <v>0</v>
      </c>
      <c r="AG71" s="84">
        <f t="shared" si="125"/>
        <v>0</v>
      </c>
      <c r="AH71" s="84">
        <f t="shared" si="125"/>
        <v>0</v>
      </c>
      <c r="AI71" s="84">
        <f t="shared" si="125"/>
        <v>0</v>
      </c>
      <c r="AJ71" s="84">
        <f t="shared" ref="AJ71:BA71" si="126">AJ$6*VLOOKUP(AJ11,RehabArray,3)*AnnMiles</f>
        <v>0</v>
      </c>
      <c r="AK71" s="84">
        <f t="shared" si="126"/>
        <v>0</v>
      </c>
      <c r="AL71" s="84">
        <f t="shared" si="126"/>
        <v>0</v>
      </c>
      <c r="AM71" s="84">
        <f t="shared" si="126"/>
        <v>0</v>
      </c>
      <c r="AN71" s="84">
        <f t="shared" si="126"/>
        <v>0</v>
      </c>
      <c r="AO71" s="84">
        <f t="shared" si="126"/>
        <v>0</v>
      </c>
      <c r="AP71" s="84">
        <f t="shared" si="126"/>
        <v>0</v>
      </c>
      <c r="AQ71" s="84">
        <f t="shared" si="126"/>
        <v>0</v>
      </c>
      <c r="AR71" s="84">
        <f t="shared" si="126"/>
        <v>0</v>
      </c>
      <c r="AS71" s="84">
        <f t="shared" si="126"/>
        <v>0</v>
      </c>
      <c r="AT71" s="84">
        <f t="shared" si="126"/>
        <v>0</v>
      </c>
      <c r="AU71" s="84">
        <f t="shared" si="126"/>
        <v>0</v>
      </c>
      <c r="AV71" s="84">
        <f t="shared" si="126"/>
        <v>0</v>
      </c>
      <c r="AW71" s="84">
        <f t="shared" si="126"/>
        <v>0</v>
      </c>
      <c r="AX71" s="84">
        <f t="shared" si="126"/>
        <v>0</v>
      </c>
      <c r="AY71" s="84">
        <f t="shared" si="126"/>
        <v>0</v>
      </c>
      <c r="AZ71" s="84">
        <f t="shared" si="126"/>
        <v>0</v>
      </c>
      <c r="BA71" s="84">
        <f t="shared" si="126"/>
        <v>0</v>
      </c>
      <c r="BB71" s="84"/>
      <c r="BC71" s="90">
        <f t="shared" si="61"/>
        <v>18347587.217798103</v>
      </c>
    </row>
    <row r="72" spans="1:55" x14ac:dyDescent="0.2">
      <c r="A72" s="52"/>
      <c r="B72" s="7"/>
      <c r="C72" s="7">
        <f t="shared" si="122"/>
        <v>4</v>
      </c>
      <c r="D72" s="84">
        <f t="shared" ref="D72:AI72" si="127">D$6*VLOOKUP(D12,RehabArray,3)*AnnMiles</f>
        <v>2090196.1209321087</v>
      </c>
      <c r="E72" s="84">
        <f t="shared" si="127"/>
        <v>577476.51578634465</v>
      </c>
      <c r="F72" s="84">
        <f t="shared" si="127"/>
        <v>1546014.1684311845</v>
      </c>
      <c r="G72" s="84">
        <f t="shared" si="127"/>
        <v>593441.23739124334</v>
      </c>
      <c r="H72" s="84">
        <f t="shared" si="127"/>
        <v>894766.01489511644</v>
      </c>
      <c r="I72" s="84">
        <f t="shared" si="127"/>
        <v>943429.00346422114</v>
      </c>
      <c r="J72" s="84">
        <f t="shared" si="127"/>
        <v>1415143.5051963318</v>
      </c>
      <c r="K72" s="84">
        <f t="shared" si="127"/>
        <v>3916712.1667822064</v>
      </c>
      <c r="L72" s="84">
        <f t="shared" si="127"/>
        <v>235857.25086605528</v>
      </c>
      <c r="M72" s="84">
        <f t="shared" si="127"/>
        <v>910336.12855780602</v>
      </c>
      <c r="N72" s="84">
        <f t="shared" si="127"/>
        <v>139346.40806214057</v>
      </c>
      <c r="O72" s="84">
        <f t="shared" si="127"/>
        <v>1407536.2715032652</v>
      </c>
      <c r="P72" s="84">
        <f t="shared" si="127"/>
        <v>577465.23122431152</v>
      </c>
      <c r="Q72" s="84">
        <f t="shared" si="127"/>
        <v>1199350.8648504934</v>
      </c>
      <c r="R72" s="84">
        <f t="shared" si="127"/>
        <v>0</v>
      </c>
      <c r="S72" s="84">
        <f t="shared" si="127"/>
        <v>0</v>
      </c>
      <c r="T72" s="84">
        <f t="shared" si="127"/>
        <v>0</v>
      </c>
      <c r="U72" s="84">
        <f t="shared" si="127"/>
        <v>0</v>
      </c>
      <c r="V72" s="84">
        <f t="shared" si="127"/>
        <v>0</v>
      </c>
      <c r="W72" s="84">
        <f t="shared" si="127"/>
        <v>0</v>
      </c>
      <c r="X72" s="84">
        <f t="shared" si="127"/>
        <v>0</v>
      </c>
      <c r="Y72" s="84">
        <f t="shared" si="127"/>
        <v>0</v>
      </c>
      <c r="Z72" s="84">
        <f t="shared" si="127"/>
        <v>0</v>
      </c>
      <c r="AA72" s="84">
        <f t="shared" si="127"/>
        <v>0</v>
      </c>
      <c r="AB72" s="84">
        <f t="shared" si="127"/>
        <v>0</v>
      </c>
      <c r="AC72" s="84">
        <f t="shared" si="127"/>
        <v>0</v>
      </c>
      <c r="AD72" s="84">
        <f t="shared" si="127"/>
        <v>0</v>
      </c>
      <c r="AE72" s="84">
        <f t="shared" si="127"/>
        <v>0</v>
      </c>
      <c r="AF72" s="84">
        <f t="shared" si="127"/>
        <v>0</v>
      </c>
      <c r="AG72" s="84">
        <f t="shared" si="127"/>
        <v>0</v>
      </c>
      <c r="AH72" s="84">
        <f t="shared" si="127"/>
        <v>0</v>
      </c>
      <c r="AI72" s="84">
        <f t="shared" si="127"/>
        <v>0</v>
      </c>
      <c r="AJ72" s="84">
        <f t="shared" ref="AJ72:BA72" si="128">AJ$6*VLOOKUP(AJ12,RehabArray,3)*AnnMiles</f>
        <v>0</v>
      </c>
      <c r="AK72" s="84">
        <f t="shared" si="128"/>
        <v>0</v>
      </c>
      <c r="AL72" s="84">
        <f t="shared" si="128"/>
        <v>0</v>
      </c>
      <c r="AM72" s="84">
        <f t="shared" si="128"/>
        <v>0</v>
      </c>
      <c r="AN72" s="84">
        <f t="shared" si="128"/>
        <v>0</v>
      </c>
      <c r="AO72" s="84">
        <f t="shared" si="128"/>
        <v>0</v>
      </c>
      <c r="AP72" s="84">
        <f t="shared" si="128"/>
        <v>0</v>
      </c>
      <c r="AQ72" s="84">
        <f t="shared" si="128"/>
        <v>0</v>
      </c>
      <c r="AR72" s="84">
        <f t="shared" si="128"/>
        <v>0</v>
      </c>
      <c r="AS72" s="84">
        <f t="shared" si="128"/>
        <v>0</v>
      </c>
      <c r="AT72" s="84">
        <f t="shared" si="128"/>
        <v>0</v>
      </c>
      <c r="AU72" s="84">
        <f t="shared" si="128"/>
        <v>0</v>
      </c>
      <c r="AV72" s="84">
        <f t="shared" si="128"/>
        <v>0</v>
      </c>
      <c r="AW72" s="84">
        <f t="shared" si="128"/>
        <v>0</v>
      </c>
      <c r="AX72" s="84">
        <f t="shared" si="128"/>
        <v>0</v>
      </c>
      <c r="AY72" s="84">
        <f t="shared" si="128"/>
        <v>0</v>
      </c>
      <c r="AZ72" s="84">
        <f t="shared" si="128"/>
        <v>0</v>
      </c>
      <c r="BA72" s="84">
        <f t="shared" si="128"/>
        <v>0</v>
      </c>
      <c r="BB72" s="84"/>
      <c r="BC72" s="90">
        <f t="shared" si="61"/>
        <v>16447070.887942832</v>
      </c>
    </row>
    <row r="73" spans="1:55" x14ac:dyDescent="0.2">
      <c r="A73" s="52"/>
      <c r="B73" s="7"/>
      <c r="C73" s="7">
        <f t="shared" si="122"/>
        <v>5</v>
      </c>
      <c r="D73" s="84">
        <f t="shared" ref="D73:AI73" si="129">D$6*VLOOKUP(D13,RehabArray,3)*AnnMiles</f>
        <v>2100775.6812872449</v>
      </c>
      <c r="E73" s="84">
        <f t="shared" si="129"/>
        <v>580610.03359225241</v>
      </c>
      <c r="F73" s="84">
        <f t="shared" si="129"/>
        <v>2158129.3575393483</v>
      </c>
      <c r="G73" s="84">
        <f t="shared" si="129"/>
        <v>598308.13141358574</v>
      </c>
      <c r="H73" s="84">
        <f t="shared" si="129"/>
        <v>2100993.6135090454</v>
      </c>
      <c r="I73" s="84">
        <f t="shared" si="129"/>
        <v>949505.97982598934</v>
      </c>
      <c r="J73" s="84">
        <f t="shared" si="129"/>
        <v>1424258.969738984</v>
      </c>
      <c r="K73" s="84">
        <f t="shared" si="129"/>
        <v>3948833.6673296667</v>
      </c>
      <c r="L73" s="84">
        <f t="shared" si="129"/>
        <v>237376.49495649734</v>
      </c>
      <c r="M73" s="84">
        <f t="shared" si="129"/>
        <v>914898.57647712238</v>
      </c>
      <c r="N73" s="84">
        <f t="shared" si="129"/>
        <v>140051.71208581631</v>
      </c>
      <c r="O73" s="84">
        <f t="shared" si="129"/>
        <v>1415143.5051963318</v>
      </c>
      <c r="P73" s="84">
        <f t="shared" si="129"/>
        <v>590451.4425188771</v>
      </c>
      <c r="Q73" s="84">
        <f t="shared" si="129"/>
        <v>1226322.2267699754</v>
      </c>
      <c r="R73" s="84">
        <f t="shared" si="129"/>
        <v>0</v>
      </c>
      <c r="S73" s="84">
        <f t="shared" si="129"/>
        <v>0</v>
      </c>
      <c r="T73" s="84">
        <f t="shared" si="129"/>
        <v>0</v>
      </c>
      <c r="U73" s="84">
        <f t="shared" si="129"/>
        <v>0</v>
      </c>
      <c r="V73" s="84">
        <f t="shared" si="129"/>
        <v>0</v>
      </c>
      <c r="W73" s="84">
        <f t="shared" si="129"/>
        <v>0</v>
      </c>
      <c r="X73" s="84">
        <f t="shared" si="129"/>
        <v>0</v>
      </c>
      <c r="Y73" s="84">
        <f t="shared" si="129"/>
        <v>0</v>
      </c>
      <c r="Z73" s="84">
        <f t="shared" si="129"/>
        <v>0</v>
      </c>
      <c r="AA73" s="84">
        <f t="shared" si="129"/>
        <v>0</v>
      </c>
      <c r="AB73" s="84">
        <f t="shared" si="129"/>
        <v>0</v>
      </c>
      <c r="AC73" s="84">
        <f t="shared" si="129"/>
        <v>0</v>
      </c>
      <c r="AD73" s="84">
        <f t="shared" si="129"/>
        <v>0</v>
      </c>
      <c r="AE73" s="84">
        <f t="shared" si="129"/>
        <v>0</v>
      </c>
      <c r="AF73" s="84">
        <f t="shared" si="129"/>
        <v>0</v>
      </c>
      <c r="AG73" s="84">
        <f t="shared" si="129"/>
        <v>0</v>
      </c>
      <c r="AH73" s="84">
        <f t="shared" si="129"/>
        <v>0</v>
      </c>
      <c r="AI73" s="84">
        <f t="shared" si="129"/>
        <v>0</v>
      </c>
      <c r="AJ73" s="84">
        <f t="shared" ref="AJ73:BA73" si="130">AJ$6*VLOOKUP(AJ13,RehabArray,3)*AnnMiles</f>
        <v>0</v>
      </c>
      <c r="AK73" s="84">
        <f t="shared" si="130"/>
        <v>0</v>
      </c>
      <c r="AL73" s="84">
        <f t="shared" si="130"/>
        <v>0</v>
      </c>
      <c r="AM73" s="84">
        <f t="shared" si="130"/>
        <v>0</v>
      </c>
      <c r="AN73" s="84">
        <f t="shared" si="130"/>
        <v>0</v>
      </c>
      <c r="AO73" s="84">
        <f t="shared" si="130"/>
        <v>0</v>
      </c>
      <c r="AP73" s="84">
        <f t="shared" si="130"/>
        <v>0</v>
      </c>
      <c r="AQ73" s="84">
        <f t="shared" si="130"/>
        <v>0</v>
      </c>
      <c r="AR73" s="84">
        <f t="shared" si="130"/>
        <v>0</v>
      </c>
      <c r="AS73" s="84">
        <f t="shared" si="130"/>
        <v>0</v>
      </c>
      <c r="AT73" s="84">
        <f t="shared" si="130"/>
        <v>0</v>
      </c>
      <c r="AU73" s="84">
        <f t="shared" si="130"/>
        <v>0</v>
      </c>
      <c r="AV73" s="84">
        <f t="shared" si="130"/>
        <v>0</v>
      </c>
      <c r="AW73" s="84">
        <f t="shared" si="130"/>
        <v>0</v>
      </c>
      <c r="AX73" s="84">
        <f t="shared" si="130"/>
        <v>0</v>
      </c>
      <c r="AY73" s="84">
        <f t="shared" si="130"/>
        <v>0</v>
      </c>
      <c r="AZ73" s="84">
        <f t="shared" si="130"/>
        <v>0</v>
      </c>
      <c r="BA73" s="84">
        <f t="shared" si="130"/>
        <v>0</v>
      </c>
      <c r="BB73" s="84"/>
      <c r="BC73" s="90">
        <f t="shared" si="61"/>
        <v>18385659.392240737</v>
      </c>
    </row>
    <row r="74" spans="1:55" x14ac:dyDescent="0.2">
      <c r="A74" s="52"/>
      <c r="B74" s="7"/>
      <c r="C74" s="7">
        <f t="shared" si="122"/>
        <v>6</v>
      </c>
      <c r="D74" s="84">
        <f t="shared" ref="D74:AI74" si="131">D$6*VLOOKUP(D14,RehabArray,3)*AnnMiles</f>
        <v>2111304.4072548975</v>
      </c>
      <c r="E74" s="84">
        <f t="shared" si="131"/>
        <v>583548.80035756808</v>
      </c>
      <c r="F74" s="84">
        <f t="shared" si="131"/>
        <v>2463229.5896257963</v>
      </c>
      <c r="G74" s="84">
        <f t="shared" si="131"/>
        <v>604663.19468921202</v>
      </c>
      <c r="H74" s="84">
        <f t="shared" si="131"/>
        <v>2932842.4602457806</v>
      </c>
      <c r="I74" s="84">
        <f t="shared" si="131"/>
        <v>957293.01026173728</v>
      </c>
      <c r="J74" s="84">
        <f t="shared" si="131"/>
        <v>1435939.5153926059</v>
      </c>
      <c r="K74" s="84">
        <f t="shared" si="131"/>
        <v>3990777.0849487986</v>
      </c>
      <c r="L74" s="84">
        <f t="shared" si="131"/>
        <v>239323.25256543432</v>
      </c>
      <c r="M74" s="84">
        <f t="shared" si="131"/>
        <v>919843.27837761561</v>
      </c>
      <c r="N74" s="84">
        <f t="shared" si="131"/>
        <v>140753.62715032653</v>
      </c>
      <c r="O74" s="84">
        <f t="shared" si="131"/>
        <v>1424258.969738984</v>
      </c>
      <c r="P74" s="84">
        <f t="shared" si="131"/>
        <v>596655.79834806325</v>
      </c>
      <c r="Q74" s="84">
        <f t="shared" si="131"/>
        <v>1239208.1965690544</v>
      </c>
      <c r="R74" s="84">
        <f t="shared" si="131"/>
        <v>0</v>
      </c>
      <c r="S74" s="84">
        <f t="shared" si="131"/>
        <v>0</v>
      </c>
      <c r="T74" s="84">
        <f t="shared" si="131"/>
        <v>0</v>
      </c>
      <c r="U74" s="84">
        <f t="shared" si="131"/>
        <v>0</v>
      </c>
      <c r="V74" s="84">
        <f t="shared" si="131"/>
        <v>0</v>
      </c>
      <c r="W74" s="84">
        <f t="shared" si="131"/>
        <v>0</v>
      </c>
      <c r="X74" s="84">
        <f t="shared" si="131"/>
        <v>0</v>
      </c>
      <c r="Y74" s="84">
        <f t="shared" si="131"/>
        <v>0</v>
      </c>
      <c r="Z74" s="84">
        <f t="shared" si="131"/>
        <v>0</v>
      </c>
      <c r="AA74" s="84">
        <f t="shared" si="131"/>
        <v>0</v>
      </c>
      <c r="AB74" s="84">
        <f t="shared" si="131"/>
        <v>0</v>
      </c>
      <c r="AC74" s="84">
        <f t="shared" si="131"/>
        <v>0</v>
      </c>
      <c r="AD74" s="84">
        <f t="shared" si="131"/>
        <v>0</v>
      </c>
      <c r="AE74" s="84">
        <f t="shared" si="131"/>
        <v>0</v>
      </c>
      <c r="AF74" s="84">
        <f t="shared" si="131"/>
        <v>0</v>
      </c>
      <c r="AG74" s="84">
        <f t="shared" si="131"/>
        <v>0</v>
      </c>
      <c r="AH74" s="84">
        <f t="shared" si="131"/>
        <v>0</v>
      </c>
      <c r="AI74" s="84">
        <f t="shared" si="131"/>
        <v>0</v>
      </c>
      <c r="AJ74" s="84">
        <f t="shared" ref="AJ74:BA74" si="132">AJ$6*VLOOKUP(AJ14,RehabArray,3)*AnnMiles</f>
        <v>0</v>
      </c>
      <c r="AK74" s="84">
        <f t="shared" si="132"/>
        <v>0</v>
      </c>
      <c r="AL74" s="84">
        <f t="shared" si="132"/>
        <v>0</v>
      </c>
      <c r="AM74" s="84">
        <f t="shared" si="132"/>
        <v>0</v>
      </c>
      <c r="AN74" s="84">
        <f t="shared" si="132"/>
        <v>0</v>
      </c>
      <c r="AO74" s="84">
        <f t="shared" si="132"/>
        <v>0</v>
      </c>
      <c r="AP74" s="84">
        <f t="shared" si="132"/>
        <v>0</v>
      </c>
      <c r="AQ74" s="84">
        <f t="shared" si="132"/>
        <v>0</v>
      </c>
      <c r="AR74" s="84">
        <f t="shared" si="132"/>
        <v>0</v>
      </c>
      <c r="AS74" s="84">
        <f t="shared" si="132"/>
        <v>0</v>
      </c>
      <c r="AT74" s="84">
        <f t="shared" si="132"/>
        <v>0</v>
      </c>
      <c r="AU74" s="84">
        <f t="shared" si="132"/>
        <v>0</v>
      </c>
      <c r="AV74" s="84">
        <f t="shared" si="132"/>
        <v>0</v>
      </c>
      <c r="AW74" s="84">
        <f t="shared" si="132"/>
        <v>0</v>
      </c>
      <c r="AX74" s="84">
        <f t="shared" si="132"/>
        <v>0</v>
      </c>
      <c r="AY74" s="84">
        <f t="shared" si="132"/>
        <v>0</v>
      </c>
      <c r="AZ74" s="84">
        <f t="shared" si="132"/>
        <v>0</v>
      </c>
      <c r="BA74" s="84">
        <f t="shared" si="132"/>
        <v>0</v>
      </c>
      <c r="BB74" s="84"/>
      <c r="BC74" s="90">
        <f t="shared" si="61"/>
        <v>19639641.185525872</v>
      </c>
    </row>
    <row r="75" spans="1:55" x14ac:dyDescent="0.2">
      <c r="A75" s="52"/>
      <c r="B75" s="7"/>
      <c r="C75" s="7">
        <f t="shared" si="122"/>
        <v>7</v>
      </c>
      <c r="D75" s="84">
        <f t="shared" ref="D75:AI75" si="133">D$6*VLOOKUP(D15,RehabArray,3)*AnnMiles</f>
        <v>2122715.2577944975</v>
      </c>
      <c r="E75" s="84">
        <f t="shared" si="133"/>
        <v>586473.44645969383</v>
      </c>
      <c r="F75" s="84">
        <f t="shared" si="133"/>
        <v>2598593.5405094023</v>
      </c>
      <c r="G75" s="84">
        <f t="shared" si="133"/>
        <v>140686.48032942083</v>
      </c>
      <c r="H75" s="84">
        <f t="shared" si="133"/>
        <v>3347465.8525683903</v>
      </c>
      <c r="I75" s="84">
        <f t="shared" si="133"/>
        <v>967461.11150273902</v>
      </c>
      <c r="J75" s="84">
        <f t="shared" si="133"/>
        <v>1451191.6672541085</v>
      </c>
      <c r="K75" s="84">
        <f t="shared" si="133"/>
        <v>928530.77017417736</v>
      </c>
      <c r="L75" s="84">
        <f t="shared" si="133"/>
        <v>241865.27787568475</v>
      </c>
      <c r="M75" s="84">
        <f t="shared" si="133"/>
        <v>925768.33033033973</v>
      </c>
      <c r="N75" s="84">
        <f t="shared" si="133"/>
        <v>141514.35051963315</v>
      </c>
      <c r="O75" s="84">
        <f t="shared" si="133"/>
        <v>1435939.5153926059</v>
      </c>
      <c r="P75" s="84">
        <f t="shared" si="133"/>
        <v>600575.57641779853</v>
      </c>
      <c r="Q75" s="84">
        <f t="shared" si="133"/>
        <v>1247349.2740985046</v>
      </c>
      <c r="R75" s="84">
        <f t="shared" si="133"/>
        <v>0</v>
      </c>
      <c r="S75" s="84">
        <f t="shared" si="133"/>
        <v>0</v>
      </c>
      <c r="T75" s="84">
        <f t="shared" si="133"/>
        <v>0</v>
      </c>
      <c r="U75" s="84">
        <f t="shared" si="133"/>
        <v>0</v>
      </c>
      <c r="V75" s="84">
        <f t="shared" si="133"/>
        <v>0</v>
      </c>
      <c r="W75" s="84">
        <f t="shared" si="133"/>
        <v>0</v>
      </c>
      <c r="X75" s="84">
        <f t="shared" si="133"/>
        <v>0</v>
      </c>
      <c r="Y75" s="84">
        <f t="shared" si="133"/>
        <v>0</v>
      </c>
      <c r="Z75" s="84">
        <f t="shared" si="133"/>
        <v>0</v>
      </c>
      <c r="AA75" s="84">
        <f t="shared" si="133"/>
        <v>0</v>
      </c>
      <c r="AB75" s="84">
        <f t="shared" si="133"/>
        <v>0</v>
      </c>
      <c r="AC75" s="84">
        <f t="shared" si="133"/>
        <v>0</v>
      </c>
      <c r="AD75" s="84">
        <f t="shared" si="133"/>
        <v>0</v>
      </c>
      <c r="AE75" s="84">
        <f t="shared" si="133"/>
        <v>0</v>
      </c>
      <c r="AF75" s="84">
        <f t="shared" si="133"/>
        <v>0</v>
      </c>
      <c r="AG75" s="84">
        <f t="shared" si="133"/>
        <v>0</v>
      </c>
      <c r="AH75" s="84">
        <f t="shared" si="133"/>
        <v>0</v>
      </c>
      <c r="AI75" s="84">
        <f t="shared" si="133"/>
        <v>0</v>
      </c>
      <c r="AJ75" s="84">
        <f t="shared" ref="AJ75:BA75" si="134">AJ$6*VLOOKUP(AJ15,RehabArray,3)*AnnMiles</f>
        <v>0</v>
      </c>
      <c r="AK75" s="84">
        <f t="shared" si="134"/>
        <v>0</v>
      </c>
      <c r="AL75" s="84">
        <f t="shared" si="134"/>
        <v>0</v>
      </c>
      <c r="AM75" s="84">
        <f t="shared" si="134"/>
        <v>0</v>
      </c>
      <c r="AN75" s="84">
        <f t="shared" si="134"/>
        <v>0</v>
      </c>
      <c r="AO75" s="84">
        <f t="shared" si="134"/>
        <v>0</v>
      </c>
      <c r="AP75" s="84">
        <f t="shared" si="134"/>
        <v>0</v>
      </c>
      <c r="AQ75" s="84">
        <f t="shared" si="134"/>
        <v>0</v>
      </c>
      <c r="AR75" s="84">
        <f t="shared" si="134"/>
        <v>0</v>
      </c>
      <c r="AS75" s="84">
        <f t="shared" si="134"/>
        <v>0</v>
      </c>
      <c r="AT75" s="84">
        <f t="shared" si="134"/>
        <v>0</v>
      </c>
      <c r="AU75" s="84">
        <f t="shared" si="134"/>
        <v>0</v>
      </c>
      <c r="AV75" s="84">
        <f t="shared" si="134"/>
        <v>0</v>
      </c>
      <c r="AW75" s="84">
        <f t="shared" si="134"/>
        <v>0</v>
      </c>
      <c r="AX75" s="84">
        <f t="shared" si="134"/>
        <v>0</v>
      </c>
      <c r="AY75" s="84">
        <f t="shared" si="134"/>
        <v>0</v>
      </c>
      <c r="AZ75" s="84">
        <f t="shared" si="134"/>
        <v>0</v>
      </c>
      <c r="BA75" s="84">
        <f t="shared" si="134"/>
        <v>0</v>
      </c>
      <c r="BB75" s="84"/>
      <c r="BC75" s="90">
        <f t="shared" si="61"/>
        <v>16736130.451226994</v>
      </c>
    </row>
    <row r="76" spans="1:55" x14ac:dyDescent="0.2">
      <c r="A76" s="52"/>
      <c r="B76" s="7"/>
      <c r="C76" s="7">
        <f t="shared" si="122"/>
        <v>8</v>
      </c>
      <c r="D76" s="84">
        <f t="shared" ref="D76:AI76" si="135">D$6*VLOOKUP(D16,RehabArray,3)*AnnMiles</f>
        <v>2136388.4546084763</v>
      </c>
      <c r="E76" s="84">
        <f t="shared" si="135"/>
        <v>589643.12716513814</v>
      </c>
      <c r="F76" s="84">
        <f t="shared" si="135"/>
        <v>2657031.4913349468</v>
      </c>
      <c r="G76" s="84">
        <f t="shared" si="135"/>
        <v>330344.90778444114</v>
      </c>
      <c r="H76" s="84">
        <f t="shared" si="135"/>
        <v>3531421.9909486747</v>
      </c>
      <c r="I76" s="84">
        <f t="shared" si="135"/>
        <v>980558.43946356315</v>
      </c>
      <c r="J76" s="84">
        <f t="shared" si="135"/>
        <v>1470837.6591953449</v>
      </c>
      <c r="K76" s="84">
        <f t="shared" si="135"/>
        <v>2180276.3913773117</v>
      </c>
      <c r="L76" s="84">
        <f t="shared" si="135"/>
        <v>56274.592131768331</v>
      </c>
      <c r="M76" s="84">
        <f t="shared" si="135"/>
        <v>933360.68500519393</v>
      </c>
      <c r="N76" s="84">
        <f t="shared" si="135"/>
        <v>142425.89697389843</v>
      </c>
      <c r="O76" s="84">
        <f t="shared" si="135"/>
        <v>1451191.6672541085</v>
      </c>
      <c r="P76" s="84">
        <f t="shared" si="135"/>
        <v>603834.43493594241</v>
      </c>
      <c r="Q76" s="84">
        <f t="shared" si="135"/>
        <v>1254117.6725592653</v>
      </c>
      <c r="R76" s="84">
        <f t="shared" si="135"/>
        <v>0</v>
      </c>
      <c r="S76" s="84">
        <f t="shared" si="135"/>
        <v>0</v>
      </c>
      <c r="T76" s="84">
        <f t="shared" si="135"/>
        <v>0</v>
      </c>
      <c r="U76" s="84">
        <f t="shared" si="135"/>
        <v>0</v>
      </c>
      <c r="V76" s="84">
        <f t="shared" si="135"/>
        <v>0</v>
      </c>
      <c r="W76" s="84">
        <f t="shared" si="135"/>
        <v>0</v>
      </c>
      <c r="X76" s="84">
        <f t="shared" si="135"/>
        <v>0</v>
      </c>
      <c r="Y76" s="84">
        <f t="shared" si="135"/>
        <v>0</v>
      </c>
      <c r="Z76" s="84">
        <f t="shared" si="135"/>
        <v>0</v>
      </c>
      <c r="AA76" s="84">
        <f t="shared" si="135"/>
        <v>0</v>
      </c>
      <c r="AB76" s="84">
        <f t="shared" si="135"/>
        <v>0</v>
      </c>
      <c r="AC76" s="84">
        <f t="shared" si="135"/>
        <v>0</v>
      </c>
      <c r="AD76" s="84">
        <f t="shared" si="135"/>
        <v>0</v>
      </c>
      <c r="AE76" s="84">
        <f t="shared" si="135"/>
        <v>0</v>
      </c>
      <c r="AF76" s="84">
        <f t="shared" si="135"/>
        <v>0</v>
      </c>
      <c r="AG76" s="84">
        <f t="shared" si="135"/>
        <v>0</v>
      </c>
      <c r="AH76" s="84">
        <f t="shared" si="135"/>
        <v>0</v>
      </c>
      <c r="AI76" s="84">
        <f t="shared" si="135"/>
        <v>0</v>
      </c>
      <c r="AJ76" s="84">
        <f t="shared" ref="AJ76:BA76" si="136">AJ$6*VLOOKUP(AJ16,RehabArray,3)*AnnMiles</f>
        <v>0</v>
      </c>
      <c r="AK76" s="84">
        <f t="shared" si="136"/>
        <v>0</v>
      </c>
      <c r="AL76" s="84">
        <f t="shared" si="136"/>
        <v>0</v>
      </c>
      <c r="AM76" s="84">
        <f t="shared" si="136"/>
        <v>0</v>
      </c>
      <c r="AN76" s="84">
        <f t="shared" si="136"/>
        <v>0</v>
      </c>
      <c r="AO76" s="84">
        <f t="shared" si="136"/>
        <v>0</v>
      </c>
      <c r="AP76" s="84">
        <f t="shared" si="136"/>
        <v>0</v>
      </c>
      <c r="AQ76" s="84">
        <f t="shared" si="136"/>
        <v>0</v>
      </c>
      <c r="AR76" s="84">
        <f t="shared" si="136"/>
        <v>0</v>
      </c>
      <c r="AS76" s="84">
        <f t="shared" si="136"/>
        <v>0</v>
      </c>
      <c r="AT76" s="84">
        <f t="shared" si="136"/>
        <v>0</v>
      </c>
      <c r="AU76" s="84">
        <f t="shared" si="136"/>
        <v>0</v>
      </c>
      <c r="AV76" s="84">
        <f t="shared" si="136"/>
        <v>0</v>
      </c>
      <c r="AW76" s="84">
        <f t="shared" si="136"/>
        <v>0</v>
      </c>
      <c r="AX76" s="84">
        <f t="shared" si="136"/>
        <v>0</v>
      </c>
      <c r="AY76" s="84">
        <f t="shared" si="136"/>
        <v>0</v>
      </c>
      <c r="AZ76" s="84">
        <f t="shared" si="136"/>
        <v>0</v>
      </c>
      <c r="BA76" s="84">
        <f t="shared" si="136"/>
        <v>0</v>
      </c>
      <c r="BB76" s="84"/>
      <c r="BC76" s="90">
        <f t="shared" si="61"/>
        <v>18317707.410738073</v>
      </c>
    </row>
    <row r="77" spans="1:55" x14ac:dyDescent="0.2">
      <c r="A77" s="52"/>
      <c r="B77" s="7"/>
      <c r="C77" s="7">
        <f t="shared" si="122"/>
        <v>9</v>
      </c>
      <c r="D77" s="84">
        <f t="shared" ref="D77:AI77" si="137">D$6*VLOOKUP(D17,RehabArray,3)*AnnMiles</f>
        <v>2153909.2730889088</v>
      </c>
      <c r="E77" s="84">
        <f t="shared" si="137"/>
        <v>593441.23739124334</v>
      </c>
      <c r="F77" s="84">
        <f t="shared" si="137"/>
        <v>2684951.0925662848</v>
      </c>
      <c r="G77" s="84">
        <f t="shared" si="137"/>
        <v>461138.75161097181</v>
      </c>
      <c r="H77" s="84">
        <f t="shared" si="137"/>
        <v>3610837.6677115941</v>
      </c>
      <c r="I77" s="84">
        <f t="shared" si="137"/>
        <v>225098.36852707333</v>
      </c>
      <c r="J77" s="84">
        <f t="shared" si="137"/>
        <v>337647.55279061</v>
      </c>
      <c r="K77" s="84">
        <f t="shared" si="137"/>
        <v>3043515.7606324139</v>
      </c>
      <c r="L77" s="84">
        <f t="shared" si="137"/>
        <v>132137.96311377644</v>
      </c>
      <c r="M77" s="84">
        <f t="shared" si="137"/>
        <v>943274.58371517051</v>
      </c>
      <c r="N77" s="84">
        <f t="shared" si="137"/>
        <v>143593.9515392606</v>
      </c>
      <c r="O77" s="84">
        <f t="shared" si="137"/>
        <v>337647.55279061</v>
      </c>
      <c r="P77" s="84">
        <f t="shared" si="137"/>
        <v>606890.75237187068</v>
      </c>
      <c r="Q77" s="84">
        <f t="shared" si="137"/>
        <v>1260465.408772347</v>
      </c>
      <c r="R77" s="84">
        <f t="shared" si="137"/>
        <v>0</v>
      </c>
      <c r="S77" s="84">
        <f t="shared" si="137"/>
        <v>0</v>
      </c>
      <c r="T77" s="84">
        <f t="shared" si="137"/>
        <v>0</v>
      </c>
      <c r="U77" s="84">
        <f t="shared" si="137"/>
        <v>0</v>
      </c>
      <c r="V77" s="84">
        <f t="shared" si="137"/>
        <v>0</v>
      </c>
      <c r="W77" s="84">
        <f t="shared" si="137"/>
        <v>0</v>
      </c>
      <c r="X77" s="84">
        <f t="shared" si="137"/>
        <v>0</v>
      </c>
      <c r="Y77" s="84">
        <f t="shared" si="137"/>
        <v>0</v>
      </c>
      <c r="Z77" s="84">
        <f t="shared" si="137"/>
        <v>0</v>
      </c>
      <c r="AA77" s="84">
        <f t="shared" si="137"/>
        <v>0</v>
      </c>
      <c r="AB77" s="84">
        <f t="shared" si="137"/>
        <v>0</v>
      </c>
      <c r="AC77" s="84">
        <f t="shared" si="137"/>
        <v>0</v>
      </c>
      <c r="AD77" s="84">
        <f t="shared" si="137"/>
        <v>0</v>
      </c>
      <c r="AE77" s="84">
        <f t="shared" si="137"/>
        <v>0</v>
      </c>
      <c r="AF77" s="84">
        <f t="shared" si="137"/>
        <v>0</v>
      </c>
      <c r="AG77" s="84">
        <f t="shared" si="137"/>
        <v>0</v>
      </c>
      <c r="AH77" s="84">
        <f t="shared" si="137"/>
        <v>0</v>
      </c>
      <c r="AI77" s="84">
        <f t="shared" si="137"/>
        <v>0</v>
      </c>
      <c r="AJ77" s="84">
        <f t="shared" ref="AJ77:BA77" si="138">AJ$6*VLOOKUP(AJ17,RehabArray,3)*AnnMiles</f>
        <v>0</v>
      </c>
      <c r="AK77" s="84">
        <f t="shared" si="138"/>
        <v>0</v>
      </c>
      <c r="AL77" s="84">
        <f t="shared" si="138"/>
        <v>0</v>
      </c>
      <c r="AM77" s="84">
        <f t="shared" si="138"/>
        <v>0</v>
      </c>
      <c r="AN77" s="84">
        <f t="shared" si="138"/>
        <v>0</v>
      </c>
      <c r="AO77" s="84">
        <f t="shared" si="138"/>
        <v>0</v>
      </c>
      <c r="AP77" s="84">
        <f t="shared" si="138"/>
        <v>0</v>
      </c>
      <c r="AQ77" s="84">
        <f t="shared" si="138"/>
        <v>0</v>
      </c>
      <c r="AR77" s="84">
        <f t="shared" si="138"/>
        <v>0</v>
      </c>
      <c r="AS77" s="84">
        <f t="shared" si="138"/>
        <v>0</v>
      </c>
      <c r="AT77" s="84">
        <f t="shared" si="138"/>
        <v>0</v>
      </c>
      <c r="AU77" s="84">
        <f t="shared" si="138"/>
        <v>0</v>
      </c>
      <c r="AV77" s="84">
        <f t="shared" si="138"/>
        <v>0</v>
      </c>
      <c r="AW77" s="84">
        <f t="shared" si="138"/>
        <v>0</v>
      </c>
      <c r="AX77" s="84">
        <f t="shared" si="138"/>
        <v>0</v>
      </c>
      <c r="AY77" s="84">
        <f t="shared" si="138"/>
        <v>0</v>
      </c>
      <c r="AZ77" s="84">
        <f t="shared" si="138"/>
        <v>0</v>
      </c>
      <c r="BA77" s="84">
        <f t="shared" si="138"/>
        <v>0</v>
      </c>
      <c r="BB77" s="84"/>
      <c r="BC77" s="90">
        <f t="shared" si="61"/>
        <v>16534549.916622138</v>
      </c>
    </row>
    <row r="78" spans="1:55" x14ac:dyDescent="0.2">
      <c r="A78" s="52"/>
      <c r="B78" s="7"/>
      <c r="C78" s="7">
        <f t="shared" si="122"/>
        <v>10</v>
      </c>
      <c r="D78" s="84">
        <f t="shared" ref="D78:AI78" si="139">D$6*VLOOKUP(D18,RehabArray,3)*AnnMiles</f>
        <v>2176787.5008811629</v>
      </c>
      <c r="E78" s="84">
        <f t="shared" si="139"/>
        <v>598308.13141358574</v>
      </c>
      <c r="F78" s="84">
        <f t="shared" si="139"/>
        <v>2702590.0938800932</v>
      </c>
      <c r="G78" s="84">
        <f t="shared" si="139"/>
        <v>526331.10889440088</v>
      </c>
      <c r="H78" s="84">
        <f t="shared" si="139"/>
        <v>3648779.689897771</v>
      </c>
      <c r="I78" s="84">
        <f t="shared" si="139"/>
        <v>528551.85245510575</v>
      </c>
      <c r="J78" s="84">
        <f t="shared" si="139"/>
        <v>792827.77868265868</v>
      </c>
      <c r="K78" s="84">
        <f t="shared" si="139"/>
        <v>3473785.3187030465</v>
      </c>
      <c r="L78" s="84">
        <f t="shared" si="139"/>
        <v>184455.5006443887</v>
      </c>
      <c r="M78" s="84">
        <f t="shared" si="139"/>
        <v>219470.9093138965</v>
      </c>
      <c r="N78" s="84">
        <f t="shared" si="139"/>
        <v>145119.16672541088</v>
      </c>
      <c r="O78" s="84">
        <f t="shared" si="139"/>
        <v>792827.77868265868</v>
      </c>
      <c r="P78" s="84">
        <f t="shared" si="139"/>
        <v>609932.38431808166</v>
      </c>
      <c r="Q78" s="84">
        <f t="shared" si="139"/>
        <v>1266782.6443529387</v>
      </c>
      <c r="R78" s="84">
        <f t="shared" si="139"/>
        <v>0</v>
      </c>
      <c r="S78" s="84">
        <f t="shared" si="139"/>
        <v>0</v>
      </c>
      <c r="T78" s="84">
        <f t="shared" si="139"/>
        <v>0</v>
      </c>
      <c r="U78" s="84">
        <f t="shared" si="139"/>
        <v>0</v>
      </c>
      <c r="V78" s="84">
        <f t="shared" si="139"/>
        <v>0</v>
      </c>
      <c r="W78" s="84">
        <f t="shared" si="139"/>
        <v>0</v>
      </c>
      <c r="X78" s="84">
        <f t="shared" si="139"/>
        <v>0</v>
      </c>
      <c r="Y78" s="84">
        <f t="shared" si="139"/>
        <v>0</v>
      </c>
      <c r="Z78" s="84">
        <f t="shared" si="139"/>
        <v>0</v>
      </c>
      <c r="AA78" s="84">
        <f t="shared" si="139"/>
        <v>0</v>
      </c>
      <c r="AB78" s="84">
        <f t="shared" si="139"/>
        <v>0</v>
      </c>
      <c r="AC78" s="84">
        <f t="shared" si="139"/>
        <v>0</v>
      </c>
      <c r="AD78" s="84">
        <f t="shared" si="139"/>
        <v>0</v>
      </c>
      <c r="AE78" s="84">
        <f t="shared" si="139"/>
        <v>0</v>
      </c>
      <c r="AF78" s="84">
        <f t="shared" si="139"/>
        <v>0</v>
      </c>
      <c r="AG78" s="84">
        <f t="shared" si="139"/>
        <v>0</v>
      </c>
      <c r="AH78" s="84">
        <f t="shared" si="139"/>
        <v>0</v>
      </c>
      <c r="AI78" s="84">
        <f t="shared" si="139"/>
        <v>0</v>
      </c>
      <c r="AJ78" s="84">
        <f t="shared" ref="AJ78:BA78" si="140">AJ$6*VLOOKUP(AJ18,RehabArray,3)*AnnMiles</f>
        <v>0</v>
      </c>
      <c r="AK78" s="84">
        <f t="shared" si="140"/>
        <v>0</v>
      </c>
      <c r="AL78" s="84">
        <f t="shared" si="140"/>
        <v>0</v>
      </c>
      <c r="AM78" s="84">
        <f t="shared" si="140"/>
        <v>0</v>
      </c>
      <c r="AN78" s="84">
        <f t="shared" si="140"/>
        <v>0</v>
      </c>
      <c r="AO78" s="84">
        <f t="shared" si="140"/>
        <v>0</v>
      </c>
      <c r="AP78" s="84">
        <f t="shared" si="140"/>
        <v>0</v>
      </c>
      <c r="AQ78" s="84">
        <f t="shared" si="140"/>
        <v>0</v>
      </c>
      <c r="AR78" s="84">
        <f t="shared" si="140"/>
        <v>0</v>
      </c>
      <c r="AS78" s="84">
        <f t="shared" si="140"/>
        <v>0</v>
      </c>
      <c r="AT78" s="84">
        <f t="shared" si="140"/>
        <v>0</v>
      </c>
      <c r="AU78" s="84">
        <f t="shared" si="140"/>
        <v>0</v>
      </c>
      <c r="AV78" s="84">
        <f t="shared" si="140"/>
        <v>0</v>
      </c>
      <c r="AW78" s="84">
        <f t="shared" si="140"/>
        <v>0</v>
      </c>
      <c r="AX78" s="84">
        <f t="shared" si="140"/>
        <v>0</v>
      </c>
      <c r="AY78" s="84">
        <f t="shared" si="140"/>
        <v>0</v>
      </c>
      <c r="AZ78" s="84">
        <f t="shared" si="140"/>
        <v>0</v>
      </c>
      <c r="BA78" s="84">
        <f t="shared" si="140"/>
        <v>0</v>
      </c>
      <c r="BB78" s="84"/>
      <c r="BC78" s="90">
        <f t="shared" si="61"/>
        <v>17666549.8588452</v>
      </c>
    </row>
    <row r="79" spans="1:55" x14ac:dyDescent="0.2">
      <c r="A79" s="52"/>
      <c r="B79" s="7"/>
      <c r="C79" s="7">
        <f t="shared" si="122"/>
        <v>11</v>
      </c>
      <c r="D79" s="84">
        <f t="shared" ref="D79:AI79" si="141">D$6*VLOOKUP(D19,RehabArray,3)*AnnMiles</f>
        <v>506471.329185915</v>
      </c>
      <c r="E79" s="84">
        <f t="shared" si="141"/>
        <v>604663.19468921202</v>
      </c>
      <c r="F79" s="84">
        <f t="shared" si="141"/>
        <v>2717254.9572117412</v>
      </c>
      <c r="G79" s="84">
        <f t="shared" si="141"/>
        <v>555255.03002337657</v>
      </c>
      <c r="H79" s="84">
        <f t="shared" si="141"/>
        <v>3672750.6404011524</v>
      </c>
      <c r="I79" s="84">
        <f t="shared" si="141"/>
        <v>737822.00257755478</v>
      </c>
      <c r="J79" s="84">
        <f t="shared" si="141"/>
        <v>1106733.0038663324</v>
      </c>
      <c r="K79" s="84">
        <f t="shared" si="141"/>
        <v>3664683.1981542851</v>
      </c>
      <c r="L79" s="84">
        <f t="shared" si="141"/>
        <v>210532.44355776036</v>
      </c>
      <c r="M79" s="84">
        <f t="shared" si="141"/>
        <v>515338.0561437282</v>
      </c>
      <c r="N79" s="84">
        <f t="shared" si="141"/>
        <v>33764.755279060999</v>
      </c>
      <c r="O79" s="84">
        <f t="shared" si="141"/>
        <v>1106733.0038663324</v>
      </c>
      <c r="P79" s="84">
        <f t="shared" si="141"/>
        <v>613228.85225174366</v>
      </c>
      <c r="Q79" s="84">
        <f t="shared" si="141"/>
        <v>1273629.1546766986</v>
      </c>
      <c r="R79" s="84">
        <f t="shared" si="141"/>
        <v>0</v>
      </c>
      <c r="S79" s="84">
        <f t="shared" si="141"/>
        <v>0</v>
      </c>
      <c r="T79" s="84">
        <f t="shared" si="141"/>
        <v>0</v>
      </c>
      <c r="U79" s="84">
        <f t="shared" si="141"/>
        <v>0</v>
      </c>
      <c r="V79" s="84">
        <f t="shared" si="141"/>
        <v>0</v>
      </c>
      <c r="W79" s="84">
        <f t="shared" si="141"/>
        <v>0</v>
      </c>
      <c r="X79" s="84">
        <f t="shared" si="141"/>
        <v>0</v>
      </c>
      <c r="Y79" s="84">
        <f t="shared" si="141"/>
        <v>0</v>
      </c>
      <c r="Z79" s="84">
        <f t="shared" si="141"/>
        <v>0</v>
      </c>
      <c r="AA79" s="84">
        <f t="shared" si="141"/>
        <v>0</v>
      </c>
      <c r="AB79" s="84">
        <f t="shared" si="141"/>
        <v>0</v>
      </c>
      <c r="AC79" s="84">
        <f t="shared" si="141"/>
        <v>0</v>
      </c>
      <c r="AD79" s="84">
        <f t="shared" si="141"/>
        <v>0</v>
      </c>
      <c r="AE79" s="84">
        <f t="shared" si="141"/>
        <v>0</v>
      </c>
      <c r="AF79" s="84">
        <f t="shared" si="141"/>
        <v>0</v>
      </c>
      <c r="AG79" s="84">
        <f t="shared" si="141"/>
        <v>0</v>
      </c>
      <c r="AH79" s="84">
        <f t="shared" si="141"/>
        <v>0</v>
      </c>
      <c r="AI79" s="84">
        <f t="shared" si="141"/>
        <v>0</v>
      </c>
      <c r="AJ79" s="84">
        <f t="shared" ref="AJ79:BA79" si="142">AJ$6*VLOOKUP(AJ19,RehabArray,3)*AnnMiles</f>
        <v>0</v>
      </c>
      <c r="AK79" s="84">
        <f t="shared" si="142"/>
        <v>0</v>
      </c>
      <c r="AL79" s="84">
        <f t="shared" si="142"/>
        <v>0</v>
      </c>
      <c r="AM79" s="84">
        <f t="shared" si="142"/>
        <v>0</v>
      </c>
      <c r="AN79" s="84">
        <f t="shared" si="142"/>
        <v>0</v>
      </c>
      <c r="AO79" s="84">
        <f t="shared" si="142"/>
        <v>0</v>
      </c>
      <c r="AP79" s="84">
        <f t="shared" si="142"/>
        <v>0</v>
      </c>
      <c r="AQ79" s="84">
        <f t="shared" si="142"/>
        <v>0</v>
      </c>
      <c r="AR79" s="84">
        <f t="shared" si="142"/>
        <v>0</v>
      </c>
      <c r="AS79" s="84">
        <f t="shared" si="142"/>
        <v>0</v>
      </c>
      <c r="AT79" s="84">
        <f t="shared" si="142"/>
        <v>0</v>
      </c>
      <c r="AU79" s="84">
        <f t="shared" si="142"/>
        <v>0</v>
      </c>
      <c r="AV79" s="84">
        <f t="shared" si="142"/>
        <v>0</v>
      </c>
      <c r="AW79" s="84">
        <f t="shared" si="142"/>
        <v>0</v>
      </c>
      <c r="AX79" s="84">
        <f t="shared" si="142"/>
        <v>0</v>
      </c>
      <c r="AY79" s="84">
        <f t="shared" si="142"/>
        <v>0</v>
      </c>
      <c r="AZ79" s="84">
        <f t="shared" si="142"/>
        <v>0</v>
      </c>
      <c r="BA79" s="84">
        <f t="shared" si="142"/>
        <v>0</v>
      </c>
      <c r="BB79" s="84"/>
      <c r="BC79" s="90">
        <f t="shared" si="61"/>
        <v>17318859.621884894</v>
      </c>
    </row>
    <row r="80" spans="1:55" x14ac:dyDescent="0.2">
      <c r="A80" s="52"/>
      <c r="B80" s="7"/>
      <c r="C80" s="7">
        <f t="shared" si="122"/>
        <v>12</v>
      </c>
      <c r="D80" s="84">
        <f t="shared" ref="D80:AI80" si="143">D$6*VLOOKUP(D20,RehabArray,3)*AnnMiles</f>
        <v>1189241.6680239879</v>
      </c>
      <c r="E80" s="84">
        <f t="shared" si="143"/>
        <v>140686.48032942083</v>
      </c>
      <c r="F80" s="84">
        <f t="shared" si="143"/>
        <v>2731008.3856734182</v>
      </c>
      <c r="G80" s="84">
        <f t="shared" si="143"/>
        <v>567741.77165276639</v>
      </c>
      <c r="H80" s="84">
        <f t="shared" si="143"/>
        <v>3692679.8136467254</v>
      </c>
      <c r="I80" s="84">
        <f t="shared" si="143"/>
        <v>842129.77423104143</v>
      </c>
      <c r="J80" s="84">
        <f t="shared" si="143"/>
        <v>1263194.6613465622</v>
      </c>
      <c r="K80" s="84">
        <f t="shared" si="143"/>
        <v>3747095.6929082582</v>
      </c>
      <c r="L80" s="84">
        <f t="shared" si="143"/>
        <v>222102.01200935064</v>
      </c>
      <c r="M80" s="84">
        <f t="shared" si="143"/>
        <v>719376.45251311606</v>
      </c>
      <c r="N80" s="84">
        <f t="shared" si="143"/>
        <v>79282.777868265883</v>
      </c>
      <c r="O80" s="84">
        <f t="shared" si="143"/>
        <v>1263194.6613465622</v>
      </c>
      <c r="P80" s="84">
        <f t="shared" si="143"/>
        <v>617178.88688689319</v>
      </c>
      <c r="Q80" s="84">
        <f t="shared" si="143"/>
        <v>1281833.0727650858</v>
      </c>
      <c r="R80" s="84">
        <f t="shared" si="143"/>
        <v>0</v>
      </c>
      <c r="S80" s="84">
        <f t="shared" si="143"/>
        <v>0</v>
      </c>
      <c r="T80" s="84">
        <f t="shared" si="143"/>
        <v>0</v>
      </c>
      <c r="U80" s="84">
        <f t="shared" si="143"/>
        <v>0</v>
      </c>
      <c r="V80" s="84">
        <f t="shared" si="143"/>
        <v>0</v>
      </c>
      <c r="W80" s="84">
        <f t="shared" si="143"/>
        <v>0</v>
      </c>
      <c r="X80" s="84">
        <f t="shared" si="143"/>
        <v>0</v>
      </c>
      <c r="Y80" s="84">
        <f t="shared" si="143"/>
        <v>0</v>
      </c>
      <c r="Z80" s="84">
        <f t="shared" si="143"/>
        <v>0</v>
      </c>
      <c r="AA80" s="84">
        <f t="shared" si="143"/>
        <v>0</v>
      </c>
      <c r="AB80" s="84">
        <f t="shared" si="143"/>
        <v>0</v>
      </c>
      <c r="AC80" s="84">
        <f t="shared" si="143"/>
        <v>0</v>
      </c>
      <c r="AD80" s="84">
        <f t="shared" si="143"/>
        <v>0</v>
      </c>
      <c r="AE80" s="84">
        <f t="shared" si="143"/>
        <v>0</v>
      </c>
      <c r="AF80" s="84">
        <f t="shared" si="143"/>
        <v>0</v>
      </c>
      <c r="AG80" s="84">
        <f t="shared" si="143"/>
        <v>0</v>
      </c>
      <c r="AH80" s="84">
        <f t="shared" si="143"/>
        <v>0</v>
      </c>
      <c r="AI80" s="84">
        <f t="shared" si="143"/>
        <v>0</v>
      </c>
      <c r="AJ80" s="84">
        <f t="shared" ref="AJ80:BA80" si="144">AJ$6*VLOOKUP(AJ20,RehabArray,3)*AnnMiles</f>
        <v>0</v>
      </c>
      <c r="AK80" s="84">
        <f t="shared" si="144"/>
        <v>0</v>
      </c>
      <c r="AL80" s="84">
        <f t="shared" si="144"/>
        <v>0</v>
      </c>
      <c r="AM80" s="84">
        <f t="shared" si="144"/>
        <v>0</v>
      </c>
      <c r="AN80" s="84">
        <f t="shared" si="144"/>
        <v>0</v>
      </c>
      <c r="AO80" s="84">
        <f t="shared" si="144"/>
        <v>0</v>
      </c>
      <c r="AP80" s="84">
        <f t="shared" si="144"/>
        <v>0</v>
      </c>
      <c r="AQ80" s="84">
        <f t="shared" si="144"/>
        <v>0</v>
      </c>
      <c r="AR80" s="84">
        <f t="shared" si="144"/>
        <v>0</v>
      </c>
      <c r="AS80" s="84">
        <f t="shared" si="144"/>
        <v>0</v>
      </c>
      <c r="AT80" s="84">
        <f t="shared" si="144"/>
        <v>0</v>
      </c>
      <c r="AU80" s="84">
        <f t="shared" si="144"/>
        <v>0</v>
      </c>
      <c r="AV80" s="84">
        <f t="shared" si="144"/>
        <v>0</v>
      </c>
      <c r="AW80" s="84">
        <f t="shared" si="144"/>
        <v>0</v>
      </c>
      <c r="AX80" s="84">
        <f t="shared" si="144"/>
        <v>0</v>
      </c>
      <c r="AY80" s="84">
        <f t="shared" si="144"/>
        <v>0</v>
      </c>
      <c r="AZ80" s="84">
        <f t="shared" si="144"/>
        <v>0</v>
      </c>
      <c r="BA80" s="84">
        <f t="shared" si="144"/>
        <v>0</v>
      </c>
      <c r="BB80" s="84"/>
      <c r="BC80" s="90">
        <f t="shared" si="61"/>
        <v>18356746.111201454</v>
      </c>
    </row>
    <row r="81" spans="1:55" x14ac:dyDescent="0.2">
      <c r="A81" s="52"/>
      <c r="B81" s="7"/>
      <c r="C81" s="7">
        <f t="shared" si="122"/>
        <v>13</v>
      </c>
      <c r="D81" s="84">
        <f t="shared" ref="D81:AI81" si="145">D$6*VLOOKUP(D21,RehabArray,3)*AnnMiles</f>
        <v>1660099.5057994986</v>
      </c>
      <c r="E81" s="84">
        <f t="shared" si="145"/>
        <v>330344.90778444114</v>
      </c>
      <c r="F81" s="84">
        <f t="shared" si="145"/>
        <v>2744695.729431367</v>
      </c>
      <c r="G81" s="84">
        <f t="shared" si="145"/>
        <v>573707.49841159931</v>
      </c>
      <c r="H81" s="84">
        <f t="shared" si="145"/>
        <v>3711370.3702741326</v>
      </c>
      <c r="I81" s="84">
        <f t="shared" si="145"/>
        <v>888408.04803740256</v>
      </c>
      <c r="J81" s="84">
        <f t="shared" si="145"/>
        <v>1332612.0720561037</v>
      </c>
      <c r="K81" s="84">
        <f t="shared" si="145"/>
        <v>3786469.4895165553</v>
      </c>
      <c r="L81" s="84">
        <f t="shared" si="145"/>
        <v>227096.70866110656</v>
      </c>
      <c r="M81" s="84">
        <f t="shared" si="145"/>
        <v>821076.52987526543</v>
      </c>
      <c r="N81" s="84">
        <f t="shared" si="145"/>
        <v>110673.30038663323</v>
      </c>
      <c r="O81" s="84">
        <f t="shared" si="145"/>
        <v>1332612.0720561037</v>
      </c>
      <c r="P81" s="84">
        <f t="shared" si="145"/>
        <v>622240.45667012932</v>
      </c>
      <c r="Q81" s="84">
        <f t="shared" si="145"/>
        <v>1292345.5638533453</v>
      </c>
      <c r="R81" s="84">
        <f t="shared" si="145"/>
        <v>0</v>
      </c>
      <c r="S81" s="84">
        <f t="shared" si="145"/>
        <v>0</v>
      </c>
      <c r="T81" s="84">
        <f t="shared" si="145"/>
        <v>0</v>
      </c>
      <c r="U81" s="84">
        <f t="shared" si="145"/>
        <v>0</v>
      </c>
      <c r="V81" s="84">
        <f t="shared" si="145"/>
        <v>0</v>
      </c>
      <c r="W81" s="84">
        <f t="shared" si="145"/>
        <v>0</v>
      </c>
      <c r="X81" s="84">
        <f t="shared" si="145"/>
        <v>0</v>
      </c>
      <c r="Y81" s="84">
        <f t="shared" si="145"/>
        <v>0</v>
      </c>
      <c r="Z81" s="84">
        <f t="shared" si="145"/>
        <v>0</v>
      </c>
      <c r="AA81" s="84">
        <f t="shared" si="145"/>
        <v>0</v>
      </c>
      <c r="AB81" s="84">
        <f t="shared" si="145"/>
        <v>0</v>
      </c>
      <c r="AC81" s="84">
        <f t="shared" si="145"/>
        <v>0</v>
      </c>
      <c r="AD81" s="84">
        <f t="shared" si="145"/>
        <v>0</v>
      </c>
      <c r="AE81" s="84">
        <f t="shared" si="145"/>
        <v>0</v>
      </c>
      <c r="AF81" s="84">
        <f t="shared" si="145"/>
        <v>0</v>
      </c>
      <c r="AG81" s="84">
        <f t="shared" si="145"/>
        <v>0</v>
      </c>
      <c r="AH81" s="84">
        <f t="shared" si="145"/>
        <v>0</v>
      </c>
      <c r="AI81" s="84">
        <f t="shared" si="145"/>
        <v>0</v>
      </c>
      <c r="AJ81" s="84">
        <f t="shared" ref="AJ81:BA81" si="146">AJ$6*VLOOKUP(AJ21,RehabArray,3)*AnnMiles</f>
        <v>0</v>
      </c>
      <c r="AK81" s="84">
        <f t="shared" si="146"/>
        <v>0</v>
      </c>
      <c r="AL81" s="84">
        <f t="shared" si="146"/>
        <v>0</v>
      </c>
      <c r="AM81" s="84">
        <f t="shared" si="146"/>
        <v>0</v>
      </c>
      <c r="AN81" s="84">
        <f t="shared" si="146"/>
        <v>0</v>
      </c>
      <c r="AO81" s="84">
        <f t="shared" si="146"/>
        <v>0</v>
      </c>
      <c r="AP81" s="84">
        <f t="shared" si="146"/>
        <v>0</v>
      </c>
      <c r="AQ81" s="84">
        <f t="shared" si="146"/>
        <v>0</v>
      </c>
      <c r="AR81" s="84">
        <f t="shared" si="146"/>
        <v>0</v>
      </c>
      <c r="AS81" s="84">
        <f t="shared" si="146"/>
        <v>0</v>
      </c>
      <c r="AT81" s="84">
        <f t="shared" si="146"/>
        <v>0</v>
      </c>
      <c r="AU81" s="84">
        <f t="shared" si="146"/>
        <v>0</v>
      </c>
      <c r="AV81" s="84">
        <f t="shared" si="146"/>
        <v>0</v>
      </c>
      <c r="AW81" s="84">
        <f t="shared" si="146"/>
        <v>0</v>
      </c>
      <c r="AX81" s="84">
        <f t="shared" si="146"/>
        <v>0</v>
      </c>
      <c r="AY81" s="84">
        <f t="shared" si="146"/>
        <v>0</v>
      </c>
      <c r="AZ81" s="84">
        <f t="shared" si="146"/>
        <v>0</v>
      </c>
      <c r="BA81" s="84">
        <f t="shared" si="146"/>
        <v>0</v>
      </c>
      <c r="BB81" s="84"/>
      <c r="BC81" s="90">
        <f t="shared" si="61"/>
        <v>19433752.252813682</v>
      </c>
    </row>
    <row r="82" spans="1:55" x14ac:dyDescent="0.2">
      <c r="A82" s="52"/>
      <c r="B82" s="7"/>
      <c r="C82" s="7">
        <f t="shared" si="122"/>
        <v>14</v>
      </c>
      <c r="D82" s="84">
        <f t="shared" ref="D82:AI82" si="147">D$6*VLOOKUP(D22,RehabArray,3)*AnnMiles</f>
        <v>1894791.9920198435</v>
      </c>
      <c r="E82" s="84">
        <f t="shared" si="147"/>
        <v>461138.75161097181</v>
      </c>
      <c r="F82" s="84">
        <f t="shared" si="147"/>
        <v>2759529.8351328466</v>
      </c>
      <c r="G82" s="84">
        <f t="shared" si="147"/>
        <v>577476.51578634465</v>
      </c>
      <c r="H82" s="84">
        <f t="shared" si="147"/>
        <v>3729971.119483653</v>
      </c>
      <c r="I82" s="84">
        <f t="shared" si="147"/>
        <v>908386.83464442624</v>
      </c>
      <c r="J82" s="84">
        <f t="shared" si="147"/>
        <v>1362580.2519666394</v>
      </c>
      <c r="K82" s="84">
        <f t="shared" si="147"/>
        <v>3811345.0041898754</v>
      </c>
      <c r="L82" s="84">
        <f t="shared" si="147"/>
        <v>229482.99936463969</v>
      </c>
      <c r="M82" s="84">
        <f t="shared" si="147"/>
        <v>866197.84683646739</v>
      </c>
      <c r="N82" s="84">
        <f t="shared" si="147"/>
        <v>126319.46613465624</v>
      </c>
      <c r="O82" s="84">
        <f t="shared" si="147"/>
        <v>1362580.2519666394</v>
      </c>
      <c r="P82" s="84">
        <f t="shared" si="147"/>
        <v>628849.72247678041</v>
      </c>
      <c r="Q82" s="84">
        <f t="shared" si="147"/>
        <v>1306072.5005286976</v>
      </c>
      <c r="R82" s="84">
        <f t="shared" si="147"/>
        <v>0</v>
      </c>
      <c r="S82" s="84">
        <f t="shared" si="147"/>
        <v>0</v>
      </c>
      <c r="T82" s="84">
        <f t="shared" si="147"/>
        <v>0</v>
      </c>
      <c r="U82" s="84">
        <f t="shared" si="147"/>
        <v>0</v>
      </c>
      <c r="V82" s="84">
        <f t="shared" si="147"/>
        <v>0</v>
      </c>
      <c r="W82" s="84">
        <f t="shared" si="147"/>
        <v>0</v>
      </c>
      <c r="X82" s="84">
        <f t="shared" si="147"/>
        <v>0</v>
      </c>
      <c r="Y82" s="84">
        <f t="shared" si="147"/>
        <v>0</v>
      </c>
      <c r="Z82" s="84">
        <f t="shared" si="147"/>
        <v>0</v>
      </c>
      <c r="AA82" s="84">
        <f t="shared" si="147"/>
        <v>0</v>
      </c>
      <c r="AB82" s="84">
        <f t="shared" si="147"/>
        <v>0</v>
      </c>
      <c r="AC82" s="84">
        <f t="shared" si="147"/>
        <v>0</v>
      </c>
      <c r="AD82" s="84">
        <f t="shared" si="147"/>
        <v>0</v>
      </c>
      <c r="AE82" s="84">
        <f t="shared" si="147"/>
        <v>0</v>
      </c>
      <c r="AF82" s="84">
        <f t="shared" si="147"/>
        <v>0</v>
      </c>
      <c r="AG82" s="84">
        <f t="shared" si="147"/>
        <v>0</v>
      </c>
      <c r="AH82" s="84">
        <f t="shared" si="147"/>
        <v>0</v>
      </c>
      <c r="AI82" s="84">
        <f t="shared" si="147"/>
        <v>0</v>
      </c>
      <c r="AJ82" s="84">
        <f t="shared" ref="AJ82:BA82" si="148">AJ$6*VLOOKUP(AJ22,RehabArray,3)*AnnMiles</f>
        <v>0</v>
      </c>
      <c r="AK82" s="84">
        <f t="shared" si="148"/>
        <v>0</v>
      </c>
      <c r="AL82" s="84">
        <f t="shared" si="148"/>
        <v>0</v>
      </c>
      <c r="AM82" s="84">
        <f t="shared" si="148"/>
        <v>0</v>
      </c>
      <c r="AN82" s="84">
        <f t="shared" si="148"/>
        <v>0</v>
      </c>
      <c r="AO82" s="84">
        <f t="shared" si="148"/>
        <v>0</v>
      </c>
      <c r="AP82" s="84">
        <f t="shared" si="148"/>
        <v>0</v>
      </c>
      <c r="AQ82" s="84">
        <f t="shared" si="148"/>
        <v>0</v>
      </c>
      <c r="AR82" s="84">
        <f t="shared" si="148"/>
        <v>0</v>
      </c>
      <c r="AS82" s="84">
        <f t="shared" si="148"/>
        <v>0</v>
      </c>
      <c r="AT82" s="84">
        <f t="shared" si="148"/>
        <v>0</v>
      </c>
      <c r="AU82" s="84">
        <f t="shared" si="148"/>
        <v>0</v>
      </c>
      <c r="AV82" s="84">
        <f t="shared" si="148"/>
        <v>0</v>
      </c>
      <c r="AW82" s="84">
        <f t="shared" si="148"/>
        <v>0</v>
      </c>
      <c r="AX82" s="84">
        <f t="shared" si="148"/>
        <v>0</v>
      </c>
      <c r="AY82" s="84">
        <f t="shared" si="148"/>
        <v>0</v>
      </c>
      <c r="AZ82" s="84">
        <f t="shared" si="148"/>
        <v>0</v>
      </c>
      <c r="BA82" s="84">
        <f t="shared" si="148"/>
        <v>0</v>
      </c>
      <c r="BB82" s="84"/>
      <c r="BC82" s="90">
        <f t="shared" si="61"/>
        <v>20024723.092142481</v>
      </c>
    </row>
    <row r="83" spans="1:55" x14ac:dyDescent="0.2">
      <c r="A83" s="52"/>
      <c r="B83" s="7"/>
      <c r="C83" s="7">
        <f t="shared" si="122"/>
        <v>15</v>
      </c>
      <c r="D83" s="84">
        <f t="shared" ref="D83:AI83" si="149">D$6*VLOOKUP(D23,RehabArray,3)*AnnMiles</f>
        <v>1998918.1080841555</v>
      </c>
      <c r="E83" s="84">
        <f t="shared" si="149"/>
        <v>526331.10889440088</v>
      </c>
      <c r="F83" s="84">
        <f t="shared" si="149"/>
        <v>2777304.9909910192</v>
      </c>
      <c r="G83" s="84">
        <f t="shared" si="149"/>
        <v>580610.03359225241</v>
      </c>
      <c r="H83" s="84">
        <f t="shared" si="149"/>
        <v>3750130.2887702794</v>
      </c>
      <c r="I83" s="84">
        <f t="shared" si="149"/>
        <v>917931.99745855876</v>
      </c>
      <c r="J83" s="84">
        <f t="shared" si="149"/>
        <v>1376897.996187838</v>
      </c>
      <c r="K83" s="84">
        <f t="shared" si="149"/>
        <v>3832026.2217088658</v>
      </c>
      <c r="L83" s="84">
        <f t="shared" si="149"/>
        <v>230990.60631453787</v>
      </c>
      <c r="M83" s="84">
        <f t="shared" si="149"/>
        <v>885677.16377831565</v>
      </c>
      <c r="N83" s="84">
        <f t="shared" si="149"/>
        <v>133261.20720561038</v>
      </c>
      <c r="O83" s="84">
        <f t="shared" si="149"/>
        <v>1376897.996187838</v>
      </c>
      <c r="P83" s="84">
        <f t="shared" si="149"/>
        <v>146313.93954259765</v>
      </c>
      <c r="Q83" s="84">
        <f t="shared" si="149"/>
        <v>303882.79751154897</v>
      </c>
      <c r="R83" s="84">
        <f t="shared" si="149"/>
        <v>0</v>
      </c>
      <c r="S83" s="84">
        <f t="shared" si="149"/>
        <v>0</v>
      </c>
      <c r="T83" s="84">
        <f t="shared" si="149"/>
        <v>0</v>
      </c>
      <c r="U83" s="84">
        <f t="shared" si="149"/>
        <v>0</v>
      </c>
      <c r="V83" s="84">
        <f t="shared" si="149"/>
        <v>0</v>
      </c>
      <c r="W83" s="84">
        <f t="shared" si="149"/>
        <v>0</v>
      </c>
      <c r="X83" s="84">
        <f t="shared" si="149"/>
        <v>0</v>
      </c>
      <c r="Y83" s="84">
        <f t="shared" si="149"/>
        <v>0</v>
      </c>
      <c r="Z83" s="84">
        <f t="shared" si="149"/>
        <v>0</v>
      </c>
      <c r="AA83" s="84">
        <f t="shared" si="149"/>
        <v>0</v>
      </c>
      <c r="AB83" s="84">
        <f t="shared" si="149"/>
        <v>0</v>
      </c>
      <c r="AC83" s="84">
        <f t="shared" si="149"/>
        <v>0</v>
      </c>
      <c r="AD83" s="84">
        <f t="shared" si="149"/>
        <v>0</v>
      </c>
      <c r="AE83" s="84">
        <f t="shared" si="149"/>
        <v>0</v>
      </c>
      <c r="AF83" s="84">
        <f t="shared" si="149"/>
        <v>0</v>
      </c>
      <c r="AG83" s="84">
        <f t="shared" si="149"/>
        <v>0</v>
      </c>
      <c r="AH83" s="84">
        <f t="shared" si="149"/>
        <v>0</v>
      </c>
      <c r="AI83" s="84">
        <f t="shared" si="149"/>
        <v>0</v>
      </c>
      <c r="AJ83" s="84">
        <f t="shared" ref="AJ83:BA83" si="150">AJ$6*VLOOKUP(AJ23,RehabArray,3)*AnnMiles</f>
        <v>0</v>
      </c>
      <c r="AK83" s="84">
        <f t="shared" si="150"/>
        <v>0</v>
      </c>
      <c r="AL83" s="84">
        <f t="shared" si="150"/>
        <v>0</v>
      </c>
      <c r="AM83" s="84">
        <f t="shared" si="150"/>
        <v>0</v>
      </c>
      <c r="AN83" s="84">
        <f t="shared" si="150"/>
        <v>0</v>
      </c>
      <c r="AO83" s="84">
        <f t="shared" si="150"/>
        <v>0</v>
      </c>
      <c r="AP83" s="84">
        <f t="shared" si="150"/>
        <v>0</v>
      </c>
      <c r="AQ83" s="84">
        <f t="shared" si="150"/>
        <v>0</v>
      </c>
      <c r="AR83" s="84">
        <f t="shared" si="150"/>
        <v>0</v>
      </c>
      <c r="AS83" s="84">
        <f t="shared" si="150"/>
        <v>0</v>
      </c>
      <c r="AT83" s="84">
        <f t="shared" si="150"/>
        <v>0</v>
      </c>
      <c r="AU83" s="84">
        <f t="shared" si="150"/>
        <v>0</v>
      </c>
      <c r="AV83" s="84">
        <f t="shared" si="150"/>
        <v>0</v>
      </c>
      <c r="AW83" s="84">
        <f t="shared" si="150"/>
        <v>0</v>
      </c>
      <c r="AX83" s="84">
        <f t="shared" si="150"/>
        <v>0</v>
      </c>
      <c r="AY83" s="84">
        <f t="shared" si="150"/>
        <v>0</v>
      </c>
      <c r="AZ83" s="84">
        <f t="shared" si="150"/>
        <v>0</v>
      </c>
      <c r="BA83" s="84">
        <f t="shared" si="150"/>
        <v>0</v>
      </c>
      <c r="BB83" s="84"/>
      <c r="BC83" s="90">
        <f t="shared" si="61"/>
        <v>18837174.45622782</v>
      </c>
    </row>
    <row r="84" spans="1:55" x14ac:dyDescent="0.2">
      <c r="A84" s="52"/>
      <c r="B84" s="7"/>
      <c r="C84" s="7">
        <f t="shared" si="122"/>
        <v>16</v>
      </c>
      <c r="D84" s="84">
        <f t="shared" ref="D84:AI84" si="151">D$6*VLOOKUP(D24,RehabArray,3)*AnnMiles</f>
        <v>2043870.3779499591</v>
      </c>
      <c r="E84" s="84">
        <f t="shared" si="151"/>
        <v>555255.03002337657</v>
      </c>
      <c r="F84" s="84">
        <f t="shared" si="151"/>
        <v>2800082.0550155817</v>
      </c>
      <c r="G84" s="84">
        <f t="shared" si="151"/>
        <v>583548.80035756808</v>
      </c>
      <c r="H84" s="84">
        <f t="shared" si="151"/>
        <v>3774286.2698083082</v>
      </c>
      <c r="I84" s="84">
        <f t="shared" si="151"/>
        <v>923962.42525815149</v>
      </c>
      <c r="J84" s="84">
        <f t="shared" si="151"/>
        <v>1385943.6378872273</v>
      </c>
      <c r="K84" s="84">
        <f t="shared" si="151"/>
        <v>3851422.0823599487</v>
      </c>
      <c r="L84" s="84">
        <f t="shared" si="151"/>
        <v>232244.01343690098</v>
      </c>
      <c r="M84" s="84">
        <f t="shared" si="151"/>
        <v>894983.69752209482</v>
      </c>
      <c r="N84" s="84">
        <f t="shared" si="151"/>
        <v>136258.02519666395</v>
      </c>
      <c r="O84" s="84">
        <f t="shared" si="151"/>
        <v>1385943.6378872273</v>
      </c>
      <c r="P84" s="84">
        <f t="shared" si="151"/>
        <v>343558.7040958188</v>
      </c>
      <c r="Q84" s="84">
        <f t="shared" si="151"/>
        <v>713545.00081439281</v>
      </c>
      <c r="R84" s="84">
        <f t="shared" si="151"/>
        <v>0</v>
      </c>
      <c r="S84" s="84">
        <f t="shared" si="151"/>
        <v>0</v>
      </c>
      <c r="T84" s="84">
        <f t="shared" si="151"/>
        <v>0</v>
      </c>
      <c r="U84" s="84">
        <f t="shared" si="151"/>
        <v>0</v>
      </c>
      <c r="V84" s="84">
        <f t="shared" si="151"/>
        <v>0</v>
      </c>
      <c r="W84" s="84">
        <f t="shared" si="151"/>
        <v>0</v>
      </c>
      <c r="X84" s="84">
        <f t="shared" si="151"/>
        <v>0</v>
      </c>
      <c r="Y84" s="84">
        <f t="shared" si="151"/>
        <v>0</v>
      </c>
      <c r="Z84" s="84">
        <f t="shared" si="151"/>
        <v>0</v>
      </c>
      <c r="AA84" s="84">
        <f t="shared" si="151"/>
        <v>0</v>
      </c>
      <c r="AB84" s="84">
        <f t="shared" si="151"/>
        <v>0</v>
      </c>
      <c r="AC84" s="84">
        <f t="shared" si="151"/>
        <v>0</v>
      </c>
      <c r="AD84" s="84">
        <f t="shared" si="151"/>
        <v>0</v>
      </c>
      <c r="AE84" s="84">
        <f t="shared" si="151"/>
        <v>0</v>
      </c>
      <c r="AF84" s="84">
        <f t="shared" si="151"/>
        <v>0</v>
      </c>
      <c r="AG84" s="84">
        <f t="shared" si="151"/>
        <v>0</v>
      </c>
      <c r="AH84" s="84">
        <f t="shared" si="151"/>
        <v>0</v>
      </c>
      <c r="AI84" s="84">
        <f t="shared" si="151"/>
        <v>0</v>
      </c>
      <c r="AJ84" s="84">
        <f t="shared" ref="AJ84:BA84" si="152">AJ$6*VLOOKUP(AJ24,RehabArray,3)*AnnMiles</f>
        <v>0</v>
      </c>
      <c r="AK84" s="84">
        <f t="shared" si="152"/>
        <v>0</v>
      </c>
      <c r="AL84" s="84">
        <f t="shared" si="152"/>
        <v>0</v>
      </c>
      <c r="AM84" s="84">
        <f t="shared" si="152"/>
        <v>0</v>
      </c>
      <c r="AN84" s="84">
        <f t="shared" si="152"/>
        <v>0</v>
      </c>
      <c r="AO84" s="84">
        <f t="shared" si="152"/>
        <v>0</v>
      </c>
      <c r="AP84" s="84">
        <f t="shared" si="152"/>
        <v>0</v>
      </c>
      <c r="AQ84" s="84">
        <f t="shared" si="152"/>
        <v>0</v>
      </c>
      <c r="AR84" s="84">
        <f t="shared" si="152"/>
        <v>0</v>
      </c>
      <c r="AS84" s="84">
        <f t="shared" si="152"/>
        <v>0</v>
      </c>
      <c r="AT84" s="84">
        <f t="shared" si="152"/>
        <v>0</v>
      </c>
      <c r="AU84" s="84">
        <f t="shared" si="152"/>
        <v>0</v>
      </c>
      <c r="AV84" s="84">
        <f t="shared" si="152"/>
        <v>0</v>
      </c>
      <c r="AW84" s="84">
        <f t="shared" si="152"/>
        <v>0</v>
      </c>
      <c r="AX84" s="84">
        <f t="shared" si="152"/>
        <v>0</v>
      </c>
      <c r="AY84" s="84">
        <f t="shared" si="152"/>
        <v>0</v>
      </c>
      <c r="AZ84" s="84">
        <f t="shared" si="152"/>
        <v>0</v>
      </c>
      <c r="BA84" s="84">
        <f t="shared" si="152"/>
        <v>0</v>
      </c>
      <c r="BB84" s="84"/>
      <c r="BC84" s="90">
        <f t="shared" si="61"/>
        <v>19624903.757613223</v>
      </c>
    </row>
    <row r="85" spans="1:55" x14ac:dyDescent="0.2">
      <c r="A85" s="52"/>
      <c r="B85" s="7"/>
      <c r="C85" s="7">
        <f t="shared" si="122"/>
        <v>17</v>
      </c>
      <c r="D85" s="84">
        <f t="shared" ref="D85:AI85" si="153">D$6*VLOOKUP(D25,RehabArray,3)*AnnMiles</f>
        <v>2065346.9942817574</v>
      </c>
      <c r="E85" s="84">
        <f t="shared" si="153"/>
        <v>567741.77165276639</v>
      </c>
      <c r="F85" s="84">
        <f t="shared" si="153"/>
        <v>2829823.7511455119</v>
      </c>
      <c r="G85" s="84">
        <f t="shared" si="153"/>
        <v>586473.44645969383</v>
      </c>
      <c r="H85" s="84">
        <f t="shared" si="153"/>
        <v>3805239.7157904054</v>
      </c>
      <c r="I85" s="84">
        <f t="shared" si="153"/>
        <v>928976.0537476039</v>
      </c>
      <c r="J85" s="84">
        <f t="shared" si="153"/>
        <v>1393464.0806214057</v>
      </c>
      <c r="K85" s="84">
        <f t="shared" si="153"/>
        <v>3870724.746633979</v>
      </c>
      <c r="L85" s="84">
        <f t="shared" si="153"/>
        <v>233419.52014302721</v>
      </c>
      <c r="M85" s="84">
        <f t="shared" si="153"/>
        <v>900863.36462669785</v>
      </c>
      <c r="N85" s="84">
        <f t="shared" si="153"/>
        <v>137689.79961878381</v>
      </c>
      <c r="O85" s="84">
        <f t="shared" si="153"/>
        <v>1393464.0806214057</v>
      </c>
      <c r="P85" s="84">
        <f t="shared" si="153"/>
        <v>479584.30167541065</v>
      </c>
      <c r="Q85" s="84">
        <f t="shared" si="153"/>
        <v>996059.70347969909</v>
      </c>
      <c r="R85" s="84">
        <f t="shared" si="153"/>
        <v>0</v>
      </c>
      <c r="S85" s="84">
        <f t="shared" si="153"/>
        <v>0</v>
      </c>
      <c r="T85" s="84">
        <f t="shared" si="153"/>
        <v>0</v>
      </c>
      <c r="U85" s="84">
        <f t="shared" si="153"/>
        <v>0</v>
      </c>
      <c r="V85" s="84">
        <f t="shared" si="153"/>
        <v>0</v>
      </c>
      <c r="W85" s="84">
        <f t="shared" si="153"/>
        <v>0</v>
      </c>
      <c r="X85" s="84">
        <f t="shared" si="153"/>
        <v>0</v>
      </c>
      <c r="Y85" s="84">
        <f t="shared" si="153"/>
        <v>0</v>
      </c>
      <c r="Z85" s="84">
        <f t="shared" si="153"/>
        <v>0</v>
      </c>
      <c r="AA85" s="84">
        <f t="shared" si="153"/>
        <v>0</v>
      </c>
      <c r="AB85" s="84">
        <f t="shared" si="153"/>
        <v>0</v>
      </c>
      <c r="AC85" s="84">
        <f t="shared" si="153"/>
        <v>0</v>
      </c>
      <c r="AD85" s="84">
        <f t="shared" si="153"/>
        <v>0</v>
      </c>
      <c r="AE85" s="84">
        <f t="shared" si="153"/>
        <v>0</v>
      </c>
      <c r="AF85" s="84">
        <f t="shared" si="153"/>
        <v>0</v>
      </c>
      <c r="AG85" s="84">
        <f t="shared" si="153"/>
        <v>0</v>
      </c>
      <c r="AH85" s="84">
        <f t="shared" si="153"/>
        <v>0</v>
      </c>
      <c r="AI85" s="84">
        <f t="shared" si="153"/>
        <v>0</v>
      </c>
      <c r="AJ85" s="84">
        <f t="shared" ref="AJ85:BA85" si="154">AJ$6*VLOOKUP(AJ25,RehabArray,3)*AnnMiles</f>
        <v>0</v>
      </c>
      <c r="AK85" s="84">
        <f t="shared" si="154"/>
        <v>0</v>
      </c>
      <c r="AL85" s="84">
        <f t="shared" si="154"/>
        <v>0</v>
      </c>
      <c r="AM85" s="84">
        <f t="shared" si="154"/>
        <v>0</v>
      </c>
      <c r="AN85" s="84">
        <f t="shared" si="154"/>
        <v>0</v>
      </c>
      <c r="AO85" s="84">
        <f t="shared" si="154"/>
        <v>0</v>
      </c>
      <c r="AP85" s="84">
        <f t="shared" si="154"/>
        <v>0</v>
      </c>
      <c r="AQ85" s="84">
        <f t="shared" si="154"/>
        <v>0</v>
      </c>
      <c r="AR85" s="84">
        <f t="shared" si="154"/>
        <v>0</v>
      </c>
      <c r="AS85" s="84">
        <f t="shared" si="154"/>
        <v>0</v>
      </c>
      <c r="AT85" s="84">
        <f t="shared" si="154"/>
        <v>0</v>
      </c>
      <c r="AU85" s="84">
        <f t="shared" si="154"/>
        <v>0</v>
      </c>
      <c r="AV85" s="84">
        <f t="shared" si="154"/>
        <v>0</v>
      </c>
      <c r="AW85" s="84">
        <f t="shared" si="154"/>
        <v>0</v>
      </c>
      <c r="AX85" s="84">
        <f t="shared" si="154"/>
        <v>0</v>
      </c>
      <c r="AY85" s="84">
        <f t="shared" si="154"/>
        <v>0</v>
      </c>
      <c r="AZ85" s="84">
        <f t="shared" si="154"/>
        <v>0</v>
      </c>
      <c r="BA85" s="84">
        <f t="shared" si="154"/>
        <v>0</v>
      </c>
      <c r="BB85" s="84"/>
      <c r="BC85" s="90">
        <f t="shared" si="61"/>
        <v>20188871.330498148</v>
      </c>
    </row>
    <row r="86" spans="1:55" x14ac:dyDescent="0.2">
      <c r="A86" s="52"/>
      <c r="B86" s="7"/>
      <c r="C86" s="7">
        <f t="shared" si="122"/>
        <v>18</v>
      </c>
      <c r="D86" s="84">
        <f t="shared" ref="D86:AI86" si="155">D$6*VLOOKUP(D26,RehabArray,3)*AnnMiles</f>
        <v>2078915.456830841</v>
      </c>
      <c r="E86" s="84">
        <f t="shared" si="155"/>
        <v>573707.49841159931</v>
      </c>
      <c r="F86" s="84">
        <f t="shared" si="155"/>
        <v>658412.72794168955</v>
      </c>
      <c r="G86" s="84">
        <f t="shared" si="155"/>
        <v>589643.12716513814</v>
      </c>
      <c r="H86" s="84">
        <f t="shared" si="155"/>
        <v>3845657.918223388</v>
      </c>
      <c r="I86" s="84">
        <f t="shared" si="155"/>
        <v>933678.08057210885</v>
      </c>
      <c r="J86" s="84">
        <f t="shared" si="155"/>
        <v>1400517.1208581631</v>
      </c>
      <c r="K86" s="84">
        <f t="shared" si="155"/>
        <v>3891644.6392899123</v>
      </c>
      <c r="L86" s="84">
        <f t="shared" si="155"/>
        <v>234589.37858387755</v>
      </c>
      <c r="M86" s="84">
        <f t="shared" si="155"/>
        <v>905751.65240391379</v>
      </c>
      <c r="N86" s="84">
        <f t="shared" si="155"/>
        <v>138594.36378872275</v>
      </c>
      <c r="O86" s="84">
        <f t="shared" si="155"/>
        <v>1400517.1208581631</v>
      </c>
      <c r="P86" s="84">
        <f t="shared" si="155"/>
        <v>547384.353250177</v>
      </c>
      <c r="Q86" s="84">
        <f t="shared" si="155"/>
        <v>1136875.195211906</v>
      </c>
      <c r="R86" s="84">
        <f t="shared" si="155"/>
        <v>0</v>
      </c>
      <c r="S86" s="84">
        <f t="shared" si="155"/>
        <v>0</v>
      </c>
      <c r="T86" s="84">
        <f t="shared" si="155"/>
        <v>0</v>
      </c>
      <c r="U86" s="84">
        <f t="shared" si="155"/>
        <v>0</v>
      </c>
      <c r="V86" s="84">
        <f t="shared" si="155"/>
        <v>0</v>
      </c>
      <c r="W86" s="84">
        <f t="shared" si="155"/>
        <v>0</v>
      </c>
      <c r="X86" s="84">
        <f t="shared" si="155"/>
        <v>0</v>
      </c>
      <c r="Y86" s="84">
        <f t="shared" si="155"/>
        <v>0</v>
      </c>
      <c r="Z86" s="84">
        <f t="shared" si="155"/>
        <v>0</v>
      </c>
      <c r="AA86" s="84">
        <f t="shared" si="155"/>
        <v>0</v>
      </c>
      <c r="AB86" s="84">
        <f t="shared" si="155"/>
        <v>0</v>
      </c>
      <c r="AC86" s="84">
        <f t="shared" si="155"/>
        <v>0</v>
      </c>
      <c r="AD86" s="84">
        <f t="shared" si="155"/>
        <v>0</v>
      </c>
      <c r="AE86" s="84">
        <f t="shared" si="155"/>
        <v>0</v>
      </c>
      <c r="AF86" s="84">
        <f t="shared" si="155"/>
        <v>0</v>
      </c>
      <c r="AG86" s="84">
        <f t="shared" si="155"/>
        <v>0</v>
      </c>
      <c r="AH86" s="84">
        <f t="shared" si="155"/>
        <v>0</v>
      </c>
      <c r="AI86" s="84">
        <f t="shared" si="155"/>
        <v>0</v>
      </c>
      <c r="AJ86" s="84">
        <f t="shared" ref="AJ86:BA86" si="156">AJ$6*VLOOKUP(AJ26,RehabArray,3)*AnnMiles</f>
        <v>0</v>
      </c>
      <c r="AK86" s="84">
        <f t="shared" si="156"/>
        <v>0</v>
      </c>
      <c r="AL86" s="84">
        <f t="shared" si="156"/>
        <v>0</v>
      </c>
      <c r="AM86" s="84">
        <f t="shared" si="156"/>
        <v>0</v>
      </c>
      <c r="AN86" s="84">
        <f t="shared" si="156"/>
        <v>0</v>
      </c>
      <c r="AO86" s="84">
        <f t="shared" si="156"/>
        <v>0</v>
      </c>
      <c r="AP86" s="84">
        <f t="shared" si="156"/>
        <v>0</v>
      </c>
      <c r="AQ86" s="84">
        <f t="shared" si="156"/>
        <v>0</v>
      </c>
      <c r="AR86" s="84">
        <f t="shared" si="156"/>
        <v>0</v>
      </c>
      <c r="AS86" s="84">
        <f t="shared" si="156"/>
        <v>0</v>
      </c>
      <c r="AT86" s="84">
        <f t="shared" si="156"/>
        <v>0</v>
      </c>
      <c r="AU86" s="84">
        <f t="shared" si="156"/>
        <v>0</v>
      </c>
      <c r="AV86" s="84">
        <f t="shared" si="156"/>
        <v>0</v>
      </c>
      <c r="AW86" s="84">
        <f t="shared" si="156"/>
        <v>0</v>
      </c>
      <c r="AX86" s="84">
        <f t="shared" si="156"/>
        <v>0</v>
      </c>
      <c r="AY86" s="84">
        <f t="shared" si="156"/>
        <v>0</v>
      </c>
      <c r="AZ86" s="84">
        <f t="shared" si="156"/>
        <v>0</v>
      </c>
      <c r="BA86" s="84">
        <f t="shared" si="156"/>
        <v>0</v>
      </c>
      <c r="BB86" s="84"/>
      <c r="BC86" s="90">
        <f t="shared" si="61"/>
        <v>18335888.6333896</v>
      </c>
    </row>
    <row r="87" spans="1:55" x14ac:dyDescent="0.2">
      <c r="A87" s="52"/>
      <c r="B87" s="7"/>
      <c r="C87" s="7">
        <f t="shared" si="122"/>
        <v>19</v>
      </c>
      <c r="D87" s="84">
        <f t="shared" ref="D87:AI87" si="157">D$6*VLOOKUP(D27,RehabArray,3)*AnnMiles</f>
        <v>2090196.1209321087</v>
      </c>
      <c r="E87" s="84">
        <f t="shared" si="157"/>
        <v>577476.51578634465</v>
      </c>
      <c r="F87" s="84">
        <f t="shared" si="157"/>
        <v>1546014.1684311845</v>
      </c>
      <c r="G87" s="84">
        <f t="shared" si="157"/>
        <v>593441.23739124334</v>
      </c>
      <c r="H87" s="84">
        <f t="shared" si="157"/>
        <v>894766.01489511644</v>
      </c>
      <c r="I87" s="84">
        <f t="shared" si="157"/>
        <v>938357.5143355102</v>
      </c>
      <c r="J87" s="84">
        <f t="shared" si="157"/>
        <v>1407536.2715032652</v>
      </c>
      <c r="K87" s="84">
        <f t="shared" si="157"/>
        <v>3916712.1667822064</v>
      </c>
      <c r="L87" s="84">
        <f t="shared" si="157"/>
        <v>235857.25086605528</v>
      </c>
      <c r="M87" s="84">
        <f t="shared" si="157"/>
        <v>910336.12855780602</v>
      </c>
      <c r="N87" s="84">
        <f t="shared" si="157"/>
        <v>139346.40806214057</v>
      </c>
      <c r="O87" s="84">
        <f t="shared" si="157"/>
        <v>1407536.2715032652</v>
      </c>
      <c r="P87" s="84">
        <f t="shared" si="157"/>
        <v>577465.23122431152</v>
      </c>
      <c r="Q87" s="84">
        <f t="shared" si="157"/>
        <v>1199350.8648504934</v>
      </c>
      <c r="R87" s="84">
        <f t="shared" si="157"/>
        <v>0</v>
      </c>
      <c r="S87" s="84">
        <f t="shared" si="157"/>
        <v>0</v>
      </c>
      <c r="T87" s="84">
        <f t="shared" si="157"/>
        <v>0</v>
      </c>
      <c r="U87" s="84">
        <f t="shared" si="157"/>
        <v>0</v>
      </c>
      <c r="V87" s="84">
        <f t="shared" si="157"/>
        <v>0</v>
      </c>
      <c r="W87" s="84">
        <f t="shared" si="157"/>
        <v>0</v>
      </c>
      <c r="X87" s="84">
        <f t="shared" si="157"/>
        <v>0</v>
      </c>
      <c r="Y87" s="84">
        <f t="shared" si="157"/>
        <v>0</v>
      </c>
      <c r="Z87" s="84">
        <f t="shared" si="157"/>
        <v>0</v>
      </c>
      <c r="AA87" s="84">
        <f t="shared" si="157"/>
        <v>0</v>
      </c>
      <c r="AB87" s="84">
        <f t="shared" si="157"/>
        <v>0</v>
      </c>
      <c r="AC87" s="84">
        <f t="shared" si="157"/>
        <v>0</v>
      </c>
      <c r="AD87" s="84">
        <f t="shared" si="157"/>
        <v>0</v>
      </c>
      <c r="AE87" s="84">
        <f t="shared" si="157"/>
        <v>0</v>
      </c>
      <c r="AF87" s="84">
        <f t="shared" si="157"/>
        <v>0</v>
      </c>
      <c r="AG87" s="84">
        <f t="shared" si="157"/>
        <v>0</v>
      </c>
      <c r="AH87" s="84">
        <f t="shared" si="157"/>
        <v>0</v>
      </c>
      <c r="AI87" s="84">
        <f t="shared" si="157"/>
        <v>0</v>
      </c>
      <c r="AJ87" s="84">
        <f t="shared" ref="AJ87:BA87" si="158">AJ$6*VLOOKUP(AJ27,RehabArray,3)*AnnMiles</f>
        <v>0</v>
      </c>
      <c r="AK87" s="84">
        <f t="shared" si="158"/>
        <v>0</v>
      </c>
      <c r="AL87" s="84">
        <f t="shared" si="158"/>
        <v>0</v>
      </c>
      <c r="AM87" s="84">
        <f t="shared" si="158"/>
        <v>0</v>
      </c>
      <c r="AN87" s="84">
        <f t="shared" si="158"/>
        <v>0</v>
      </c>
      <c r="AO87" s="84">
        <f t="shared" si="158"/>
        <v>0</v>
      </c>
      <c r="AP87" s="84">
        <f t="shared" si="158"/>
        <v>0</v>
      </c>
      <c r="AQ87" s="84">
        <f t="shared" si="158"/>
        <v>0</v>
      </c>
      <c r="AR87" s="84">
        <f t="shared" si="158"/>
        <v>0</v>
      </c>
      <c r="AS87" s="84">
        <f t="shared" si="158"/>
        <v>0</v>
      </c>
      <c r="AT87" s="84">
        <f t="shared" si="158"/>
        <v>0</v>
      </c>
      <c r="AU87" s="84">
        <f t="shared" si="158"/>
        <v>0</v>
      </c>
      <c r="AV87" s="84">
        <f t="shared" si="158"/>
        <v>0</v>
      </c>
      <c r="AW87" s="84">
        <f t="shared" si="158"/>
        <v>0</v>
      </c>
      <c r="AX87" s="84">
        <f t="shared" si="158"/>
        <v>0</v>
      </c>
      <c r="AY87" s="84">
        <f t="shared" si="158"/>
        <v>0</v>
      </c>
      <c r="AZ87" s="84">
        <f t="shared" si="158"/>
        <v>0</v>
      </c>
      <c r="BA87" s="84">
        <f t="shared" si="158"/>
        <v>0</v>
      </c>
      <c r="BB87" s="84"/>
      <c r="BC87" s="90">
        <f t="shared" si="61"/>
        <v>16434392.165121054</v>
      </c>
    </row>
    <row r="88" spans="1:55" x14ac:dyDescent="0.2">
      <c r="A88" s="52"/>
      <c r="B88" s="7"/>
      <c r="C88" s="7">
        <f t="shared" si="122"/>
        <v>20</v>
      </c>
      <c r="D88" s="84">
        <f t="shared" ref="D88:AI88" si="159">D$6*VLOOKUP(D28,RehabArray,3)*AnnMiles</f>
        <v>2100775.6812872449</v>
      </c>
      <c r="E88" s="84">
        <f t="shared" si="159"/>
        <v>580610.03359225241</v>
      </c>
      <c r="F88" s="84">
        <f t="shared" si="159"/>
        <v>2158129.3575393483</v>
      </c>
      <c r="G88" s="84">
        <f t="shared" si="159"/>
        <v>598308.13141358574</v>
      </c>
      <c r="H88" s="84">
        <f t="shared" si="159"/>
        <v>2100993.6135090454</v>
      </c>
      <c r="I88" s="84">
        <f t="shared" si="159"/>
        <v>943429.00346422114</v>
      </c>
      <c r="J88" s="84">
        <f t="shared" si="159"/>
        <v>1415143.5051963318</v>
      </c>
      <c r="K88" s="84">
        <f t="shared" si="159"/>
        <v>3948833.6673296667</v>
      </c>
      <c r="L88" s="84">
        <f t="shared" si="159"/>
        <v>237376.49495649734</v>
      </c>
      <c r="M88" s="84">
        <f t="shared" si="159"/>
        <v>914898.57647712238</v>
      </c>
      <c r="N88" s="84">
        <f t="shared" si="159"/>
        <v>140051.71208581631</v>
      </c>
      <c r="O88" s="84">
        <f t="shared" si="159"/>
        <v>1415143.5051963318</v>
      </c>
      <c r="P88" s="84">
        <f t="shared" si="159"/>
        <v>590451.4425188771</v>
      </c>
      <c r="Q88" s="84">
        <f t="shared" si="159"/>
        <v>1226322.2267699754</v>
      </c>
      <c r="R88" s="84">
        <f t="shared" si="159"/>
        <v>0</v>
      </c>
      <c r="S88" s="84">
        <f t="shared" si="159"/>
        <v>0</v>
      </c>
      <c r="T88" s="84">
        <f t="shared" si="159"/>
        <v>0</v>
      </c>
      <c r="U88" s="84">
        <f t="shared" si="159"/>
        <v>0</v>
      </c>
      <c r="V88" s="84">
        <f t="shared" si="159"/>
        <v>0</v>
      </c>
      <c r="W88" s="84">
        <f t="shared" si="159"/>
        <v>0</v>
      </c>
      <c r="X88" s="84">
        <f t="shared" si="159"/>
        <v>0</v>
      </c>
      <c r="Y88" s="84">
        <f t="shared" si="159"/>
        <v>0</v>
      </c>
      <c r="Z88" s="84">
        <f t="shared" si="159"/>
        <v>0</v>
      </c>
      <c r="AA88" s="84">
        <f t="shared" si="159"/>
        <v>0</v>
      </c>
      <c r="AB88" s="84">
        <f t="shared" si="159"/>
        <v>0</v>
      </c>
      <c r="AC88" s="84">
        <f t="shared" si="159"/>
        <v>0</v>
      </c>
      <c r="AD88" s="84">
        <f t="shared" si="159"/>
        <v>0</v>
      </c>
      <c r="AE88" s="84">
        <f t="shared" si="159"/>
        <v>0</v>
      </c>
      <c r="AF88" s="84">
        <f t="shared" si="159"/>
        <v>0</v>
      </c>
      <c r="AG88" s="84">
        <f t="shared" si="159"/>
        <v>0</v>
      </c>
      <c r="AH88" s="84">
        <f t="shared" si="159"/>
        <v>0</v>
      </c>
      <c r="AI88" s="84">
        <f t="shared" si="159"/>
        <v>0</v>
      </c>
      <c r="AJ88" s="84">
        <f t="shared" ref="AJ88:BA88" si="160">AJ$6*VLOOKUP(AJ28,RehabArray,3)*AnnMiles</f>
        <v>0</v>
      </c>
      <c r="AK88" s="84">
        <f t="shared" si="160"/>
        <v>0</v>
      </c>
      <c r="AL88" s="84">
        <f t="shared" si="160"/>
        <v>0</v>
      </c>
      <c r="AM88" s="84">
        <f t="shared" si="160"/>
        <v>0</v>
      </c>
      <c r="AN88" s="84">
        <f t="shared" si="160"/>
        <v>0</v>
      </c>
      <c r="AO88" s="84">
        <f t="shared" si="160"/>
        <v>0</v>
      </c>
      <c r="AP88" s="84">
        <f t="shared" si="160"/>
        <v>0</v>
      </c>
      <c r="AQ88" s="84">
        <f t="shared" si="160"/>
        <v>0</v>
      </c>
      <c r="AR88" s="84">
        <f t="shared" si="160"/>
        <v>0</v>
      </c>
      <c r="AS88" s="84">
        <f t="shared" si="160"/>
        <v>0</v>
      </c>
      <c r="AT88" s="84">
        <f t="shared" si="160"/>
        <v>0</v>
      </c>
      <c r="AU88" s="84">
        <f t="shared" si="160"/>
        <v>0</v>
      </c>
      <c r="AV88" s="84">
        <f t="shared" si="160"/>
        <v>0</v>
      </c>
      <c r="AW88" s="84">
        <f t="shared" si="160"/>
        <v>0</v>
      </c>
      <c r="AX88" s="84">
        <f t="shared" si="160"/>
        <v>0</v>
      </c>
      <c r="AY88" s="84">
        <f t="shared" si="160"/>
        <v>0</v>
      </c>
      <c r="AZ88" s="84">
        <f t="shared" si="160"/>
        <v>0</v>
      </c>
      <c r="BA88" s="84">
        <f t="shared" si="160"/>
        <v>0</v>
      </c>
      <c r="BB88" s="84"/>
      <c r="BC88" s="90">
        <f t="shared" si="61"/>
        <v>18370466.951336317</v>
      </c>
    </row>
    <row r="89" spans="1:55" x14ac:dyDescent="0.2">
      <c r="A89" s="52"/>
      <c r="B89" s="7"/>
      <c r="C89" s="7">
        <f t="shared" si="122"/>
        <v>21</v>
      </c>
      <c r="D89" s="84">
        <f t="shared" ref="D89:AI89" si="161">D$6*VLOOKUP(D29,RehabArray,3)*AnnMiles</f>
        <v>2111304.4072548975</v>
      </c>
      <c r="E89" s="84">
        <f t="shared" si="161"/>
        <v>583548.80035756808</v>
      </c>
      <c r="F89" s="84">
        <f t="shared" si="161"/>
        <v>2463229.5896257963</v>
      </c>
      <c r="G89" s="84">
        <f t="shared" si="161"/>
        <v>604663.19468921202</v>
      </c>
      <c r="H89" s="84">
        <f t="shared" si="161"/>
        <v>2932842.4602457806</v>
      </c>
      <c r="I89" s="84">
        <f t="shared" si="161"/>
        <v>949505.97982598934</v>
      </c>
      <c r="J89" s="84">
        <f t="shared" si="161"/>
        <v>1424258.969738984</v>
      </c>
      <c r="K89" s="84">
        <f t="shared" si="161"/>
        <v>3990777.0849487986</v>
      </c>
      <c r="L89" s="84">
        <f t="shared" si="161"/>
        <v>239323.25256543432</v>
      </c>
      <c r="M89" s="84">
        <f t="shared" si="161"/>
        <v>919843.27837761561</v>
      </c>
      <c r="N89" s="84">
        <f t="shared" si="161"/>
        <v>140753.62715032653</v>
      </c>
      <c r="O89" s="84">
        <f t="shared" si="161"/>
        <v>1424258.969738984</v>
      </c>
      <c r="P89" s="84">
        <f t="shared" si="161"/>
        <v>596655.79834806325</v>
      </c>
      <c r="Q89" s="84">
        <f t="shared" si="161"/>
        <v>1239208.1965690544</v>
      </c>
      <c r="R89" s="84">
        <f t="shared" si="161"/>
        <v>0</v>
      </c>
      <c r="S89" s="84">
        <f t="shared" si="161"/>
        <v>0</v>
      </c>
      <c r="T89" s="84">
        <f t="shared" si="161"/>
        <v>0</v>
      </c>
      <c r="U89" s="84">
        <f t="shared" si="161"/>
        <v>0</v>
      </c>
      <c r="V89" s="84">
        <f t="shared" si="161"/>
        <v>0</v>
      </c>
      <c r="W89" s="84">
        <f t="shared" si="161"/>
        <v>0</v>
      </c>
      <c r="X89" s="84">
        <f t="shared" si="161"/>
        <v>0</v>
      </c>
      <c r="Y89" s="84">
        <f t="shared" si="161"/>
        <v>0</v>
      </c>
      <c r="Z89" s="84">
        <f t="shared" si="161"/>
        <v>0</v>
      </c>
      <c r="AA89" s="84">
        <f t="shared" si="161"/>
        <v>0</v>
      </c>
      <c r="AB89" s="84">
        <f t="shared" si="161"/>
        <v>0</v>
      </c>
      <c r="AC89" s="84">
        <f t="shared" si="161"/>
        <v>0</v>
      </c>
      <c r="AD89" s="84">
        <f t="shared" si="161"/>
        <v>0</v>
      </c>
      <c r="AE89" s="84">
        <f t="shared" si="161"/>
        <v>0</v>
      </c>
      <c r="AF89" s="84">
        <f t="shared" si="161"/>
        <v>0</v>
      </c>
      <c r="AG89" s="84">
        <f t="shared" si="161"/>
        <v>0</v>
      </c>
      <c r="AH89" s="84">
        <f t="shared" si="161"/>
        <v>0</v>
      </c>
      <c r="AI89" s="84">
        <f t="shared" si="161"/>
        <v>0</v>
      </c>
      <c r="AJ89" s="84">
        <f t="shared" ref="AJ89:BA89" si="162">AJ$6*VLOOKUP(AJ29,RehabArray,3)*AnnMiles</f>
        <v>0</v>
      </c>
      <c r="AK89" s="84">
        <f t="shared" si="162"/>
        <v>0</v>
      </c>
      <c r="AL89" s="84">
        <f t="shared" si="162"/>
        <v>0</v>
      </c>
      <c r="AM89" s="84">
        <f t="shared" si="162"/>
        <v>0</v>
      </c>
      <c r="AN89" s="84">
        <f t="shared" si="162"/>
        <v>0</v>
      </c>
      <c r="AO89" s="84">
        <f t="shared" si="162"/>
        <v>0</v>
      </c>
      <c r="AP89" s="84">
        <f t="shared" si="162"/>
        <v>0</v>
      </c>
      <c r="AQ89" s="84">
        <f t="shared" si="162"/>
        <v>0</v>
      </c>
      <c r="AR89" s="84">
        <f t="shared" si="162"/>
        <v>0</v>
      </c>
      <c r="AS89" s="84">
        <f t="shared" si="162"/>
        <v>0</v>
      </c>
      <c r="AT89" s="84">
        <f t="shared" si="162"/>
        <v>0</v>
      </c>
      <c r="AU89" s="84">
        <f t="shared" si="162"/>
        <v>0</v>
      </c>
      <c r="AV89" s="84">
        <f t="shared" si="162"/>
        <v>0</v>
      </c>
      <c r="AW89" s="84">
        <f t="shared" si="162"/>
        <v>0</v>
      </c>
      <c r="AX89" s="84">
        <f t="shared" si="162"/>
        <v>0</v>
      </c>
      <c r="AY89" s="84">
        <f t="shared" si="162"/>
        <v>0</v>
      </c>
      <c r="AZ89" s="84">
        <f t="shared" si="162"/>
        <v>0</v>
      </c>
      <c r="BA89" s="84">
        <f t="shared" si="162"/>
        <v>0</v>
      </c>
      <c r="BB89" s="84"/>
      <c r="BC89" s="90">
        <f t="shared" si="61"/>
        <v>19620173.609436505</v>
      </c>
    </row>
    <row r="90" spans="1:55" x14ac:dyDescent="0.2">
      <c r="A90" s="52"/>
      <c r="B90" s="7"/>
      <c r="C90" s="7">
        <f t="shared" si="122"/>
        <v>22</v>
      </c>
      <c r="D90" s="84">
        <f t="shared" ref="D90:AI90" si="163">D$6*VLOOKUP(D30,RehabArray,3)*AnnMiles</f>
        <v>2122715.2577944975</v>
      </c>
      <c r="E90" s="84">
        <f t="shared" si="163"/>
        <v>586473.44645969383</v>
      </c>
      <c r="F90" s="84">
        <f t="shared" si="163"/>
        <v>2598593.5405094023</v>
      </c>
      <c r="G90" s="84">
        <f t="shared" si="163"/>
        <v>140686.48032942083</v>
      </c>
      <c r="H90" s="84">
        <f t="shared" si="163"/>
        <v>3347465.8525683903</v>
      </c>
      <c r="I90" s="84">
        <f t="shared" si="163"/>
        <v>957293.01026173728</v>
      </c>
      <c r="J90" s="84">
        <f t="shared" si="163"/>
        <v>1435939.5153926059</v>
      </c>
      <c r="K90" s="84">
        <f t="shared" si="163"/>
        <v>928530.77017417736</v>
      </c>
      <c r="L90" s="84">
        <f t="shared" si="163"/>
        <v>241865.27787568475</v>
      </c>
      <c r="M90" s="84">
        <f t="shared" si="163"/>
        <v>925768.33033033973</v>
      </c>
      <c r="N90" s="84">
        <f t="shared" si="163"/>
        <v>141514.35051963315</v>
      </c>
      <c r="O90" s="84">
        <f t="shared" si="163"/>
        <v>1435939.5153926059</v>
      </c>
      <c r="P90" s="84">
        <f t="shared" si="163"/>
        <v>600575.57641779853</v>
      </c>
      <c r="Q90" s="84">
        <f t="shared" si="163"/>
        <v>1247349.2740985046</v>
      </c>
      <c r="R90" s="84">
        <f t="shared" si="163"/>
        <v>0</v>
      </c>
      <c r="S90" s="84">
        <f t="shared" si="163"/>
        <v>0</v>
      </c>
      <c r="T90" s="84">
        <f t="shared" si="163"/>
        <v>0</v>
      </c>
      <c r="U90" s="84">
        <f t="shared" si="163"/>
        <v>0</v>
      </c>
      <c r="V90" s="84">
        <f t="shared" si="163"/>
        <v>0</v>
      </c>
      <c r="W90" s="84">
        <f t="shared" si="163"/>
        <v>0</v>
      </c>
      <c r="X90" s="84">
        <f t="shared" si="163"/>
        <v>0</v>
      </c>
      <c r="Y90" s="84">
        <f t="shared" si="163"/>
        <v>0</v>
      </c>
      <c r="Z90" s="84">
        <f t="shared" si="163"/>
        <v>0</v>
      </c>
      <c r="AA90" s="84">
        <f t="shared" si="163"/>
        <v>0</v>
      </c>
      <c r="AB90" s="84">
        <f t="shared" si="163"/>
        <v>0</v>
      </c>
      <c r="AC90" s="84">
        <f t="shared" si="163"/>
        <v>0</v>
      </c>
      <c r="AD90" s="84">
        <f t="shared" si="163"/>
        <v>0</v>
      </c>
      <c r="AE90" s="84">
        <f t="shared" si="163"/>
        <v>0</v>
      </c>
      <c r="AF90" s="84">
        <f t="shared" si="163"/>
        <v>0</v>
      </c>
      <c r="AG90" s="84">
        <f t="shared" si="163"/>
        <v>0</v>
      </c>
      <c r="AH90" s="84">
        <f t="shared" si="163"/>
        <v>0</v>
      </c>
      <c r="AI90" s="84">
        <f t="shared" si="163"/>
        <v>0</v>
      </c>
      <c r="AJ90" s="84">
        <f t="shared" ref="AJ90:BA90" si="164">AJ$6*VLOOKUP(AJ30,RehabArray,3)*AnnMiles</f>
        <v>0</v>
      </c>
      <c r="AK90" s="84">
        <f t="shared" si="164"/>
        <v>0</v>
      </c>
      <c r="AL90" s="84">
        <f t="shared" si="164"/>
        <v>0</v>
      </c>
      <c r="AM90" s="84">
        <f t="shared" si="164"/>
        <v>0</v>
      </c>
      <c r="AN90" s="84">
        <f t="shared" si="164"/>
        <v>0</v>
      </c>
      <c r="AO90" s="84">
        <f t="shared" si="164"/>
        <v>0</v>
      </c>
      <c r="AP90" s="84">
        <f t="shared" si="164"/>
        <v>0</v>
      </c>
      <c r="AQ90" s="84">
        <f t="shared" si="164"/>
        <v>0</v>
      </c>
      <c r="AR90" s="84">
        <f t="shared" si="164"/>
        <v>0</v>
      </c>
      <c r="AS90" s="84">
        <f t="shared" si="164"/>
        <v>0</v>
      </c>
      <c r="AT90" s="84">
        <f t="shared" si="164"/>
        <v>0</v>
      </c>
      <c r="AU90" s="84">
        <f t="shared" si="164"/>
        <v>0</v>
      </c>
      <c r="AV90" s="84">
        <f t="shared" si="164"/>
        <v>0</v>
      </c>
      <c r="AW90" s="84">
        <f t="shared" si="164"/>
        <v>0</v>
      </c>
      <c r="AX90" s="84">
        <f t="shared" si="164"/>
        <v>0</v>
      </c>
      <c r="AY90" s="84">
        <f t="shared" si="164"/>
        <v>0</v>
      </c>
      <c r="AZ90" s="84">
        <f t="shared" si="164"/>
        <v>0</v>
      </c>
      <c r="BA90" s="84">
        <f t="shared" si="164"/>
        <v>0</v>
      </c>
      <c r="BB90" s="84"/>
      <c r="BC90" s="90">
        <f t="shared" si="61"/>
        <v>16710710.198124489</v>
      </c>
    </row>
    <row r="91" spans="1:55" x14ac:dyDescent="0.2">
      <c r="A91" s="52"/>
      <c r="B91" s="7"/>
      <c r="C91" s="7">
        <f t="shared" si="122"/>
        <v>23</v>
      </c>
      <c r="D91" s="84">
        <f t="shared" ref="D91:AI91" si="165">D$6*VLOOKUP(D31,RehabArray,3)*AnnMiles</f>
        <v>2136388.4546084763</v>
      </c>
      <c r="E91" s="84">
        <f t="shared" si="165"/>
        <v>589643.12716513814</v>
      </c>
      <c r="F91" s="84">
        <f t="shared" si="165"/>
        <v>2657031.4913349468</v>
      </c>
      <c r="G91" s="84">
        <f t="shared" si="165"/>
        <v>330344.90778444114</v>
      </c>
      <c r="H91" s="84">
        <f t="shared" si="165"/>
        <v>3531421.9909486747</v>
      </c>
      <c r="I91" s="84">
        <f t="shared" si="165"/>
        <v>967461.11150273902</v>
      </c>
      <c r="J91" s="84">
        <f t="shared" si="165"/>
        <v>1451191.6672541085</v>
      </c>
      <c r="K91" s="84">
        <f t="shared" si="165"/>
        <v>2180276.3913773117</v>
      </c>
      <c r="L91" s="84">
        <f t="shared" si="165"/>
        <v>56274.592131768331</v>
      </c>
      <c r="M91" s="84">
        <f t="shared" si="165"/>
        <v>933360.68500519393</v>
      </c>
      <c r="N91" s="84">
        <f t="shared" si="165"/>
        <v>142425.89697389843</v>
      </c>
      <c r="O91" s="84">
        <f t="shared" si="165"/>
        <v>1451191.6672541085</v>
      </c>
      <c r="P91" s="84">
        <f t="shared" si="165"/>
        <v>603834.43493594241</v>
      </c>
      <c r="Q91" s="84">
        <f t="shared" si="165"/>
        <v>1254117.6725592653</v>
      </c>
      <c r="R91" s="84">
        <f t="shared" si="165"/>
        <v>0</v>
      </c>
      <c r="S91" s="84">
        <f t="shared" si="165"/>
        <v>0</v>
      </c>
      <c r="T91" s="84">
        <f t="shared" si="165"/>
        <v>0</v>
      </c>
      <c r="U91" s="84">
        <f t="shared" si="165"/>
        <v>0</v>
      </c>
      <c r="V91" s="84">
        <f t="shared" si="165"/>
        <v>0</v>
      </c>
      <c r="W91" s="84">
        <f t="shared" si="165"/>
        <v>0</v>
      </c>
      <c r="X91" s="84">
        <f t="shared" si="165"/>
        <v>0</v>
      </c>
      <c r="Y91" s="84">
        <f t="shared" si="165"/>
        <v>0</v>
      </c>
      <c r="Z91" s="84">
        <f t="shared" si="165"/>
        <v>0</v>
      </c>
      <c r="AA91" s="84">
        <f t="shared" si="165"/>
        <v>0</v>
      </c>
      <c r="AB91" s="84">
        <f t="shared" si="165"/>
        <v>0</v>
      </c>
      <c r="AC91" s="84">
        <f t="shared" si="165"/>
        <v>0</v>
      </c>
      <c r="AD91" s="84">
        <f t="shared" si="165"/>
        <v>0</v>
      </c>
      <c r="AE91" s="84">
        <f t="shared" si="165"/>
        <v>0</v>
      </c>
      <c r="AF91" s="84">
        <f t="shared" si="165"/>
        <v>0</v>
      </c>
      <c r="AG91" s="84">
        <f t="shared" si="165"/>
        <v>0</v>
      </c>
      <c r="AH91" s="84">
        <f t="shared" si="165"/>
        <v>0</v>
      </c>
      <c r="AI91" s="84">
        <f t="shared" si="165"/>
        <v>0</v>
      </c>
      <c r="AJ91" s="84">
        <f t="shared" ref="AJ91:BA91" si="166">AJ$6*VLOOKUP(AJ31,RehabArray,3)*AnnMiles</f>
        <v>0</v>
      </c>
      <c r="AK91" s="84">
        <f t="shared" si="166"/>
        <v>0</v>
      </c>
      <c r="AL91" s="84">
        <f t="shared" si="166"/>
        <v>0</v>
      </c>
      <c r="AM91" s="84">
        <f t="shared" si="166"/>
        <v>0</v>
      </c>
      <c r="AN91" s="84">
        <f t="shared" si="166"/>
        <v>0</v>
      </c>
      <c r="AO91" s="84">
        <f t="shared" si="166"/>
        <v>0</v>
      </c>
      <c r="AP91" s="84">
        <f t="shared" si="166"/>
        <v>0</v>
      </c>
      <c r="AQ91" s="84">
        <f t="shared" si="166"/>
        <v>0</v>
      </c>
      <c r="AR91" s="84">
        <f t="shared" si="166"/>
        <v>0</v>
      </c>
      <c r="AS91" s="84">
        <f t="shared" si="166"/>
        <v>0</v>
      </c>
      <c r="AT91" s="84">
        <f t="shared" si="166"/>
        <v>0</v>
      </c>
      <c r="AU91" s="84">
        <f t="shared" si="166"/>
        <v>0</v>
      </c>
      <c r="AV91" s="84">
        <f t="shared" si="166"/>
        <v>0</v>
      </c>
      <c r="AW91" s="84">
        <f t="shared" si="166"/>
        <v>0</v>
      </c>
      <c r="AX91" s="84">
        <f t="shared" si="166"/>
        <v>0</v>
      </c>
      <c r="AY91" s="84">
        <f t="shared" si="166"/>
        <v>0</v>
      </c>
      <c r="AZ91" s="84">
        <f t="shared" si="166"/>
        <v>0</v>
      </c>
      <c r="BA91" s="84">
        <f t="shared" si="166"/>
        <v>0</v>
      </c>
      <c r="BB91" s="84"/>
      <c r="BC91" s="90">
        <f t="shared" si="61"/>
        <v>18284964.090836015</v>
      </c>
    </row>
    <row r="92" spans="1:55" x14ac:dyDescent="0.2">
      <c r="A92" s="52"/>
      <c r="B92" s="7"/>
      <c r="C92" s="7">
        <f t="shared" si="122"/>
        <v>24</v>
      </c>
      <c r="D92" s="84">
        <f t="shared" ref="D92:AI92" si="167">D$6*VLOOKUP(D32,RehabArray,3)*AnnMiles</f>
        <v>2153909.2730889088</v>
      </c>
      <c r="E92" s="84">
        <f t="shared" si="167"/>
        <v>593441.23739124334</v>
      </c>
      <c r="F92" s="84">
        <f t="shared" si="167"/>
        <v>2684951.0925662848</v>
      </c>
      <c r="G92" s="84">
        <f t="shared" si="167"/>
        <v>461138.75161097181</v>
      </c>
      <c r="H92" s="84">
        <f t="shared" si="167"/>
        <v>3610837.6677115941</v>
      </c>
      <c r="I92" s="84">
        <f t="shared" si="167"/>
        <v>225098.36852707333</v>
      </c>
      <c r="J92" s="84">
        <f t="shared" si="167"/>
        <v>337647.55279061</v>
      </c>
      <c r="K92" s="84">
        <f t="shared" si="167"/>
        <v>3043515.7606324139</v>
      </c>
      <c r="L92" s="84">
        <f t="shared" si="167"/>
        <v>132137.96311377644</v>
      </c>
      <c r="M92" s="84">
        <f t="shared" si="167"/>
        <v>943274.58371517051</v>
      </c>
      <c r="N92" s="84">
        <f t="shared" si="167"/>
        <v>143593.9515392606</v>
      </c>
      <c r="O92" s="84">
        <f t="shared" si="167"/>
        <v>337647.55279061</v>
      </c>
      <c r="P92" s="84">
        <f t="shared" si="167"/>
        <v>606890.75237187068</v>
      </c>
      <c r="Q92" s="84">
        <f t="shared" si="167"/>
        <v>1260465.408772347</v>
      </c>
      <c r="R92" s="84">
        <f t="shared" si="167"/>
        <v>0</v>
      </c>
      <c r="S92" s="84">
        <f t="shared" si="167"/>
        <v>0</v>
      </c>
      <c r="T92" s="84">
        <f t="shared" si="167"/>
        <v>0</v>
      </c>
      <c r="U92" s="84">
        <f t="shared" si="167"/>
        <v>0</v>
      </c>
      <c r="V92" s="84">
        <f t="shared" si="167"/>
        <v>0</v>
      </c>
      <c r="W92" s="84">
        <f t="shared" si="167"/>
        <v>0</v>
      </c>
      <c r="X92" s="84">
        <f t="shared" si="167"/>
        <v>0</v>
      </c>
      <c r="Y92" s="84">
        <f t="shared" si="167"/>
        <v>0</v>
      </c>
      <c r="Z92" s="84">
        <f t="shared" si="167"/>
        <v>0</v>
      </c>
      <c r="AA92" s="84">
        <f t="shared" si="167"/>
        <v>0</v>
      </c>
      <c r="AB92" s="84">
        <f t="shared" si="167"/>
        <v>0</v>
      </c>
      <c r="AC92" s="84">
        <f t="shared" si="167"/>
        <v>0</v>
      </c>
      <c r="AD92" s="84">
        <f t="shared" si="167"/>
        <v>0</v>
      </c>
      <c r="AE92" s="84">
        <f t="shared" si="167"/>
        <v>0</v>
      </c>
      <c r="AF92" s="84">
        <f t="shared" si="167"/>
        <v>0</v>
      </c>
      <c r="AG92" s="84">
        <f t="shared" si="167"/>
        <v>0</v>
      </c>
      <c r="AH92" s="84">
        <f t="shared" si="167"/>
        <v>0</v>
      </c>
      <c r="AI92" s="84">
        <f t="shared" si="167"/>
        <v>0</v>
      </c>
      <c r="AJ92" s="84">
        <f t="shared" ref="AJ92:BA92" si="168">AJ$6*VLOOKUP(AJ32,RehabArray,3)*AnnMiles</f>
        <v>0</v>
      </c>
      <c r="AK92" s="84">
        <f t="shared" si="168"/>
        <v>0</v>
      </c>
      <c r="AL92" s="84">
        <f t="shared" si="168"/>
        <v>0</v>
      </c>
      <c r="AM92" s="84">
        <f t="shared" si="168"/>
        <v>0</v>
      </c>
      <c r="AN92" s="84">
        <f t="shared" si="168"/>
        <v>0</v>
      </c>
      <c r="AO92" s="84">
        <f t="shared" si="168"/>
        <v>0</v>
      </c>
      <c r="AP92" s="84">
        <f t="shared" si="168"/>
        <v>0</v>
      </c>
      <c r="AQ92" s="84">
        <f t="shared" si="168"/>
        <v>0</v>
      </c>
      <c r="AR92" s="84">
        <f t="shared" si="168"/>
        <v>0</v>
      </c>
      <c r="AS92" s="84">
        <f t="shared" si="168"/>
        <v>0</v>
      </c>
      <c r="AT92" s="84">
        <f t="shared" si="168"/>
        <v>0</v>
      </c>
      <c r="AU92" s="84">
        <f t="shared" si="168"/>
        <v>0</v>
      </c>
      <c r="AV92" s="84">
        <f t="shared" si="168"/>
        <v>0</v>
      </c>
      <c r="AW92" s="84">
        <f t="shared" si="168"/>
        <v>0</v>
      </c>
      <c r="AX92" s="84">
        <f t="shared" si="168"/>
        <v>0</v>
      </c>
      <c r="AY92" s="84">
        <f t="shared" si="168"/>
        <v>0</v>
      </c>
      <c r="AZ92" s="84">
        <f t="shared" si="168"/>
        <v>0</v>
      </c>
      <c r="BA92" s="84">
        <f t="shared" si="168"/>
        <v>0</v>
      </c>
      <c r="BB92" s="84"/>
      <c r="BC92" s="90">
        <f t="shared" si="61"/>
        <v>16534549.916622138</v>
      </c>
    </row>
    <row r="93" spans="1:55" x14ac:dyDescent="0.2">
      <c r="A93" s="52"/>
      <c r="B93" s="7"/>
      <c r="C93" s="7">
        <f t="shared" si="122"/>
        <v>25</v>
      </c>
      <c r="D93" s="84">
        <f t="shared" ref="D93:AI93" si="169">D$6*VLOOKUP(D33,RehabArray,3)*AnnMiles</f>
        <v>2176787.5008811629</v>
      </c>
      <c r="E93" s="84">
        <f t="shared" si="169"/>
        <v>598308.13141358574</v>
      </c>
      <c r="F93" s="84">
        <f t="shared" si="169"/>
        <v>2702590.0938800932</v>
      </c>
      <c r="G93" s="84">
        <f t="shared" si="169"/>
        <v>526331.10889440088</v>
      </c>
      <c r="H93" s="84">
        <f t="shared" si="169"/>
        <v>3648779.689897771</v>
      </c>
      <c r="I93" s="84">
        <f t="shared" si="169"/>
        <v>528551.85245510575</v>
      </c>
      <c r="J93" s="84">
        <f t="shared" si="169"/>
        <v>792827.77868265868</v>
      </c>
      <c r="K93" s="84">
        <f t="shared" si="169"/>
        <v>3473785.3187030465</v>
      </c>
      <c r="L93" s="84">
        <f t="shared" si="169"/>
        <v>184455.5006443887</v>
      </c>
      <c r="M93" s="84">
        <f t="shared" si="169"/>
        <v>219470.9093138965</v>
      </c>
      <c r="N93" s="84">
        <f t="shared" si="169"/>
        <v>145119.16672541088</v>
      </c>
      <c r="O93" s="84">
        <f t="shared" si="169"/>
        <v>792827.77868265868</v>
      </c>
      <c r="P93" s="84">
        <f t="shared" si="169"/>
        <v>609932.38431808166</v>
      </c>
      <c r="Q93" s="84">
        <f t="shared" si="169"/>
        <v>1266782.6443529387</v>
      </c>
      <c r="R93" s="84">
        <f t="shared" si="169"/>
        <v>0</v>
      </c>
      <c r="S93" s="84">
        <f t="shared" si="169"/>
        <v>0</v>
      </c>
      <c r="T93" s="84">
        <f t="shared" si="169"/>
        <v>0</v>
      </c>
      <c r="U93" s="84">
        <f t="shared" si="169"/>
        <v>0</v>
      </c>
      <c r="V93" s="84">
        <f t="shared" si="169"/>
        <v>0</v>
      </c>
      <c r="W93" s="84">
        <f t="shared" si="169"/>
        <v>0</v>
      </c>
      <c r="X93" s="84">
        <f t="shared" si="169"/>
        <v>0</v>
      </c>
      <c r="Y93" s="84">
        <f t="shared" si="169"/>
        <v>0</v>
      </c>
      <c r="Z93" s="84">
        <f t="shared" si="169"/>
        <v>0</v>
      </c>
      <c r="AA93" s="84">
        <f t="shared" si="169"/>
        <v>0</v>
      </c>
      <c r="AB93" s="84">
        <f t="shared" si="169"/>
        <v>0</v>
      </c>
      <c r="AC93" s="84">
        <f t="shared" si="169"/>
        <v>0</v>
      </c>
      <c r="AD93" s="84">
        <f t="shared" si="169"/>
        <v>0</v>
      </c>
      <c r="AE93" s="84">
        <f t="shared" si="169"/>
        <v>0</v>
      </c>
      <c r="AF93" s="84">
        <f t="shared" si="169"/>
        <v>0</v>
      </c>
      <c r="AG93" s="84">
        <f t="shared" si="169"/>
        <v>0</v>
      </c>
      <c r="AH93" s="84">
        <f t="shared" si="169"/>
        <v>0</v>
      </c>
      <c r="AI93" s="84">
        <f t="shared" si="169"/>
        <v>0</v>
      </c>
      <c r="AJ93" s="84">
        <f t="shared" ref="AJ93:BA93" si="170">AJ$6*VLOOKUP(AJ33,RehabArray,3)*AnnMiles</f>
        <v>0</v>
      </c>
      <c r="AK93" s="84">
        <f t="shared" si="170"/>
        <v>0</v>
      </c>
      <c r="AL93" s="84">
        <f t="shared" si="170"/>
        <v>0</v>
      </c>
      <c r="AM93" s="84">
        <f t="shared" si="170"/>
        <v>0</v>
      </c>
      <c r="AN93" s="84">
        <f t="shared" si="170"/>
        <v>0</v>
      </c>
      <c r="AO93" s="84">
        <f t="shared" si="170"/>
        <v>0</v>
      </c>
      <c r="AP93" s="84">
        <f t="shared" si="170"/>
        <v>0</v>
      </c>
      <c r="AQ93" s="84">
        <f t="shared" si="170"/>
        <v>0</v>
      </c>
      <c r="AR93" s="84">
        <f t="shared" si="170"/>
        <v>0</v>
      </c>
      <c r="AS93" s="84">
        <f t="shared" si="170"/>
        <v>0</v>
      </c>
      <c r="AT93" s="84">
        <f t="shared" si="170"/>
        <v>0</v>
      </c>
      <c r="AU93" s="84">
        <f t="shared" si="170"/>
        <v>0</v>
      </c>
      <c r="AV93" s="84">
        <f t="shared" si="170"/>
        <v>0</v>
      </c>
      <c r="AW93" s="84">
        <f t="shared" si="170"/>
        <v>0</v>
      </c>
      <c r="AX93" s="84">
        <f t="shared" si="170"/>
        <v>0</v>
      </c>
      <c r="AY93" s="84">
        <f t="shared" si="170"/>
        <v>0</v>
      </c>
      <c r="AZ93" s="84">
        <f t="shared" si="170"/>
        <v>0</v>
      </c>
      <c r="BA93" s="84">
        <f t="shared" si="170"/>
        <v>0</v>
      </c>
      <c r="BB93" s="84"/>
      <c r="BC93" s="90">
        <f t="shared" si="61"/>
        <v>17666549.8588452</v>
      </c>
    </row>
    <row r="94" spans="1:55" x14ac:dyDescent="0.2">
      <c r="A94" s="52"/>
      <c r="B94" s="7"/>
      <c r="C94" s="7">
        <f t="shared" si="122"/>
        <v>26</v>
      </c>
      <c r="D94" s="84">
        <f t="shared" ref="D94:AI94" si="171">D$6*VLOOKUP(D34,RehabArray,3)*AnnMiles</f>
        <v>506471.329185915</v>
      </c>
      <c r="E94" s="84">
        <f t="shared" si="171"/>
        <v>604663.19468921202</v>
      </c>
      <c r="F94" s="84">
        <f t="shared" si="171"/>
        <v>2717254.9572117412</v>
      </c>
      <c r="G94" s="84">
        <f t="shared" si="171"/>
        <v>555255.03002337657</v>
      </c>
      <c r="H94" s="84">
        <f t="shared" si="171"/>
        <v>3672750.6404011524</v>
      </c>
      <c r="I94" s="84">
        <f t="shared" si="171"/>
        <v>737822.00257755478</v>
      </c>
      <c r="J94" s="84">
        <f t="shared" si="171"/>
        <v>1106733.0038663324</v>
      </c>
      <c r="K94" s="84">
        <f t="shared" si="171"/>
        <v>3664683.1981542851</v>
      </c>
      <c r="L94" s="84">
        <f t="shared" si="171"/>
        <v>210532.44355776036</v>
      </c>
      <c r="M94" s="84">
        <f t="shared" si="171"/>
        <v>515338.0561437282</v>
      </c>
      <c r="N94" s="84">
        <f t="shared" si="171"/>
        <v>33764.755279060999</v>
      </c>
      <c r="O94" s="84">
        <f t="shared" si="171"/>
        <v>1106733.0038663324</v>
      </c>
      <c r="P94" s="84">
        <f t="shared" si="171"/>
        <v>613228.85225174366</v>
      </c>
      <c r="Q94" s="84">
        <f t="shared" si="171"/>
        <v>1273629.1546766986</v>
      </c>
      <c r="R94" s="84">
        <f t="shared" si="171"/>
        <v>0</v>
      </c>
      <c r="S94" s="84">
        <f t="shared" si="171"/>
        <v>0</v>
      </c>
      <c r="T94" s="84">
        <f t="shared" si="171"/>
        <v>0</v>
      </c>
      <c r="U94" s="84">
        <f t="shared" si="171"/>
        <v>0</v>
      </c>
      <c r="V94" s="84">
        <f t="shared" si="171"/>
        <v>0</v>
      </c>
      <c r="W94" s="84">
        <f t="shared" si="171"/>
        <v>0</v>
      </c>
      <c r="X94" s="84">
        <f t="shared" si="171"/>
        <v>0</v>
      </c>
      <c r="Y94" s="84">
        <f t="shared" si="171"/>
        <v>0</v>
      </c>
      <c r="Z94" s="84">
        <f t="shared" si="171"/>
        <v>0</v>
      </c>
      <c r="AA94" s="84">
        <f t="shared" si="171"/>
        <v>0</v>
      </c>
      <c r="AB94" s="84">
        <f t="shared" si="171"/>
        <v>0</v>
      </c>
      <c r="AC94" s="84">
        <f t="shared" si="171"/>
        <v>0</v>
      </c>
      <c r="AD94" s="84">
        <f t="shared" si="171"/>
        <v>0</v>
      </c>
      <c r="AE94" s="84">
        <f t="shared" si="171"/>
        <v>0</v>
      </c>
      <c r="AF94" s="84">
        <f t="shared" si="171"/>
        <v>0</v>
      </c>
      <c r="AG94" s="84">
        <f t="shared" si="171"/>
        <v>0</v>
      </c>
      <c r="AH94" s="84">
        <f t="shared" si="171"/>
        <v>0</v>
      </c>
      <c r="AI94" s="84">
        <f t="shared" si="171"/>
        <v>0</v>
      </c>
      <c r="AJ94" s="84">
        <f t="shared" ref="AJ94:BA94" si="172">AJ$6*VLOOKUP(AJ34,RehabArray,3)*AnnMiles</f>
        <v>0</v>
      </c>
      <c r="AK94" s="84">
        <f t="shared" si="172"/>
        <v>0</v>
      </c>
      <c r="AL94" s="84">
        <f t="shared" si="172"/>
        <v>0</v>
      </c>
      <c r="AM94" s="84">
        <f t="shared" si="172"/>
        <v>0</v>
      </c>
      <c r="AN94" s="84">
        <f t="shared" si="172"/>
        <v>0</v>
      </c>
      <c r="AO94" s="84">
        <f t="shared" si="172"/>
        <v>0</v>
      </c>
      <c r="AP94" s="84">
        <f t="shared" si="172"/>
        <v>0</v>
      </c>
      <c r="AQ94" s="84">
        <f t="shared" si="172"/>
        <v>0</v>
      </c>
      <c r="AR94" s="84">
        <f t="shared" si="172"/>
        <v>0</v>
      </c>
      <c r="AS94" s="84">
        <f t="shared" si="172"/>
        <v>0</v>
      </c>
      <c r="AT94" s="84">
        <f t="shared" si="172"/>
        <v>0</v>
      </c>
      <c r="AU94" s="84">
        <f t="shared" si="172"/>
        <v>0</v>
      </c>
      <c r="AV94" s="84">
        <f t="shared" si="172"/>
        <v>0</v>
      </c>
      <c r="AW94" s="84">
        <f t="shared" si="172"/>
        <v>0</v>
      </c>
      <c r="AX94" s="84">
        <f t="shared" si="172"/>
        <v>0</v>
      </c>
      <c r="AY94" s="84">
        <f t="shared" si="172"/>
        <v>0</v>
      </c>
      <c r="AZ94" s="84">
        <f t="shared" si="172"/>
        <v>0</v>
      </c>
      <c r="BA94" s="84">
        <f t="shared" si="172"/>
        <v>0</v>
      </c>
      <c r="BB94" s="84"/>
      <c r="BC94" s="90">
        <f t="shared" si="61"/>
        <v>17318859.621884894</v>
      </c>
    </row>
    <row r="95" spans="1:55" x14ac:dyDescent="0.2">
      <c r="A95" s="52"/>
      <c r="B95" s="7"/>
      <c r="C95" s="7">
        <f t="shared" si="122"/>
        <v>27</v>
      </c>
      <c r="D95" s="84">
        <f t="shared" ref="D95:AI95" si="173">D$6*VLOOKUP(D35,RehabArray,3)*AnnMiles</f>
        <v>1189241.6680239879</v>
      </c>
      <c r="E95" s="84">
        <f t="shared" si="173"/>
        <v>140686.48032942083</v>
      </c>
      <c r="F95" s="84">
        <f t="shared" si="173"/>
        <v>2731008.3856734182</v>
      </c>
      <c r="G95" s="84">
        <f t="shared" si="173"/>
        <v>567741.77165276639</v>
      </c>
      <c r="H95" s="84">
        <f t="shared" si="173"/>
        <v>3692679.8136467254</v>
      </c>
      <c r="I95" s="84">
        <f t="shared" si="173"/>
        <v>842129.77423104143</v>
      </c>
      <c r="J95" s="84">
        <f t="shared" si="173"/>
        <v>1263194.6613465622</v>
      </c>
      <c r="K95" s="84">
        <f t="shared" si="173"/>
        <v>3747095.6929082582</v>
      </c>
      <c r="L95" s="84">
        <f t="shared" si="173"/>
        <v>222102.01200935064</v>
      </c>
      <c r="M95" s="84">
        <f t="shared" si="173"/>
        <v>719376.45251311606</v>
      </c>
      <c r="N95" s="84">
        <f t="shared" si="173"/>
        <v>79282.777868265883</v>
      </c>
      <c r="O95" s="84">
        <f t="shared" si="173"/>
        <v>1263194.6613465622</v>
      </c>
      <c r="P95" s="84">
        <f t="shared" si="173"/>
        <v>617178.88688689319</v>
      </c>
      <c r="Q95" s="84">
        <f t="shared" si="173"/>
        <v>1281833.0727650858</v>
      </c>
      <c r="R95" s="84">
        <f t="shared" si="173"/>
        <v>0</v>
      </c>
      <c r="S95" s="84">
        <f t="shared" si="173"/>
        <v>0</v>
      </c>
      <c r="T95" s="84">
        <f t="shared" si="173"/>
        <v>0</v>
      </c>
      <c r="U95" s="84">
        <f t="shared" si="173"/>
        <v>0</v>
      </c>
      <c r="V95" s="84">
        <f t="shared" si="173"/>
        <v>0</v>
      </c>
      <c r="W95" s="84">
        <f t="shared" si="173"/>
        <v>0</v>
      </c>
      <c r="X95" s="84">
        <f t="shared" si="173"/>
        <v>0</v>
      </c>
      <c r="Y95" s="84">
        <f t="shared" si="173"/>
        <v>0</v>
      </c>
      <c r="Z95" s="84">
        <f t="shared" si="173"/>
        <v>0</v>
      </c>
      <c r="AA95" s="84">
        <f t="shared" si="173"/>
        <v>0</v>
      </c>
      <c r="AB95" s="84">
        <f t="shared" si="173"/>
        <v>0</v>
      </c>
      <c r="AC95" s="84">
        <f t="shared" si="173"/>
        <v>0</v>
      </c>
      <c r="AD95" s="84">
        <f t="shared" si="173"/>
        <v>0</v>
      </c>
      <c r="AE95" s="84">
        <f t="shared" si="173"/>
        <v>0</v>
      </c>
      <c r="AF95" s="84">
        <f t="shared" si="173"/>
        <v>0</v>
      </c>
      <c r="AG95" s="84">
        <f t="shared" si="173"/>
        <v>0</v>
      </c>
      <c r="AH95" s="84">
        <f t="shared" si="173"/>
        <v>0</v>
      </c>
      <c r="AI95" s="84">
        <f t="shared" si="173"/>
        <v>0</v>
      </c>
      <c r="AJ95" s="84">
        <f t="shared" ref="AJ95:BA95" si="174">AJ$6*VLOOKUP(AJ35,RehabArray,3)*AnnMiles</f>
        <v>0</v>
      </c>
      <c r="AK95" s="84">
        <f t="shared" si="174"/>
        <v>0</v>
      </c>
      <c r="AL95" s="84">
        <f t="shared" si="174"/>
        <v>0</v>
      </c>
      <c r="AM95" s="84">
        <f t="shared" si="174"/>
        <v>0</v>
      </c>
      <c r="AN95" s="84">
        <f t="shared" si="174"/>
        <v>0</v>
      </c>
      <c r="AO95" s="84">
        <f t="shared" si="174"/>
        <v>0</v>
      </c>
      <c r="AP95" s="84">
        <f t="shared" si="174"/>
        <v>0</v>
      </c>
      <c r="AQ95" s="84">
        <f t="shared" si="174"/>
        <v>0</v>
      </c>
      <c r="AR95" s="84">
        <f t="shared" si="174"/>
        <v>0</v>
      </c>
      <c r="AS95" s="84">
        <f t="shared" si="174"/>
        <v>0</v>
      </c>
      <c r="AT95" s="84">
        <f t="shared" si="174"/>
        <v>0</v>
      </c>
      <c r="AU95" s="84">
        <f t="shared" si="174"/>
        <v>0</v>
      </c>
      <c r="AV95" s="84">
        <f t="shared" si="174"/>
        <v>0</v>
      </c>
      <c r="AW95" s="84">
        <f t="shared" si="174"/>
        <v>0</v>
      </c>
      <c r="AX95" s="84">
        <f t="shared" si="174"/>
        <v>0</v>
      </c>
      <c r="AY95" s="84">
        <f t="shared" si="174"/>
        <v>0</v>
      </c>
      <c r="AZ95" s="84">
        <f t="shared" si="174"/>
        <v>0</v>
      </c>
      <c r="BA95" s="84">
        <f t="shared" si="174"/>
        <v>0</v>
      </c>
      <c r="BB95" s="84"/>
      <c r="BC95" s="90">
        <f t="shared" si="61"/>
        <v>18356746.111201454</v>
      </c>
    </row>
    <row r="96" spans="1:55" x14ac:dyDescent="0.2">
      <c r="A96" s="52"/>
      <c r="B96" s="7"/>
      <c r="C96" s="7">
        <f t="shared" si="122"/>
        <v>28</v>
      </c>
      <c r="D96" s="84">
        <f t="shared" ref="D96:AI96" si="175">D$6*VLOOKUP(D36,RehabArray,3)*AnnMiles</f>
        <v>1660099.5057994986</v>
      </c>
      <c r="E96" s="84">
        <f t="shared" si="175"/>
        <v>330344.90778444114</v>
      </c>
      <c r="F96" s="84">
        <f t="shared" si="175"/>
        <v>2744695.729431367</v>
      </c>
      <c r="G96" s="84">
        <f t="shared" si="175"/>
        <v>573707.49841159931</v>
      </c>
      <c r="H96" s="84">
        <f t="shared" si="175"/>
        <v>3711370.3702741326</v>
      </c>
      <c r="I96" s="84">
        <f t="shared" si="175"/>
        <v>888408.04803740256</v>
      </c>
      <c r="J96" s="84">
        <f t="shared" si="175"/>
        <v>1332612.0720561037</v>
      </c>
      <c r="K96" s="84">
        <f t="shared" si="175"/>
        <v>3786469.4895165553</v>
      </c>
      <c r="L96" s="84">
        <f t="shared" si="175"/>
        <v>227096.70866110656</v>
      </c>
      <c r="M96" s="84">
        <f t="shared" si="175"/>
        <v>821076.52987526543</v>
      </c>
      <c r="N96" s="84">
        <f t="shared" si="175"/>
        <v>110673.30038663323</v>
      </c>
      <c r="O96" s="84">
        <f t="shared" si="175"/>
        <v>1332612.0720561037</v>
      </c>
      <c r="P96" s="84">
        <f t="shared" si="175"/>
        <v>622240.45667012932</v>
      </c>
      <c r="Q96" s="84">
        <f t="shared" si="175"/>
        <v>1292345.5638533453</v>
      </c>
      <c r="R96" s="84">
        <f t="shared" si="175"/>
        <v>0</v>
      </c>
      <c r="S96" s="84">
        <f t="shared" si="175"/>
        <v>0</v>
      </c>
      <c r="T96" s="84">
        <f t="shared" si="175"/>
        <v>0</v>
      </c>
      <c r="U96" s="84">
        <f t="shared" si="175"/>
        <v>0</v>
      </c>
      <c r="V96" s="84">
        <f t="shared" si="175"/>
        <v>0</v>
      </c>
      <c r="W96" s="84">
        <f t="shared" si="175"/>
        <v>0</v>
      </c>
      <c r="X96" s="84">
        <f t="shared" si="175"/>
        <v>0</v>
      </c>
      <c r="Y96" s="84">
        <f t="shared" si="175"/>
        <v>0</v>
      </c>
      <c r="Z96" s="84">
        <f t="shared" si="175"/>
        <v>0</v>
      </c>
      <c r="AA96" s="84">
        <f t="shared" si="175"/>
        <v>0</v>
      </c>
      <c r="AB96" s="84">
        <f t="shared" si="175"/>
        <v>0</v>
      </c>
      <c r="AC96" s="84">
        <f t="shared" si="175"/>
        <v>0</v>
      </c>
      <c r="AD96" s="84">
        <f t="shared" si="175"/>
        <v>0</v>
      </c>
      <c r="AE96" s="84">
        <f t="shared" si="175"/>
        <v>0</v>
      </c>
      <c r="AF96" s="84">
        <f t="shared" si="175"/>
        <v>0</v>
      </c>
      <c r="AG96" s="84">
        <f t="shared" si="175"/>
        <v>0</v>
      </c>
      <c r="AH96" s="84">
        <f t="shared" si="175"/>
        <v>0</v>
      </c>
      <c r="AI96" s="84">
        <f t="shared" si="175"/>
        <v>0</v>
      </c>
      <c r="AJ96" s="84">
        <f t="shared" ref="AJ96:BA96" si="176">AJ$6*VLOOKUP(AJ36,RehabArray,3)*AnnMiles</f>
        <v>0</v>
      </c>
      <c r="AK96" s="84">
        <f t="shared" si="176"/>
        <v>0</v>
      </c>
      <c r="AL96" s="84">
        <f t="shared" si="176"/>
        <v>0</v>
      </c>
      <c r="AM96" s="84">
        <f t="shared" si="176"/>
        <v>0</v>
      </c>
      <c r="AN96" s="84">
        <f t="shared" si="176"/>
        <v>0</v>
      </c>
      <c r="AO96" s="84">
        <f t="shared" si="176"/>
        <v>0</v>
      </c>
      <c r="AP96" s="84">
        <f t="shared" si="176"/>
        <v>0</v>
      </c>
      <c r="AQ96" s="84">
        <f t="shared" si="176"/>
        <v>0</v>
      </c>
      <c r="AR96" s="84">
        <f t="shared" si="176"/>
        <v>0</v>
      </c>
      <c r="AS96" s="84">
        <f t="shared" si="176"/>
        <v>0</v>
      </c>
      <c r="AT96" s="84">
        <f t="shared" si="176"/>
        <v>0</v>
      </c>
      <c r="AU96" s="84">
        <f t="shared" si="176"/>
        <v>0</v>
      </c>
      <c r="AV96" s="84">
        <f t="shared" si="176"/>
        <v>0</v>
      </c>
      <c r="AW96" s="84">
        <f t="shared" si="176"/>
        <v>0</v>
      </c>
      <c r="AX96" s="84">
        <f t="shared" si="176"/>
        <v>0</v>
      </c>
      <c r="AY96" s="84">
        <f t="shared" si="176"/>
        <v>0</v>
      </c>
      <c r="AZ96" s="84">
        <f t="shared" si="176"/>
        <v>0</v>
      </c>
      <c r="BA96" s="84">
        <f t="shared" si="176"/>
        <v>0</v>
      </c>
      <c r="BB96" s="84"/>
      <c r="BC96" s="90">
        <f t="shared" si="61"/>
        <v>19433752.252813682</v>
      </c>
    </row>
    <row r="97" spans="1:55" x14ac:dyDescent="0.2">
      <c r="A97" s="52"/>
      <c r="B97" s="7"/>
      <c r="C97" s="7">
        <f t="shared" si="122"/>
        <v>29</v>
      </c>
      <c r="D97" s="84">
        <f t="shared" ref="D97:AI97" si="177">D$6*VLOOKUP(D37,RehabArray,3)*AnnMiles</f>
        <v>1894791.9920198435</v>
      </c>
      <c r="E97" s="84">
        <f t="shared" si="177"/>
        <v>461138.75161097181</v>
      </c>
      <c r="F97" s="84">
        <f t="shared" si="177"/>
        <v>2759529.8351328466</v>
      </c>
      <c r="G97" s="84">
        <f t="shared" si="177"/>
        <v>577476.51578634465</v>
      </c>
      <c r="H97" s="84">
        <f t="shared" si="177"/>
        <v>3729971.119483653</v>
      </c>
      <c r="I97" s="84">
        <f t="shared" si="177"/>
        <v>908386.83464442624</v>
      </c>
      <c r="J97" s="84">
        <f t="shared" si="177"/>
        <v>1362580.2519666394</v>
      </c>
      <c r="K97" s="84">
        <f t="shared" si="177"/>
        <v>3811345.0041898754</v>
      </c>
      <c r="L97" s="84">
        <f t="shared" si="177"/>
        <v>229482.99936463969</v>
      </c>
      <c r="M97" s="84">
        <f t="shared" si="177"/>
        <v>866197.84683646739</v>
      </c>
      <c r="N97" s="84">
        <f t="shared" si="177"/>
        <v>126319.46613465624</v>
      </c>
      <c r="O97" s="84">
        <f t="shared" si="177"/>
        <v>1362580.2519666394</v>
      </c>
      <c r="P97" s="84">
        <f t="shared" si="177"/>
        <v>628849.72247678041</v>
      </c>
      <c r="Q97" s="84">
        <f t="shared" si="177"/>
        <v>1306072.5005286976</v>
      </c>
      <c r="R97" s="84">
        <f t="shared" si="177"/>
        <v>0</v>
      </c>
      <c r="S97" s="84">
        <f t="shared" si="177"/>
        <v>0</v>
      </c>
      <c r="T97" s="84">
        <f t="shared" si="177"/>
        <v>0</v>
      </c>
      <c r="U97" s="84">
        <f t="shared" si="177"/>
        <v>0</v>
      </c>
      <c r="V97" s="84">
        <f t="shared" si="177"/>
        <v>0</v>
      </c>
      <c r="W97" s="84">
        <f t="shared" si="177"/>
        <v>0</v>
      </c>
      <c r="X97" s="84">
        <f t="shared" si="177"/>
        <v>0</v>
      </c>
      <c r="Y97" s="84">
        <f t="shared" si="177"/>
        <v>0</v>
      </c>
      <c r="Z97" s="84">
        <f t="shared" si="177"/>
        <v>0</v>
      </c>
      <c r="AA97" s="84">
        <f t="shared" si="177"/>
        <v>0</v>
      </c>
      <c r="AB97" s="84">
        <f t="shared" si="177"/>
        <v>0</v>
      </c>
      <c r="AC97" s="84">
        <f t="shared" si="177"/>
        <v>0</v>
      </c>
      <c r="AD97" s="84">
        <f t="shared" si="177"/>
        <v>0</v>
      </c>
      <c r="AE97" s="84">
        <f t="shared" si="177"/>
        <v>0</v>
      </c>
      <c r="AF97" s="84">
        <f t="shared" si="177"/>
        <v>0</v>
      </c>
      <c r="AG97" s="84">
        <f t="shared" si="177"/>
        <v>0</v>
      </c>
      <c r="AH97" s="84">
        <f t="shared" si="177"/>
        <v>0</v>
      </c>
      <c r="AI97" s="84">
        <f t="shared" si="177"/>
        <v>0</v>
      </c>
      <c r="AJ97" s="84">
        <f t="shared" ref="AJ97:BA97" si="178">AJ$6*VLOOKUP(AJ37,RehabArray,3)*AnnMiles</f>
        <v>0</v>
      </c>
      <c r="AK97" s="84">
        <f t="shared" si="178"/>
        <v>0</v>
      </c>
      <c r="AL97" s="84">
        <f t="shared" si="178"/>
        <v>0</v>
      </c>
      <c r="AM97" s="84">
        <f t="shared" si="178"/>
        <v>0</v>
      </c>
      <c r="AN97" s="84">
        <f t="shared" si="178"/>
        <v>0</v>
      </c>
      <c r="AO97" s="84">
        <f t="shared" si="178"/>
        <v>0</v>
      </c>
      <c r="AP97" s="84">
        <f t="shared" si="178"/>
        <v>0</v>
      </c>
      <c r="AQ97" s="84">
        <f t="shared" si="178"/>
        <v>0</v>
      </c>
      <c r="AR97" s="84">
        <f t="shared" si="178"/>
        <v>0</v>
      </c>
      <c r="AS97" s="84">
        <f t="shared" si="178"/>
        <v>0</v>
      </c>
      <c r="AT97" s="84">
        <f t="shared" si="178"/>
        <v>0</v>
      </c>
      <c r="AU97" s="84">
        <f t="shared" si="178"/>
        <v>0</v>
      </c>
      <c r="AV97" s="84">
        <f t="shared" si="178"/>
        <v>0</v>
      </c>
      <c r="AW97" s="84">
        <f t="shared" si="178"/>
        <v>0</v>
      </c>
      <c r="AX97" s="84">
        <f t="shared" si="178"/>
        <v>0</v>
      </c>
      <c r="AY97" s="84">
        <f t="shared" si="178"/>
        <v>0</v>
      </c>
      <c r="AZ97" s="84">
        <f t="shared" si="178"/>
        <v>0</v>
      </c>
      <c r="BA97" s="84">
        <f t="shared" si="178"/>
        <v>0</v>
      </c>
      <c r="BB97" s="84"/>
      <c r="BC97" s="90">
        <f t="shared" si="61"/>
        <v>20024723.092142481</v>
      </c>
    </row>
    <row r="98" spans="1:55" x14ac:dyDescent="0.2">
      <c r="A98" s="88"/>
      <c r="B98" s="67"/>
      <c r="C98" s="67">
        <f t="shared" si="122"/>
        <v>30</v>
      </c>
      <c r="D98" s="89">
        <f t="shared" ref="D98:AI98" si="179">D$6*VLOOKUP(D38,RehabArray,3)*AnnMiles</f>
        <v>1998918.1080841555</v>
      </c>
      <c r="E98" s="89">
        <f t="shared" si="179"/>
        <v>526331.10889440088</v>
      </c>
      <c r="F98" s="89">
        <f t="shared" si="179"/>
        <v>2777304.9909910192</v>
      </c>
      <c r="G98" s="89">
        <f t="shared" si="179"/>
        <v>580610.03359225241</v>
      </c>
      <c r="H98" s="89">
        <f t="shared" si="179"/>
        <v>3750130.2887702794</v>
      </c>
      <c r="I98" s="89">
        <f t="shared" si="179"/>
        <v>917931.99745855876</v>
      </c>
      <c r="J98" s="89">
        <f t="shared" si="179"/>
        <v>1376897.996187838</v>
      </c>
      <c r="K98" s="89">
        <f t="shared" si="179"/>
        <v>3832026.2217088658</v>
      </c>
      <c r="L98" s="89">
        <f t="shared" si="179"/>
        <v>230990.60631453787</v>
      </c>
      <c r="M98" s="89">
        <f t="shared" si="179"/>
        <v>885677.16377831565</v>
      </c>
      <c r="N98" s="89">
        <f t="shared" si="179"/>
        <v>133261.20720561038</v>
      </c>
      <c r="O98" s="89">
        <f t="shared" si="179"/>
        <v>1376897.996187838</v>
      </c>
      <c r="P98" s="89">
        <f t="shared" si="179"/>
        <v>146313.93954259765</v>
      </c>
      <c r="Q98" s="89">
        <f t="shared" si="179"/>
        <v>303882.79751154897</v>
      </c>
      <c r="R98" s="89">
        <f t="shared" si="179"/>
        <v>0</v>
      </c>
      <c r="S98" s="89">
        <f t="shared" si="179"/>
        <v>0</v>
      </c>
      <c r="T98" s="89">
        <f t="shared" si="179"/>
        <v>0</v>
      </c>
      <c r="U98" s="89">
        <f t="shared" si="179"/>
        <v>0</v>
      </c>
      <c r="V98" s="89">
        <f t="shared" si="179"/>
        <v>0</v>
      </c>
      <c r="W98" s="89">
        <f t="shared" si="179"/>
        <v>0</v>
      </c>
      <c r="X98" s="89">
        <f t="shared" si="179"/>
        <v>0</v>
      </c>
      <c r="Y98" s="89">
        <f t="shared" si="179"/>
        <v>0</v>
      </c>
      <c r="Z98" s="89">
        <f t="shared" si="179"/>
        <v>0</v>
      </c>
      <c r="AA98" s="89">
        <f t="shared" si="179"/>
        <v>0</v>
      </c>
      <c r="AB98" s="89">
        <f t="shared" si="179"/>
        <v>0</v>
      </c>
      <c r="AC98" s="89">
        <f t="shared" si="179"/>
        <v>0</v>
      </c>
      <c r="AD98" s="89">
        <f t="shared" si="179"/>
        <v>0</v>
      </c>
      <c r="AE98" s="89">
        <f t="shared" si="179"/>
        <v>0</v>
      </c>
      <c r="AF98" s="89">
        <f t="shared" si="179"/>
        <v>0</v>
      </c>
      <c r="AG98" s="89">
        <f t="shared" si="179"/>
        <v>0</v>
      </c>
      <c r="AH98" s="89">
        <f t="shared" si="179"/>
        <v>0</v>
      </c>
      <c r="AI98" s="89">
        <f t="shared" si="179"/>
        <v>0</v>
      </c>
      <c r="AJ98" s="89">
        <f t="shared" ref="AJ98:BA98" si="180">AJ$6*VLOOKUP(AJ38,RehabArray,3)*AnnMiles</f>
        <v>0</v>
      </c>
      <c r="AK98" s="89">
        <f t="shared" si="180"/>
        <v>0</v>
      </c>
      <c r="AL98" s="89">
        <f t="shared" si="180"/>
        <v>0</v>
      </c>
      <c r="AM98" s="89">
        <f t="shared" si="180"/>
        <v>0</v>
      </c>
      <c r="AN98" s="89">
        <f t="shared" si="180"/>
        <v>0</v>
      </c>
      <c r="AO98" s="89">
        <f t="shared" si="180"/>
        <v>0</v>
      </c>
      <c r="AP98" s="89">
        <f t="shared" si="180"/>
        <v>0</v>
      </c>
      <c r="AQ98" s="89">
        <f t="shared" si="180"/>
        <v>0</v>
      </c>
      <c r="AR98" s="89">
        <f t="shared" si="180"/>
        <v>0</v>
      </c>
      <c r="AS98" s="89">
        <f t="shared" si="180"/>
        <v>0</v>
      </c>
      <c r="AT98" s="89">
        <f t="shared" si="180"/>
        <v>0</v>
      </c>
      <c r="AU98" s="89">
        <f t="shared" si="180"/>
        <v>0</v>
      </c>
      <c r="AV98" s="89">
        <f t="shared" si="180"/>
        <v>0</v>
      </c>
      <c r="AW98" s="89">
        <f t="shared" si="180"/>
        <v>0</v>
      </c>
      <c r="AX98" s="89">
        <f t="shared" si="180"/>
        <v>0</v>
      </c>
      <c r="AY98" s="89">
        <f t="shared" si="180"/>
        <v>0</v>
      </c>
      <c r="AZ98" s="89">
        <f t="shared" si="180"/>
        <v>0</v>
      </c>
      <c r="BA98" s="89">
        <f t="shared" si="180"/>
        <v>0</v>
      </c>
      <c r="BB98" s="89"/>
      <c r="BC98" s="90">
        <f t="shared" si="61"/>
        <v>18837174.45622782</v>
      </c>
    </row>
    <row r="99" spans="1:55" x14ac:dyDescent="0.2">
      <c r="A99" s="52" t="s">
        <v>17</v>
      </c>
      <c r="B99" s="7" t="s">
        <v>9</v>
      </c>
      <c r="C99" s="7"/>
      <c r="D99" s="84">
        <f t="shared" ref="D99:AI99" si="181">D6*EXP(D7*FuelC1)</f>
        <v>98.744102880305221</v>
      </c>
      <c r="E99" s="84">
        <f t="shared" si="181"/>
        <v>26.856606125019027</v>
      </c>
      <c r="F99" s="84">
        <f t="shared" si="181"/>
        <v>155.75848566717994</v>
      </c>
      <c r="G99" s="84">
        <f t="shared" si="181"/>
        <v>30.105332720847226</v>
      </c>
      <c r="H99" s="84">
        <f t="shared" si="181"/>
        <v>206.70235836382346</v>
      </c>
      <c r="I99" s="84">
        <f t="shared" si="181"/>
        <v>46.682342306913839</v>
      </c>
      <c r="J99" s="84">
        <f t="shared" si="181"/>
        <v>69.988398473593975</v>
      </c>
      <c r="K99" s="84">
        <f t="shared" si="181"/>
        <v>197.37083885084161</v>
      </c>
      <c r="L99" s="84">
        <f t="shared" si="181"/>
        <v>11.860769933784574</v>
      </c>
      <c r="M99" s="84">
        <f t="shared" si="181"/>
        <v>43.987638582042763</v>
      </c>
      <c r="N99" s="84">
        <f t="shared" si="181"/>
        <v>6.6428244646643311</v>
      </c>
      <c r="O99" s="84">
        <f t="shared" si="181"/>
        <v>68.560993436974826</v>
      </c>
      <c r="P99" s="84">
        <f t="shared" si="181"/>
        <v>26.411804200359782</v>
      </c>
      <c r="Q99" s="84">
        <f t="shared" si="181"/>
        <v>54.646121186772319</v>
      </c>
      <c r="R99" s="84">
        <f t="shared" si="181"/>
        <v>0</v>
      </c>
      <c r="S99" s="84">
        <f t="shared" si="181"/>
        <v>0</v>
      </c>
      <c r="T99" s="84">
        <f t="shared" si="181"/>
        <v>0</v>
      </c>
      <c r="U99" s="84">
        <f t="shared" si="181"/>
        <v>0</v>
      </c>
      <c r="V99" s="84">
        <f t="shared" si="181"/>
        <v>0</v>
      </c>
      <c r="W99" s="84">
        <f t="shared" si="181"/>
        <v>0</v>
      </c>
      <c r="X99" s="84">
        <f t="shared" si="181"/>
        <v>0</v>
      </c>
      <c r="Y99" s="84">
        <f t="shared" si="181"/>
        <v>0</v>
      </c>
      <c r="Z99" s="84">
        <f t="shared" si="181"/>
        <v>0</v>
      </c>
      <c r="AA99" s="84">
        <f t="shared" si="181"/>
        <v>0</v>
      </c>
      <c r="AB99" s="84">
        <f t="shared" si="181"/>
        <v>0</v>
      </c>
      <c r="AC99" s="84">
        <f t="shared" si="181"/>
        <v>0</v>
      </c>
      <c r="AD99" s="84">
        <f t="shared" si="181"/>
        <v>0</v>
      </c>
      <c r="AE99" s="84">
        <f t="shared" si="181"/>
        <v>0</v>
      </c>
      <c r="AF99" s="84">
        <f t="shared" si="181"/>
        <v>0</v>
      </c>
      <c r="AG99" s="84">
        <f t="shared" si="181"/>
        <v>0</v>
      </c>
      <c r="AH99" s="84">
        <f t="shared" si="181"/>
        <v>0</v>
      </c>
      <c r="AI99" s="84">
        <f t="shared" si="181"/>
        <v>0</v>
      </c>
      <c r="AJ99" s="84">
        <f t="shared" ref="AJ99:BA99" si="182">AJ6*EXP(AJ7*FuelC1)</f>
        <v>0</v>
      </c>
      <c r="AK99" s="84">
        <f t="shared" si="182"/>
        <v>0</v>
      </c>
      <c r="AL99" s="84">
        <f t="shared" si="182"/>
        <v>0</v>
      </c>
      <c r="AM99" s="84">
        <f t="shared" si="182"/>
        <v>0</v>
      </c>
      <c r="AN99" s="84">
        <f t="shared" si="182"/>
        <v>0</v>
      </c>
      <c r="AO99" s="84">
        <f t="shared" si="182"/>
        <v>0</v>
      </c>
      <c r="AP99" s="84">
        <f t="shared" si="182"/>
        <v>0</v>
      </c>
      <c r="AQ99" s="84">
        <f t="shared" si="182"/>
        <v>0</v>
      </c>
      <c r="AR99" s="84">
        <f t="shared" si="182"/>
        <v>0</v>
      </c>
      <c r="AS99" s="84">
        <f t="shared" si="182"/>
        <v>0</v>
      </c>
      <c r="AT99" s="84">
        <f t="shared" si="182"/>
        <v>0</v>
      </c>
      <c r="AU99" s="84">
        <f t="shared" si="182"/>
        <v>0</v>
      </c>
      <c r="AV99" s="84">
        <f t="shared" si="182"/>
        <v>0</v>
      </c>
      <c r="AW99" s="84">
        <f t="shared" si="182"/>
        <v>0</v>
      </c>
      <c r="AX99" s="84">
        <f t="shared" si="182"/>
        <v>0</v>
      </c>
      <c r="AY99" s="84">
        <f t="shared" si="182"/>
        <v>0</v>
      </c>
      <c r="AZ99" s="84">
        <f t="shared" si="182"/>
        <v>0</v>
      </c>
      <c r="BA99" s="84">
        <f t="shared" si="182"/>
        <v>0</v>
      </c>
      <c r="BB99" s="84"/>
      <c r="BC99" s="85">
        <f>SUM(D99:BB99)</f>
        <v>1044.3186171931229</v>
      </c>
    </row>
    <row r="100" spans="1:55" x14ac:dyDescent="0.2">
      <c r="A100" s="52"/>
      <c r="B100" s="7" t="s">
        <v>8</v>
      </c>
      <c r="C100" s="7"/>
      <c r="D100" s="84">
        <f t="shared" ref="D100:AI100" si="183">D6*EXP(D7*MaintC1)</f>
        <v>108.43392381072543</v>
      </c>
      <c r="E100" s="84">
        <f t="shared" si="183"/>
        <v>28.870876252249801</v>
      </c>
      <c r="F100" s="84">
        <f t="shared" si="183"/>
        <v>207.92500354366683</v>
      </c>
      <c r="G100" s="84">
        <f t="shared" si="183"/>
        <v>36.317766793086513</v>
      </c>
      <c r="H100" s="84">
        <f t="shared" si="183"/>
        <v>269.39166441988436</v>
      </c>
      <c r="I100" s="84">
        <f t="shared" si="183"/>
        <v>54.561628126267479</v>
      </c>
      <c r="J100" s="84">
        <f t="shared" si="183"/>
        <v>81.759986572287019</v>
      </c>
      <c r="K100" s="84">
        <f t="shared" si="183"/>
        <v>236.49748033499455</v>
      </c>
      <c r="L100" s="84">
        <f t="shared" si="183"/>
        <v>14.090778171093771</v>
      </c>
      <c r="M100" s="84">
        <f t="shared" si="183"/>
        <v>49.670306813053529</v>
      </c>
      <c r="N100" s="84">
        <f t="shared" si="183"/>
        <v>7.3616859016054299</v>
      </c>
      <c r="O100" s="84">
        <f t="shared" si="183"/>
        <v>78.443555051480288</v>
      </c>
      <c r="P100" s="84">
        <f t="shared" si="183"/>
        <v>26.834165777024896</v>
      </c>
      <c r="Q100" s="84">
        <f t="shared" si="183"/>
        <v>55.30626794858177</v>
      </c>
      <c r="R100" s="84">
        <f t="shared" si="183"/>
        <v>0</v>
      </c>
      <c r="S100" s="84">
        <f t="shared" si="183"/>
        <v>0</v>
      </c>
      <c r="T100" s="84">
        <f t="shared" si="183"/>
        <v>0</v>
      </c>
      <c r="U100" s="84">
        <f t="shared" si="183"/>
        <v>0</v>
      </c>
      <c r="V100" s="84">
        <f t="shared" si="183"/>
        <v>0</v>
      </c>
      <c r="W100" s="84">
        <f t="shared" si="183"/>
        <v>0</v>
      </c>
      <c r="X100" s="84">
        <f t="shared" si="183"/>
        <v>0</v>
      </c>
      <c r="Y100" s="84">
        <f t="shared" si="183"/>
        <v>0</v>
      </c>
      <c r="Z100" s="84">
        <f t="shared" si="183"/>
        <v>0</v>
      </c>
      <c r="AA100" s="84">
        <f t="shared" si="183"/>
        <v>0</v>
      </c>
      <c r="AB100" s="84">
        <f t="shared" si="183"/>
        <v>0</v>
      </c>
      <c r="AC100" s="84">
        <f t="shared" si="183"/>
        <v>0</v>
      </c>
      <c r="AD100" s="84">
        <f t="shared" si="183"/>
        <v>0</v>
      </c>
      <c r="AE100" s="84">
        <f t="shared" si="183"/>
        <v>0</v>
      </c>
      <c r="AF100" s="84">
        <f t="shared" si="183"/>
        <v>0</v>
      </c>
      <c r="AG100" s="84">
        <f t="shared" si="183"/>
        <v>0</v>
      </c>
      <c r="AH100" s="84">
        <f t="shared" si="183"/>
        <v>0</v>
      </c>
      <c r="AI100" s="84">
        <f t="shared" si="183"/>
        <v>0</v>
      </c>
      <c r="AJ100" s="84">
        <f t="shared" ref="AJ100:BA100" si="184">AJ6*EXP(AJ7*MaintC1)</f>
        <v>0</v>
      </c>
      <c r="AK100" s="84">
        <f t="shared" si="184"/>
        <v>0</v>
      </c>
      <c r="AL100" s="84">
        <f t="shared" si="184"/>
        <v>0</v>
      </c>
      <c r="AM100" s="84">
        <f t="shared" si="184"/>
        <v>0</v>
      </c>
      <c r="AN100" s="84">
        <f t="shared" si="184"/>
        <v>0</v>
      </c>
      <c r="AO100" s="84">
        <f t="shared" si="184"/>
        <v>0</v>
      </c>
      <c r="AP100" s="84">
        <f t="shared" si="184"/>
        <v>0</v>
      </c>
      <c r="AQ100" s="84">
        <f t="shared" si="184"/>
        <v>0</v>
      </c>
      <c r="AR100" s="84">
        <f t="shared" si="184"/>
        <v>0</v>
      </c>
      <c r="AS100" s="84">
        <f t="shared" si="184"/>
        <v>0</v>
      </c>
      <c r="AT100" s="84">
        <f t="shared" si="184"/>
        <v>0</v>
      </c>
      <c r="AU100" s="84">
        <f t="shared" si="184"/>
        <v>0</v>
      </c>
      <c r="AV100" s="84">
        <f t="shared" si="184"/>
        <v>0</v>
      </c>
      <c r="AW100" s="84">
        <f t="shared" si="184"/>
        <v>0</v>
      </c>
      <c r="AX100" s="84">
        <f t="shared" si="184"/>
        <v>0</v>
      </c>
      <c r="AY100" s="84">
        <f t="shared" si="184"/>
        <v>0</v>
      </c>
      <c r="AZ100" s="84">
        <f t="shared" si="184"/>
        <v>0</v>
      </c>
      <c r="BA100" s="84">
        <f t="shared" si="184"/>
        <v>0</v>
      </c>
      <c r="BB100" s="84"/>
      <c r="BC100" s="85">
        <f>SUM(D100:BB100)</f>
        <v>1255.4650895160014</v>
      </c>
    </row>
    <row r="101" spans="1:55" x14ac:dyDescent="0.2">
      <c r="A101" s="88"/>
      <c r="B101" s="67" t="s">
        <v>18</v>
      </c>
      <c r="C101" s="67"/>
      <c r="D101" s="89">
        <f t="shared" ref="D101:AI101" si="185">D6*EXP(DelayC1*D7)</f>
        <v>120.61649269971387</v>
      </c>
      <c r="E101" s="89">
        <f t="shared" si="185"/>
        <v>31.346254456461015</v>
      </c>
      <c r="F101" s="89">
        <f t="shared" si="185"/>
        <v>288.80476170985469</v>
      </c>
      <c r="G101" s="89">
        <f t="shared" si="185"/>
        <v>44.95654447495189</v>
      </c>
      <c r="H101" s="89">
        <f t="shared" si="185"/>
        <v>364.11107137116602</v>
      </c>
      <c r="I101" s="89">
        <f t="shared" si="185"/>
        <v>65.152563738323721</v>
      </c>
      <c r="J101" s="89">
        <f t="shared" si="185"/>
        <v>97.574165654907489</v>
      </c>
      <c r="K101" s="89">
        <f t="shared" si="185"/>
        <v>290.51270605316677</v>
      </c>
      <c r="L101" s="89">
        <f t="shared" si="185"/>
        <v>17.141178583909568</v>
      </c>
      <c r="M101" s="89">
        <f t="shared" si="185"/>
        <v>57.031561557595552</v>
      </c>
      <c r="N101" s="89">
        <f t="shared" si="185"/>
        <v>8.2743715207772226</v>
      </c>
      <c r="O101" s="89">
        <f t="shared" si="185"/>
        <v>91.427109947561803</v>
      </c>
      <c r="P101" s="89">
        <f t="shared" si="185"/>
        <v>27.322793430274505</v>
      </c>
      <c r="Q101" s="89">
        <f t="shared" si="185"/>
        <v>56.066845390302461</v>
      </c>
      <c r="R101" s="89">
        <f t="shared" si="185"/>
        <v>0</v>
      </c>
      <c r="S101" s="89">
        <f t="shared" si="185"/>
        <v>0</v>
      </c>
      <c r="T101" s="89">
        <f t="shared" si="185"/>
        <v>0</v>
      </c>
      <c r="U101" s="89">
        <f t="shared" si="185"/>
        <v>0</v>
      </c>
      <c r="V101" s="89">
        <f t="shared" si="185"/>
        <v>0</v>
      </c>
      <c r="W101" s="89">
        <f t="shared" si="185"/>
        <v>0</v>
      </c>
      <c r="X101" s="89">
        <f t="shared" si="185"/>
        <v>0</v>
      </c>
      <c r="Y101" s="89">
        <f t="shared" si="185"/>
        <v>0</v>
      </c>
      <c r="Z101" s="89">
        <f t="shared" si="185"/>
        <v>0</v>
      </c>
      <c r="AA101" s="89">
        <f t="shared" si="185"/>
        <v>0</v>
      </c>
      <c r="AB101" s="89">
        <f t="shared" si="185"/>
        <v>0</v>
      </c>
      <c r="AC101" s="89">
        <f t="shared" si="185"/>
        <v>0</v>
      </c>
      <c r="AD101" s="89">
        <f t="shared" si="185"/>
        <v>0</v>
      </c>
      <c r="AE101" s="89">
        <f t="shared" si="185"/>
        <v>0</v>
      </c>
      <c r="AF101" s="89">
        <f t="shared" si="185"/>
        <v>0</v>
      </c>
      <c r="AG101" s="89">
        <f t="shared" si="185"/>
        <v>0</v>
      </c>
      <c r="AH101" s="89">
        <f t="shared" si="185"/>
        <v>0</v>
      </c>
      <c r="AI101" s="89">
        <f t="shared" si="185"/>
        <v>0</v>
      </c>
      <c r="AJ101" s="89">
        <f t="shared" ref="AJ101:BA101" si="186">AJ6*EXP(DelayC1*AJ7)</f>
        <v>0</v>
      </c>
      <c r="AK101" s="89">
        <f t="shared" si="186"/>
        <v>0</v>
      </c>
      <c r="AL101" s="89">
        <f t="shared" si="186"/>
        <v>0</v>
      </c>
      <c r="AM101" s="89">
        <f t="shared" si="186"/>
        <v>0</v>
      </c>
      <c r="AN101" s="89">
        <f t="shared" si="186"/>
        <v>0</v>
      </c>
      <c r="AO101" s="89">
        <f t="shared" si="186"/>
        <v>0</v>
      </c>
      <c r="AP101" s="89">
        <f t="shared" si="186"/>
        <v>0</v>
      </c>
      <c r="AQ101" s="89">
        <f t="shared" si="186"/>
        <v>0</v>
      </c>
      <c r="AR101" s="89">
        <f t="shared" si="186"/>
        <v>0</v>
      </c>
      <c r="AS101" s="89">
        <f t="shared" si="186"/>
        <v>0</v>
      </c>
      <c r="AT101" s="89">
        <f t="shared" si="186"/>
        <v>0</v>
      </c>
      <c r="AU101" s="89">
        <f t="shared" si="186"/>
        <v>0</v>
      </c>
      <c r="AV101" s="89">
        <f t="shared" si="186"/>
        <v>0</v>
      </c>
      <c r="AW101" s="89">
        <f t="shared" si="186"/>
        <v>0</v>
      </c>
      <c r="AX101" s="89">
        <f t="shared" si="186"/>
        <v>0</v>
      </c>
      <c r="AY101" s="89">
        <f t="shared" si="186"/>
        <v>0</v>
      </c>
      <c r="AZ101" s="89">
        <f t="shared" si="186"/>
        <v>0</v>
      </c>
      <c r="BA101" s="89">
        <f t="shared" si="186"/>
        <v>0</v>
      </c>
      <c r="BB101" s="89"/>
      <c r="BC101" s="90">
        <f>SUM(D101:BB101)</f>
        <v>1560.3384205889665</v>
      </c>
    </row>
    <row r="102" spans="1:55" x14ac:dyDescent="0.2">
      <c r="A102" s="52" t="s">
        <v>23</v>
      </c>
      <c r="B102" s="7"/>
      <c r="C102" s="7">
        <v>1</v>
      </c>
      <c r="D102" s="84">
        <f t="shared" ref="D102:AI102" si="187">D$6*AnnMiles*FuelC2*(EXP((D7+0.75*AnnMiles)*FuelC1)+EXP((D9+0.25*AnnMiles)*FuelC1))/2</f>
        <v>2219346.2777621779</v>
      </c>
      <c r="E102" s="84">
        <f t="shared" si="187"/>
        <v>603621.95916789374</v>
      </c>
      <c r="F102" s="84">
        <f t="shared" si="187"/>
        <v>3500786.4298929847</v>
      </c>
      <c r="G102" s="84">
        <f t="shared" si="187"/>
        <v>676639.4768485002</v>
      </c>
      <c r="H102" s="84">
        <f t="shared" si="187"/>
        <v>4645787.406621051</v>
      </c>
      <c r="I102" s="84">
        <f t="shared" si="187"/>
        <v>1049219.949485543</v>
      </c>
      <c r="J102" s="84">
        <f t="shared" si="187"/>
        <v>1573040.6890950406</v>
      </c>
      <c r="K102" s="84">
        <f t="shared" si="187"/>
        <v>4436054.6479761591</v>
      </c>
      <c r="L102" s="84">
        <f t="shared" si="187"/>
        <v>266579.52055979008</v>
      </c>
      <c r="M102" s="84">
        <f t="shared" si="187"/>
        <v>988654.50297261158</v>
      </c>
      <c r="N102" s="84">
        <f t="shared" si="187"/>
        <v>149302.36155318591</v>
      </c>
      <c r="O102" s="84">
        <f t="shared" si="187"/>
        <v>1540958.7119189478</v>
      </c>
      <c r="P102" s="84">
        <f t="shared" si="187"/>
        <v>593624.7090330621</v>
      </c>
      <c r="Q102" s="84">
        <f t="shared" si="187"/>
        <v>1228211.7322693644</v>
      </c>
      <c r="R102" s="84">
        <f t="shared" si="187"/>
        <v>0</v>
      </c>
      <c r="S102" s="84">
        <f t="shared" si="187"/>
        <v>0</v>
      </c>
      <c r="T102" s="84">
        <f t="shared" si="187"/>
        <v>0</v>
      </c>
      <c r="U102" s="84">
        <f t="shared" si="187"/>
        <v>0</v>
      </c>
      <c r="V102" s="84">
        <f t="shared" si="187"/>
        <v>0</v>
      </c>
      <c r="W102" s="84">
        <f t="shared" si="187"/>
        <v>0</v>
      </c>
      <c r="X102" s="84">
        <f t="shared" si="187"/>
        <v>0</v>
      </c>
      <c r="Y102" s="84">
        <f t="shared" si="187"/>
        <v>0</v>
      </c>
      <c r="Z102" s="84">
        <f t="shared" si="187"/>
        <v>0</v>
      </c>
      <c r="AA102" s="84">
        <f t="shared" si="187"/>
        <v>0</v>
      </c>
      <c r="AB102" s="84">
        <f t="shared" si="187"/>
        <v>0</v>
      </c>
      <c r="AC102" s="84">
        <f t="shared" si="187"/>
        <v>0</v>
      </c>
      <c r="AD102" s="84">
        <f t="shared" si="187"/>
        <v>0</v>
      </c>
      <c r="AE102" s="84">
        <f t="shared" si="187"/>
        <v>0</v>
      </c>
      <c r="AF102" s="84">
        <f t="shared" si="187"/>
        <v>0</v>
      </c>
      <c r="AG102" s="84">
        <f t="shared" si="187"/>
        <v>0</v>
      </c>
      <c r="AH102" s="84">
        <f t="shared" si="187"/>
        <v>0</v>
      </c>
      <c r="AI102" s="84">
        <f t="shared" si="187"/>
        <v>0</v>
      </c>
      <c r="AJ102" s="84">
        <f t="shared" ref="AJ102:BA102" si="188">AJ$6*AnnMiles*FuelC2*(EXP((AJ7+0.75*AnnMiles)*FuelC1)+EXP((AJ9+0.25*AnnMiles)*FuelC1))/2</f>
        <v>0</v>
      </c>
      <c r="AK102" s="84">
        <f t="shared" si="188"/>
        <v>0</v>
      </c>
      <c r="AL102" s="84">
        <f t="shared" si="188"/>
        <v>0</v>
      </c>
      <c r="AM102" s="84">
        <f t="shared" si="188"/>
        <v>0</v>
      </c>
      <c r="AN102" s="84">
        <f t="shared" si="188"/>
        <v>0</v>
      </c>
      <c r="AO102" s="84">
        <f t="shared" si="188"/>
        <v>0</v>
      </c>
      <c r="AP102" s="84">
        <f t="shared" si="188"/>
        <v>0</v>
      </c>
      <c r="AQ102" s="84">
        <f t="shared" si="188"/>
        <v>0</v>
      </c>
      <c r="AR102" s="84">
        <f t="shared" si="188"/>
        <v>0</v>
      </c>
      <c r="AS102" s="84">
        <f t="shared" si="188"/>
        <v>0</v>
      </c>
      <c r="AT102" s="84">
        <f t="shared" si="188"/>
        <v>0</v>
      </c>
      <c r="AU102" s="84">
        <f t="shared" si="188"/>
        <v>0</v>
      </c>
      <c r="AV102" s="84">
        <f t="shared" si="188"/>
        <v>0</v>
      </c>
      <c r="AW102" s="84">
        <f t="shared" si="188"/>
        <v>0</v>
      </c>
      <c r="AX102" s="84">
        <f t="shared" si="188"/>
        <v>0</v>
      </c>
      <c r="AY102" s="84">
        <f t="shared" si="188"/>
        <v>0</v>
      </c>
      <c r="AZ102" s="84">
        <f t="shared" si="188"/>
        <v>0</v>
      </c>
      <c r="BA102" s="84">
        <f t="shared" si="188"/>
        <v>0</v>
      </c>
      <c r="BB102" s="84"/>
      <c r="BC102" s="85">
        <f t="shared" ref="BC102:BC131" si="189">SUM(D102:BB102)</f>
        <v>23471828.375156309</v>
      </c>
    </row>
    <row r="103" spans="1:55" x14ac:dyDescent="0.2">
      <c r="A103" s="52"/>
      <c r="B103" s="7"/>
      <c r="C103" s="7">
        <f>1+C102</f>
        <v>2</v>
      </c>
      <c r="D103" s="84">
        <f t="shared" ref="D103:AI103" si="190">D$6*AnnMiles*FuelC2*(EXP((D9+0.75*AnnMiles)*FuelC1)+EXP((D10+0.25*AnnMiles)*FuelC1))/2</f>
        <v>2269149.6090898211</v>
      </c>
      <c r="E103" s="84">
        <f t="shared" si="190"/>
        <v>617167.56254232174</v>
      </c>
      <c r="F103" s="84">
        <f t="shared" si="190"/>
        <v>3579345.9716023025</v>
      </c>
      <c r="G103" s="84">
        <f t="shared" si="190"/>
        <v>691823.63282835402</v>
      </c>
      <c r="H103" s="84">
        <f t="shared" si="190"/>
        <v>4750041.3897908349</v>
      </c>
      <c r="I103" s="84">
        <f t="shared" si="190"/>
        <v>1072765.012869023</v>
      </c>
      <c r="J103" s="84">
        <f t="shared" si="190"/>
        <v>1608340.5733068271</v>
      </c>
      <c r="K103" s="84">
        <f t="shared" si="190"/>
        <v>4535602.1145587312</v>
      </c>
      <c r="L103" s="84">
        <f t="shared" si="190"/>
        <v>272561.70924329304</v>
      </c>
      <c r="M103" s="84">
        <f t="shared" si="190"/>
        <v>1010840.4449652957</v>
      </c>
      <c r="N103" s="84">
        <f t="shared" si="190"/>
        <v>152652.78733168612</v>
      </c>
      <c r="O103" s="84">
        <f t="shared" si="190"/>
        <v>1575538.6592038309</v>
      </c>
      <c r="P103" s="84">
        <f t="shared" si="190"/>
        <v>606945.96870510397</v>
      </c>
      <c r="Q103" s="84">
        <f t="shared" si="190"/>
        <v>1255773.4681082568</v>
      </c>
      <c r="R103" s="84">
        <f t="shared" si="190"/>
        <v>0</v>
      </c>
      <c r="S103" s="84">
        <f t="shared" si="190"/>
        <v>0</v>
      </c>
      <c r="T103" s="84">
        <f t="shared" si="190"/>
        <v>0</v>
      </c>
      <c r="U103" s="84">
        <f t="shared" si="190"/>
        <v>0</v>
      </c>
      <c r="V103" s="84">
        <f t="shared" si="190"/>
        <v>0</v>
      </c>
      <c r="W103" s="84">
        <f t="shared" si="190"/>
        <v>0</v>
      </c>
      <c r="X103" s="84">
        <f t="shared" si="190"/>
        <v>0</v>
      </c>
      <c r="Y103" s="84">
        <f t="shared" si="190"/>
        <v>0</v>
      </c>
      <c r="Z103" s="84">
        <f t="shared" si="190"/>
        <v>0</v>
      </c>
      <c r="AA103" s="84">
        <f t="shared" si="190"/>
        <v>0</v>
      </c>
      <c r="AB103" s="84">
        <f t="shared" si="190"/>
        <v>0</v>
      </c>
      <c r="AC103" s="84">
        <f t="shared" si="190"/>
        <v>0</v>
      </c>
      <c r="AD103" s="84">
        <f t="shared" si="190"/>
        <v>0</v>
      </c>
      <c r="AE103" s="84">
        <f t="shared" si="190"/>
        <v>0</v>
      </c>
      <c r="AF103" s="84">
        <f t="shared" si="190"/>
        <v>0</v>
      </c>
      <c r="AG103" s="84">
        <f t="shared" si="190"/>
        <v>0</v>
      </c>
      <c r="AH103" s="84">
        <f t="shared" si="190"/>
        <v>0</v>
      </c>
      <c r="AI103" s="84">
        <f t="shared" si="190"/>
        <v>0</v>
      </c>
      <c r="AJ103" s="84">
        <f t="shared" ref="AJ103:BA103" si="191">AJ$6*AnnMiles*FuelC2*(EXP((AJ9+0.75*AnnMiles)*FuelC1)+EXP((AJ10+0.25*AnnMiles)*FuelC1))/2</f>
        <v>0</v>
      </c>
      <c r="AK103" s="84">
        <f t="shared" si="191"/>
        <v>0</v>
      </c>
      <c r="AL103" s="84">
        <f t="shared" si="191"/>
        <v>0</v>
      </c>
      <c r="AM103" s="84">
        <f t="shared" si="191"/>
        <v>0</v>
      </c>
      <c r="AN103" s="84">
        <f t="shared" si="191"/>
        <v>0</v>
      </c>
      <c r="AO103" s="84">
        <f t="shared" si="191"/>
        <v>0</v>
      </c>
      <c r="AP103" s="84">
        <f t="shared" si="191"/>
        <v>0</v>
      </c>
      <c r="AQ103" s="84">
        <f t="shared" si="191"/>
        <v>0</v>
      </c>
      <c r="AR103" s="84">
        <f t="shared" si="191"/>
        <v>0</v>
      </c>
      <c r="AS103" s="84">
        <f t="shared" si="191"/>
        <v>0</v>
      </c>
      <c r="AT103" s="84">
        <f t="shared" si="191"/>
        <v>0</v>
      </c>
      <c r="AU103" s="84">
        <f t="shared" si="191"/>
        <v>0</v>
      </c>
      <c r="AV103" s="84">
        <f t="shared" si="191"/>
        <v>0</v>
      </c>
      <c r="AW103" s="84">
        <f t="shared" si="191"/>
        <v>0</v>
      </c>
      <c r="AX103" s="84">
        <f t="shared" si="191"/>
        <v>0</v>
      </c>
      <c r="AY103" s="84">
        <f t="shared" si="191"/>
        <v>0</v>
      </c>
      <c r="AZ103" s="84">
        <f t="shared" si="191"/>
        <v>0</v>
      </c>
      <c r="BA103" s="84">
        <f t="shared" si="191"/>
        <v>0</v>
      </c>
      <c r="BB103" s="84"/>
      <c r="BC103" s="85">
        <f t="shared" si="189"/>
        <v>23998548.90414568</v>
      </c>
    </row>
    <row r="104" spans="1:55" x14ac:dyDescent="0.2">
      <c r="A104" s="52"/>
      <c r="B104" s="7"/>
      <c r="C104" s="7">
        <f t="shared" ref="C104:C131" si="192">1+C103</f>
        <v>3</v>
      </c>
      <c r="D104" s="84">
        <f t="shared" ref="D104:AI104" si="193">D$6*AnnMiles*FuelC2*(EXP((D10+0.75*AnnMiles)*FuelC1)+EXP((D11+0.25*AnnMiles)*FuelC1))/2</f>
        <v>2320070.554120285</v>
      </c>
      <c r="E104" s="84">
        <f t="shared" si="193"/>
        <v>631017.13658579288</v>
      </c>
      <c r="F104" s="84">
        <f t="shared" si="193"/>
        <v>3112789.4108722899</v>
      </c>
      <c r="G104" s="84">
        <f t="shared" si="193"/>
        <v>707348.52948431252</v>
      </c>
      <c r="H104" s="84">
        <f t="shared" si="193"/>
        <v>4856634.888753199</v>
      </c>
      <c r="I104" s="84">
        <f t="shared" si="193"/>
        <v>1096838.4402147057</v>
      </c>
      <c r="J104" s="84">
        <f t="shared" si="193"/>
        <v>1644432.6060205586</v>
      </c>
      <c r="K104" s="84">
        <f t="shared" si="193"/>
        <v>4637383.4801550433</v>
      </c>
      <c r="L104" s="84">
        <f t="shared" si="193"/>
        <v>278678.14147772564</v>
      </c>
      <c r="M104" s="84">
        <f t="shared" si="193"/>
        <v>1033524.2515007728</v>
      </c>
      <c r="N104" s="84">
        <f t="shared" si="193"/>
        <v>156078.39847752053</v>
      </c>
      <c r="O104" s="84">
        <f t="shared" si="193"/>
        <v>1610894.5992164724</v>
      </c>
      <c r="P104" s="84">
        <f t="shared" si="193"/>
        <v>620566.16465211823</v>
      </c>
      <c r="Q104" s="84">
        <f t="shared" si="193"/>
        <v>1283953.7042126115</v>
      </c>
      <c r="R104" s="84">
        <f t="shared" si="193"/>
        <v>0</v>
      </c>
      <c r="S104" s="84">
        <f t="shared" si="193"/>
        <v>0</v>
      </c>
      <c r="T104" s="84">
        <f t="shared" si="193"/>
        <v>0</v>
      </c>
      <c r="U104" s="84">
        <f t="shared" si="193"/>
        <v>0</v>
      </c>
      <c r="V104" s="84">
        <f t="shared" si="193"/>
        <v>0</v>
      </c>
      <c r="W104" s="84">
        <f t="shared" si="193"/>
        <v>0</v>
      </c>
      <c r="X104" s="84">
        <f t="shared" si="193"/>
        <v>0</v>
      </c>
      <c r="Y104" s="84">
        <f t="shared" si="193"/>
        <v>0</v>
      </c>
      <c r="Z104" s="84">
        <f t="shared" si="193"/>
        <v>0</v>
      </c>
      <c r="AA104" s="84">
        <f t="shared" si="193"/>
        <v>0</v>
      </c>
      <c r="AB104" s="84">
        <f t="shared" si="193"/>
        <v>0</v>
      </c>
      <c r="AC104" s="84">
        <f t="shared" si="193"/>
        <v>0</v>
      </c>
      <c r="AD104" s="84">
        <f t="shared" si="193"/>
        <v>0</v>
      </c>
      <c r="AE104" s="84">
        <f t="shared" si="193"/>
        <v>0</v>
      </c>
      <c r="AF104" s="84">
        <f t="shared" si="193"/>
        <v>0</v>
      </c>
      <c r="AG104" s="84">
        <f t="shared" si="193"/>
        <v>0</v>
      </c>
      <c r="AH104" s="84">
        <f t="shared" si="193"/>
        <v>0</v>
      </c>
      <c r="AI104" s="84">
        <f t="shared" si="193"/>
        <v>0</v>
      </c>
      <c r="AJ104" s="84">
        <f t="shared" ref="AJ104:BA104" si="194">AJ$6*AnnMiles*FuelC2*(EXP((AJ10+0.75*AnnMiles)*FuelC1)+EXP((AJ11+0.25*AnnMiles)*FuelC1))/2</f>
        <v>0</v>
      </c>
      <c r="AK104" s="84">
        <f t="shared" si="194"/>
        <v>0</v>
      </c>
      <c r="AL104" s="84">
        <f t="shared" si="194"/>
        <v>0</v>
      </c>
      <c r="AM104" s="84">
        <f t="shared" si="194"/>
        <v>0</v>
      </c>
      <c r="AN104" s="84">
        <f t="shared" si="194"/>
        <v>0</v>
      </c>
      <c r="AO104" s="84">
        <f t="shared" si="194"/>
        <v>0</v>
      </c>
      <c r="AP104" s="84">
        <f t="shared" si="194"/>
        <v>0</v>
      </c>
      <c r="AQ104" s="84">
        <f t="shared" si="194"/>
        <v>0</v>
      </c>
      <c r="AR104" s="84">
        <f t="shared" si="194"/>
        <v>0</v>
      </c>
      <c r="AS104" s="84">
        <f t="shared" si="194"/>
        <v>0</v>
      </c>
      <c r="AT104" s="84">
        <f t="shared" si="194"/>
        <v>0</v>
      </c>
      <c r="AU104" s="84">
        <f t="shared" si="194"/>
        <v>0</v>
      </c>
      <c r="AV104" s="84">
        <f t="shared" si="194"/>
        <v>0</v>
      </c>
      <c r="AW104" s="84">
        <f t="shared" si="194"/>
        <v>0</v>
      </c>
      <c r="AX104" s="84">
        <f t="shared" si="194"/>
        <v>0</v>
      </c>
      <c r="AY104" s="84">
        <f t="shared" si="194"/>
        <v>0</v>
      </c>
      <c r="AZ104" s="84">
        <f t="shared" si="194"/>
        <v>0</v>
      </c>
      <c r="BA104" s="84">
        <f t="shared" si="194"/>
        <v>0</v>
      </c>
      <c r="BB104" s="84"/>
      <c r="BC104" s="85">
        <f t="shared" si="189"/>
        <v>23990210.305743411</v>
      </c>
    </row>
    <row r="105" spans="1:55" x14ac:dyDescent="0.2">
      <c r="A105" s="52"/>
      <c r="B105" s="7"/>
      <c r="C105" s="7">
        <f t="shared" si="192"/>
        <v>4</v>
      </c>
      <c r="D105" s="84">
        <f t="shared" ref="D105:AI105" si="195">D$6*AnnMiles*FuelC2*(EXP((D11+0.75*AnnMiles)*FuelC1)+EXP((D12+0.25*AnnMiles)*FuelC1))/2</f>
        <v>2372134.192709784</v>
      </c>
      <c r="E105" s="84">
        <f t="shared" si="195"/>
        <v>645177.50256459403</v>
      </c>
      <c r="F105" s="84">
        <f t="shared" si="195"/>
        <v>2629660.9815062224</v>
      </c>
      <c r="G105" s="84">
        <f t="shared" si="195"/>
        <v>723221.81322151737</v>
      </c>
      <c r="H105" s="84">
        <f t="shared" si="195"/>
        <v>4226334.9838532172</v>
      </c>
      <c r="I105" s="84">
        <f t="shared" si="195"/>
        <v>1121452.0882957927</v>
      </c>
      <c r="J105" s="84">
        <f t="shared" si="195"/>
        <v>1681334.5634772389</v>
      </c>
      <c r="K105" s="84">
        <f t="shared" si="195"/>
        <v>4741448.874667692</v>
      </c>
      <c r="L105" s="84">
        <f t="shared" si="195"/>
        <v>284931.82976100763</v>
      </c>
      <c r="M105" s="84">
        <f t="shared" si="195"/>
        <v>1056717.0949287703</v>
      </c>
      <c r="N105" s="84">
        <f t="shared" si="195"/>
        <v>159580.88219101372</v>
      </c>
      <c r="O105" s="84">
        <f t="shared" si="195"/>
        <v>1647043.9456535615</v>
      </c>
      <c r="P105" s="84">
        <f t="shared" si="195"/>
        <v>634492.00516586506</v>
      </c>
      <c r="Q105" s="84">
        <f t="shared" si="195"/>
        <v>1312766.3200630466</v>
      </c>
      <c r="R105" s="84">
        <f t="shared" si="195"/>
        <v>0</v>
      </c>
      <c r="S105" s="84">
        <f t="shared" si="195"/>
        <v>0</v>
      </c>
      <c r="T105" s="84">
        <f t="shared" si="195"/>
        <v>0</v>
      </c>
      <c r="U105" s="84">
        <f t="shared" si="195"/>
        <v>0</v>
      </c>
      <c r="V105" s="84">
        <f t="shared" si="195"/>
        <v>0</v>
      </c>
      <c r="W105" s="84">
        <f t="shared" si="195"/>
        <v>0</v>
      </c>
      <c r="X105" s="84">
        <f t="shared" si="195"/>
        <v>0</v>
      </c>
      <c r="Y105" s="84">
        <f t="shared" si="195"/>
        <v>0</v>
      </c>
      <c r="Z105" s="84">
        <f t="shared" si="195"/>
        <v>0</v>
      </c>
      <c r="AA105" s="84">
        <f t="shared" si="195"/>
        <v>0</v>
      </c>
      <c r="AB105" s="84">
        <f t="shared" si="195"/>
        <v>0</v>
      </c>
      <c r="AC105" s="84">
        <f t="shared" si="195"/>
        <v>0</v>
      </c>
      <c r="AD105" s="84">
        <f t="shared" si="195"/>
        <v>0</v>
      </c>
      <c r="AE105" s="84">
        <f t="shared" si="195"/>
        <v>0</v>
      </c>
      <c r="AF105" s="84">
        <f t="shared" si="195"/>
        <v>0</v>
      </c>
      <c r="AG105" s="84">
        <f t="shared" si="195"/>
        <v>0</v>
      </c>
      <c r="AH105" s="84">
        <f t="shared" si="195"/>
        <v>0</v>
      </c>
      <c r="AI105" s="84">
        <f t="shared" si="195"/>
        <v>0</v>
      </c>
      <c r="AJ105" s="84">
        <f t="shared" ref="AJ105:BA105" si="196">AJ$6*AnnMiles*FuelC2*(EXP((AJ11+0.75*AnnMiles)*FuelC1)+EXP((AJ12+0.25*AnnMiles)*FuelC1))/2</f>
        <v>0</v>
      </c>
      <c r="AK105" s="84">
        <f t="shared" si="196"/>
        <v>0</v>
      </c>
      <c r="AL105" s="84">
        <f t="shared" si="196"/>
        <v>0</v>
      </c>
      <c r="AM105" s="84">
        <f t="shared" si="196"/>
        <v>0</v>
      </c>
      <c r="AN105" s="84">
        <f t="shared" si="196"/>
        <v>0</v>
      </c>
      <c r="AO105" s="84">
        <f t="shared" si="196"/>
        <v>0</v>
      </c>
      <c r="AP105" s="84">
        <f t="shared" si="196"/>
        <v>0</v>
      </c>
      <c r="AQ105" s="84">
        <f t="shared" si="196"/>
        <v>0</v>
      </c>
      <c r="AR105" s="84">
        <f t="shared" si="196"/>
        <v>0</v>
      </c>
      <c r="AS105" s="84">
        <f t="shared" si="196"/>
        <v>0</v>
      </c>
      <c r="AT105" s="84">
        <f t="shared" si="196"/>
        <v>0</v>
      </c>
      <c r="AU105" s="84">
        <f t="shared" si="196"/>
        <v>0</v>
      </c>
      <c r="AV105" s="84">
        <f t="shared" si="196"/>
        <v>0</v>
      </c>
      <c r="AW105" s="84">
        <f t="shared" si="196"/>
        <v>0</v>
      </c>
      <c r="AX105" s="84">
        <f t="shared" si="196"/>
        <v>0</v>
      </c>
      <c r="AY105" s="84">
        <f t="shared" si="196"/>
        <v>0</v>
      </c>
      <c r="AZ105" s="84">
        <f t="shared" si="196"/>
        <v>0</v>
      </c>
      <c r="BA105" s="84">
        <f t="shared" si="196"/>
        <v>0</v>
      </c>
      <c r="BB105" s="84"/>
      <c r="BC105" s="85">
        <f t="shared" si="189"/>
        <v>23236297.078059323</v>
      </c>
    </row>
    <row r="106" spans="1:55" x14ac:dyDescent="0.2">
      <c r="A106" s="52"/>
      <c r="B106" s="7"/>
      <c r="C106" s="7">
        <f t="shared" si="192"/>
        <v>5</v>
      </c>
      <c r="D106" s="84">
        <f t="shared" ref="D106:AI106" si="197">D$6*AnnMiles*FuelC2*(EXP((D12+0.75*AnnMiles)*FuelC1)+EXP((D13+0.25*AnnMiles)*FuelC1))/2</f>
        <v>2425366.1675200779</v>
      </c>
      <c r="E106" s="84">
        <f t="shared" si="197"/>
        <v>659655.63481791911</v>
      </c>
      <c r="F106" s="84">
        <f t="shared" si="197"/>
        <v>2688671.996800954</v>
      </c>
      <c r="G106" s="84">
        <f t="shared" si="197"/>
        <v>739451.3020345784</v>
      </c>
      <c r="H106" s="84">
        <f t="shared" si="197"/>
        <v>3573641.8466623025</v>
      </c>
      <c r="I106" s="84">
        <f t="shared" si="197"/>
        <v>1146618.0799578913</v>
      </c>
      <c r="J106" s="84">
        <f t="shared" si="197"/>
        <v>1719064.6208263375</v>
      </c>
      <c r="K106" s="84">
        <f t="shared" si="197"/>
        <v>4847849.5529414136</v>
      </c>
      <c r="L106" s="84">
        <f t="shared" si="197"/>
        <v>291325.85419314256</v>
      </c>
      <c r="M106" s="84">
        <f t="shared" si="197"/>
        <v>1080430.3983125882</v>
      </c>
      <c r="N106" s="84">
        <f t="shared" si="197"/>
        <v>163161.96353417865</v>
      </c>
      <c r="O106" s="84">
        <f t="shared" si="197"/>
        <v>1684004.5029845624</v>
      </c>
      <c r="P106" s="84">
        <f t="shared" si="197"/>
        <v>648730.34907580202</v>
      </c>
      <c r="Q106" s="84">
        <f t="shared" si="197"/>
        <v>1342225.5066032358</v>
      </c>
      <c r="R106" s="84">
        <f t="shared" si="197"/>
        <v>0</v>
      </c>
      <c r="S106" s="84">
        <f t="shared" si="197"/>
        <v>0</v>
      </c>
      <c r="T106" s="84">
        <f t="shared" si="197"/>
        <v>0</v>
      </c>
      <c r="U106" s="84">
        <f t="shared" si="197"/>
        <v>0</v>
      </c>
      <c r="V106" s="84">
        <f t="shared" si="197"/>
        <v>0</v>
      </c>
      <c r="W106" s="84">
        <f t="shared" si="197"/>
        <v>0</v>
      </c>
      <c r="X106" s="84">
        <f t="shared" si="197"/>
        <v>0</v>
      </c>
      <c r="Y106" s="84">
        <f t="shared" si="197"/>
        <v>0</v>
      </c>
      <c r="Z106" s="84">
        <f t="shared" si="197"/>
        <v>0</v>
      </c>
      <c r="AA106" s="84">
        <f t="shared" si="197"/>
        <v>0</v>
      </c>
      <c r="AB106" s="84">
        <f t="shared" si="197"/>
        <v>0</v>
      </c>
      <c r="AC106" s="84">
        <f t="shared" si="197"/>
        <v>0</v>
      </c>
      <c r="AD106" s="84">
        <f t="shared" si="197"/>
        <v>0</v>
      </c>
      <c r="AE106" s="84">
        <f t="shared" si="197"/>
        <v>0</v>
      </c>
      <c r="AF106" s="84">
        <f t="shared" si="197"/>
        <v>0</v>
      </c>
      <c r="AG106" s="84">
        <f t="shared" si="197"/>
        <v>0</v>
      </c>
      <c r="AH106" s="84">
        <f t="shared" si="197"/>
        <v>0</v>
      </c>
      <c r="AI106" s="84">
        <f t="shared" si="197"/>
        <v>0</v>
      </c>
      <c r="AJ106" s="84">
        <f t="shared" ref="AJ106:BA106" si="198">AJ$6*AnnMiles*FuelC2*(EXP((AJ12+0.75*AnnMiles)*FuelC1)+EXP((AJ13+0.25*AnnMiles)*FuelC1))/2</f>
        <v>0</v>
      </c>
      <c r="AK106" s="84">
        <f t="shared" si="198"/>
        <v>0</v>
      </c>
      <c r="AL106" s="84">
        <f t="shared" si="198"/>
        <v>0</v>
      </c>
      <c r="AM106" s="84">
        <f t="shared" si="198"/>
        <v>0</v>
      </c>
      <c r="AN106" s="84">
        <f t="shared" si="198"/>
        <v>0</v>
      </c>
      <c r="AO106" s="84">
        <f t="shared" si="198"/>
        <v>0</v>
      </c>
      <c r="AP106" s="84">
        <f t="shared" si="198"/>
        <v>0</v>
      </c>
      <c r="AQ106" s="84">
        <f t="shared" si="198"/>
        <v>0</v>
      </c>
      <c r="AR106" s="84">
        <f t="shared" si="198"/>
        <v>0</v>
      </c>
      <c r="AS106" s="84">
        <f t="shared" si="198"/>
        <v>0</v>
      </c>
      <c r="AT106" s="84">
        <f t="shared" si="198"/>
        <v>0</v>
      </c>
      <c r="AU106" s="84">
        <f t="shared" si="198"/>
        <v>0</v>
      </c>
      <c r="AV106" s="84">
        <f t="shared" si="198"/>
        <v>0</v>
      </c>
      <c r="AW106" s="84">
        <f t="shared" si="198"/>
        <v>0</v>
      </c>
      <c r="AX106" s="84">
        <f t="shared" si="198"/>
        <v>0</v>
      </c>
      <c r="AY106" s="84">
        <f t="shared" si="198"/>
        <v>0</v>
      </c>
      <c r="AZ106" s="84">
        <f t="shared" si="198"/>
        <v>0</v>
      </c>
      <c r="BA106" s="84">
        <f t="shared" si="198"/>
        <v>0</v>
      </c>
      <c r="BB106" s="84"/>
      <c r="BC106" s="85">
        <f t="shared" si="189"/>
        <v>23010197.776264984</v>
      </c>
    </row>
    <row r="107" spans="1:55" x14ac:dyDescent="0.2">
      <c r="A107" s="52"/>
      <c r="B107" s="7"/>
      <c r="C107" s="7">
        <f t="shared" si="192"/>
        <v>6</v>
      </c>
      <c r="D107" s="84">
        <f t="shared" ref="D107:AI107" si="199">D$6*AnnMiles*FuelC2*(EXP((D13+0.75*AnnMiles)*FuelC1)+EXP((D14+0.25*AnnMiles)*FuelC1))/2</f>
        <v>2479792.6966481307</v>
      </c>
      <c r="E107" s="84">
        <f t="shared" si="199"/>
        <v>674458.66419290705</v>
      </c>
      <c r="F107" s="84">
        <f t="shared" si="199"/>
        <v>2749007.2512088651</v>
      </c>
      <c r="G107" s="84">
        <f t="shared" si="199"/>
        <v>756044.98935813515</v>
      </c>
      <c r="H107" s="84">
        <f t="shared" si="199"/>
        <v>3653836.3033448867</v>
      </c>
      <c r="I107" s="84">
        <f t="shared" si="199"/>
        <v>1172348.8100898243</v>
      </c>
      <c r="J107" s="84">
        <f t="shared" si="199"/>
        <v>1757641.3610775121</v>
      </c>
      <c r="K107" s="84">
        <f t="shared" si="199"/>
        <v>4956637.9200073937</v>
      </c>
      <c r="L107" s="84">
        <f t="shared" si="199"/>
        <v>297863.36399324436</v>
      </c>
      <c r="M107" s="84">
        <f t="shared" si="199"/>
        <v>1104675.8410552489</v>
      </c>
      <c r="N107" s="84">
        <f t="shared" si="199"/>
        <v>166823.40628035305</v>
      </c>
      <c r="O107" s="84">
        <f t="shared" si="199"/>
        <v>1721794.4752208691</v>
      </c>
      <c r="P107" s="84">
        <f t="shared" si="199"/>
        <v>663288.20912722999</v>
      </c>
      <c r="Q107" s="84">
        <f t="shared" si="199"/>
        <v>1372345.7732293063</v>
      </c>
      <c r="R107" s="84">
        <f t="shared" si="199"/>
        <v>0</v>
      </c>
      <c r="S107" s="84">
        <f t="shared" si="199"/>
        <v>0</v>
      </c>
      <c r="T107" s="84">
        <f t="shared" si="199"/>
        <v>0</v>
      </c>
      <c r="U107" s="84">
        <f t="shared" si="199"/>
        <v>0</v>
      </c>
      <c r="V107" s="84">
        <f t="shared" si="199"/>
        <v>0</v>
      </c>
      <c r="W107" s="84">
        <f t="shared" si="199"/>
        <v>0</v>
      </c>
      <c r="X107" s="84">
        <f t="shared" si="199"/>
        <v>0</v>
      </c>
      <c r="Y107" s="84">
        <f t="shared" si="199"/>
        <v>0</v>
      </c>
      <c r="Z107" s="84">
        <f t="shared" si="199"/>
        <v>0</v>
      </c>
      <c r="AA107" s="84">
        <f t="shared" si="199"/>
        <v>0</v>
      </c>
      <c r="AB107" s="84">
        <f t="shared" si="199"/>
        <v>0</v>
      </c>
      <c r="AC107" s="84">
        <f t="shared" si="199"/>
        <v>0</v>
      </c>
      <c r="AD107" s="84">
        <f t="shared" si="199"/>
        <v>0</v>
      </c>
      <c r="AE107" s="84">
        <f t="shared" si="199"/>
        <v>0</v>
      </c>
      <c r="AF107" s="84">
        <f t="shared" si="199"/>
        <v>0</v>
      </c>
      <c r="AG107" s="84">
        <f t="shared" si="199"/>
        <v>0</v>
      </c>
      <c r="AH107" s="84">
        <f t="shared" si="199"/>
        <v>0</v>
      </c>
      <c r="AI107" s="84">
        <f t="shared" si="199"/>
        <v>0</v>
      </c>
      <c r="AJ107" s="84">
        <f t="shared" ref="AJ107:BA107" si="200">AJ$6*AnnMiles*FuelC2*(EXP((AJ13+0.75*AnnMiles)*FuelC1)+EXP((AJ14+0.25*AnnMiles)*FuelC1))/2</f>
        <v>0</v>
      </c>
      <c r="AK107" s="84">
        <f t="shared" si="200"/>
        <v>0</v>
      </c>
      <c r="AL107" s="84">
        <f t="shared" si="200"/>
        <v>0</v>
      </c>
      <c r="AM107" s="84">
        <f t="shared" si="200"/>
        <v>0</v>
      </c>
      <c r="AN107" s="84">
        <f t="shared" si="200"/>
        <v>0</v>
      </c>
      <c r="AO107" s="84">
        <f t="shared" si="200"/>
        <v>0</v>
      </c>
      <c r="AP107" s="84">
        <f t="shared" si="200"/>
        <v>0</v>
      </c>
      <c r="AQ107" s="84">
        <f t="shared" si="200"/>
        <v>0</v>
      </c>
      <c r="AR107" s="84">
        <f t="shared" si="200"/>
        <v>0</v>
      </c>
      <c r="AS107" s="84">
        <f t="shared" si="200"/>
        <v>0</v>
      </c>
      <c r="AT107" s="84">
        <f t="shared" si="200"/>
        <v>0</v>
      </c>
      <c r="AU107" s="84">
        <f t="shared" si="200"/>
        <v>0</v>
      </c>
      <c r="AV107" s="84">
        <f t="shared" si="200"/>
        <v>0</v>
      </c>
      <c r="AW107" s="84">
        <f t="shared" si="200"/>
        <v>0</v>
      </c>
      <c r="AX107" s="84">
        <f t="shared" si="200"/>
        <v>0</v>
      </c>
      <c r="AY107" s="84">
        <f t="shared" si="200"/>
        <v>0</v>
      </c>
      <c r="AZ107" s="84">
        <f t="shared" si="200"/>
        <v>0</v>
      </c>
      <c r="BA107" s="84">
        <f t="shared" si="200"/>
        <v>0</v>
      </c>
      <c r="BB107" s="84"/>
      <c r="BC107" s="85">
        <f t="shared" si="189"/>
        <v>23526559.064833906</v>
      </c>
    </row>
    <row r="108" spans="1:55" x14ac:dyDescent="0.2">
      <c r="A108" s="52"/>
      <c r="B108" s="7"/>
      <c r="C108" s="7">
        <f t="shared" si="192"/>
        <v>7</v>
      </c>
      <c r="D108" s="84">
        <f t="shared" ref="D108:AI108" si="201">D$6*AnnMiles*FuelC2*(EXP((D14+0.75*AnnMiles)*FuelC1)+EXP((D15+0.25*AnnMiles)*FuelC1))/2</f>
        <v>2535440.5865391875</v>
      </c>
      <c r="E108" s="84">
        <f t="shared" si="201"/>
        <v>689593.88155676471</v>
      </c>
      <c r="F108" s="84">
        <f t="shared" si="201"/>
        <v>2810696.4613721836</v>
      </c>
      <c r="G108" s="84">
        <f t="shared" si="201"/>
        <v>660666.13074292289</v>
      </c>
      <c r="H108" s="84">
        <f t="shared" si="201"/>
        <v>3735830.3670274322</v>
      </c>
      <c r="I108" s="84">
        <f t="shared" si="201"/>
        <v>1198656.9517284262</v>
      </c>
      <c r="J108" s="84">
        <f t="shared" si="201"/>
        <v>1797083.7842532129</v>
      </c>
      <c r="K108" s="84">
        <f t="shared" si="201"/>
        <v>4343488.1147796083</v>
      </c>
      <c r="L108" s="84">
        <f t="shared" si="201"/>
        <v>304547.57905060804</v>
      </c>
      <c r="M108" s="84">
        <f t="shared" si="201"/>
        <v>1129465.3646518963</v>
      </c>
      <c r="N108" s="84">
        <f t="shared" si="201"/>
        <v>170567.01378290285</v>
      </c>
      <c r="O108" s="84">
        <f t="shared" si="201"/>
        <v>1760432.4748817398</v>
      </c>
      <c r="P108" s="84">
        <f t="shared" si="201"/>
        <v>678172.75543524977</v>
      </c>
      <c r="Q108" s="84">
        <f t="shared" si="201"/>
        <v>1403141.9549360862</v>
      </c>
      <c r="R108" s="84">
        <f t="shared" si="201"/>
        <v>0</v>
      </c>
      <c r="S108" s="84">
        <f t="shared" si="201"/>
        <v>0</v>
      </c>
      <c r="T108" s="84">
        <f t="shared" si="201"/>
        <v>0</v>
      </c>
      <c r="U108" s="84">
        <f t="shared" si="201"/>
        <v>0</v>
      </c>
      <c r="V108" s="84">
        <f t="shared" si="201"/>
        <v>0</v>
      </c>
      <c r="W108" s="84">
        <f t="shared" si="201"/>
        <v>0</v>
      </c>
      <c r="X108" s="84">
        <f t="shared" si="201"/>
        <v>0</v>
      </c>
      <c r="Y108" s="84">
        <f t="shared" si="201"/>
        <v>0</v>
      </c>
      <c r="Z108" s="84">
        <f t="shared" si="201"/>
        <v>0</v>
      </c>
      <c r="AA108" s="84">
        <f t="shared" si="201"/>
        <v>0</v>
      </c>
      <c r="AB108" s="84">
        <f t="shared" si="201"/>
        <v>0</v>
      </c>
      <c r="AC108" s="84">
        <f t="shared" si="201"/>
        <v>0</v>
      </c>
      <c r="AD108" s="84">
        <f t="shared" si="201"/>
        <v>0</v>
      </c>
      <c r="AE108" s="84">
        <f t="shared" si="201"/>
        <v>0</v>
      </c>
      <c r="AF108" s="84">
        <f t="shared" si="201"/>
        <v>0</v>
      </c>
      <c r="AG108" s="84">
        <f t="shared" si="201"/>
        <v>0</v>
      </c>
      <c r="AH108" s="84">
        <f t="shared" si="201"/>
        <v>0</v>
      </c>
      <c r="AI108" s="84">
        <f t="shared" si="201"/>
        <v>0</v>
      </c>
      <c r="AJ108" s="84">
        <f t="shared" ref="AJ108:BA108" si="202">AJ$6*AnnMiles*FuelC2*(EXP((AJ14+0.75*AnnMiles)*FuelC1)+EXP((AJ15+0.25*AnnMiles)*FuelC1))/2</f>
        <v>0</v>
      </c>
      <c r="AK108" s="84">
        <f t="shared" si="202"/>
        <v>0</v>
      </c>
      <c r="AL108" s="84">
        <f t="shared" si="202"/>
        <v>0</v>
      </c>
      <c r="AM108" s="84">
        <f t="shared" si="202"/>
        <v>0</v>
      </c>
      <c r="AN108" s="84">
        <f t="shared" si="202"/>
        <v>0</v>
      </c>
      <c r="AO108" s="84">
        <f t="shared" si="202"/>
        <v>0</v>
      </c>
      <c r="AP108" s="84">
        <f t="shared" si="202"/>
        <v>0</v>
      </c>
      <c r="AQ108" s="84">
        <f t="shared" si="202"/>
        <v>0</v>
      </c>
      <c r="AR108" s="84">
        <f t="shared" si="202"/>
        <v>0</v>
      </c>
      <c r="AS108" s="84">
        <f t="shared" si="202"/>
        <v>0</v>
      </c>
      <c r="AT108" s="84">
        <f t="shared" si="202"/>
        <v>0</v>
      </c>
      <c r="AU108" s="84">
        <f t="shared" si="202"/>
        <v>0</v>
      </c>
      <c r="AV108" s="84">
        <f t="shared" si="202"/>
        <v>0</v>
      </c>
      <c r="AW108" s="84">
        <f t="shared" si="202"/>
        <v>0</v>
      </c>
      <c r="AX108" s="84">
        <f t="shared" si="202"/>
        <v>0</v>
      </c>
      <c r="AY108" s="84">
        <f t="shared" si="202"/>
        <v>0</v>
      </c>
      <c r="AZ108" s="84">
        <f t="shared" si="202"/>
        <v>0</v>
      </c>
      <c r="BA108" s="84">
        <f t="shared" si="202"/>
        <v>0</v>
      </c>
      <c r="BB108" s="84"/>
      <c r="BC108" s="85">
        <f t="shared" si="189"/>
        <v>23217783.42073822</v>
      </c>
    </row>
    <row r="109" spans="1:55" x14ac:dyDescent="0.2">
      <c r="A109" s="52"/>
      <c r="B109" s="7"/>
      <c r="C109" s="7">
        <f t="shared" si="192"/>
        <v>8</v>
      </c>
      <c r="D109" s="84">
        <f t="shared" ref="D109:AI109" si="203">D$6*AnnMiles*FuelC2*(EXP((D15+0.75*AnnMiles)*FuelC1)+EXP((D16+0.25*AnnMiles)*FuelC1))/2</f>
        <v>2592337.24518963</v>
      </c>
      <c r="E109" s="84">
        <f t="shared" si="203"/>
        <v>705068.74138770415</v>
      </c>
      <c r="F109" s="84">
        <f t="shared" si="203"/>
        <v>2873770.0107906633</v>
      </c>
      <c r="G109" s="84">
        <f t="shared" si="203"/>
        <v>561893.37211671425</v>
      </c>
      <c r="H109" s="84">
        <f t="shared" si="203"/>
        <v>3819664.4218647629</v>
      </c>
      <c r="I109" s="84">
        <f t="shared" si="203"/>
        <v>1225555.4623003358</v>
      </c>
      <c r="J109" s="84">
        <f t="shared" si="203"/>
        <v>1837411.3167466747</v>
      </c>
      <c r="K109" s="84">
        <f t="shared" si="203"/>
        <v>3708496.2559703141</v>
      </c>
      <c r="L109" s="84">
        <f t="shared" si="203"/>
        <v>265349.09835858131</v>
      </c>
      <c r="M109" s="84">
        <f t="shared" si="203"/>
        <v>1154811.1785712882</v>
      </c>
      <c r="N109" s="84">
        <f t="shared" si="203"/>
        <v>174394.62986341919</v>
      </c>
      <c r="O109" s="84">
        <f t="shared" si="203"/>
        <v>1799937.5321614372</v>
      </c>
      <c r="P109" s="84">
        <f t="shared" si="203"/>
        <v>693391.31901622401</v>
      </c>
      <c r="Q109" s="84">
        <f t="shared" si="203"/>
        <v>1434629.2196237138</v>
      </c>
      <c r="R109" s="84">
        <f t="shared" si="203"/>
        <v>0</v>
      </c>
      <c r="S109" s="84">
        <f t="shared" si="203"/>
        <v>0</v>
      </c>
      <c r="T109" s="84">
        <f t="shared" si="203"/>
        <v>0</v>
      </c>
      <c r="U109" s="84">
        <f t="shared" si="203"/>
        <v>0</v>
      </c>
      <c r="V109" s="84">
        <f t="shared" si="203"/>
        <v>0</v>
      </c>
      <c r="W109" s="84">
        <f t="shared" si="203"/>
        <v>0</v>
      </c>
      <c r="X109" s="84">
        <f t="shared" si="203"/>
        <v>0</v>
      </c>
      <c r="Y109" s="84">
        <f t="shared" si="203"/>
        <v>0</v>
      </c>
      <c r="Z109" s="84">
        <f t="shared" si="203"/>
        <v>0</v>
      </c>
      <c r="AA109" s="84">
        <f t="shared" si="203"/>
        <v>0</v>
      </c>
      <c r="AB109" s="84">
        <f t="shared" si="203"/>
        <v>0</v>
      </c>
      <c r="AC109" s="84">
        <f t="shared" si="203"/>
        <v>0</v>
      </c>
      <c r="AD109" s="84">
        <f t="shared" si="203"/>
        <v>0</v>
      </c>
      <c r="AE109" s="84">
        <f t="shared" si="203"/>
        <v>0</v>
      </c>
      <c r="AF109" s="84">
        <f t="shared" si="203"/>
        <v>0</v>
      </c>
      <c r="AG109" s="84">
        <f t="shared" si="203"/>
        <v>0</v>
      </c>
      <c r="AH109" s="84">
        <f t="shared" si="203"/>
        <v>0</v>
      </c>
      <c r="AI109" s="84">
        <f t="shared" si="203"/>
        <v>0</v>
      </c>
      <c r="AJ109" s="84">
        <f t="shared" ref="AJ109:BA109" si="204">AJ$6*AnnMiles*FuelC2*(EXP((AJ15+0.75*AnnMiles)*FuelC1)+EXP((AJ16+0.25*AnnMiles)*FuelC1))/2</f>
        <v>0</v>
      </c>
      <c r="AK109" s="84">
        <f t="shared" si="204"/>
        <v>0</v>
      </c>
      <c r="AL109" s="84">
        <f t="shared" si="204"/>
        <v>0</v>
      </c>
      <c r="AM109" s="84">
        <f t="shared" si="204"/>
        <v>0</v>
      </c>
      <c r="AN109" s="84">
        <f t="shared" si="204"/>
        <v>0</v>
      </c>
      <c r="AO109" s="84">
        <f t="shared" si="204"/>
        <v>0</v>
      </c>
      <c r="AP109" s="84">
        <f t="shared" si="204"/>
        <v>0</v>
      </c>
      <c r="AQ109" s="84">
        <f t="shared" si="204"/>
        <v>0</v>
      </c>
      <c r="AR109" s="84">
        <f t="shared" si="204"/>
        <v>0</v>
      </c>
      <c r="AS109" s="84">
        <f t="shared" si="204"/>
        <v>0</v>
      </c>
      <c r="AT109" s="84">
        <f t="shared" si="204"/>
        <v>0</v>
      </c>
      <c r="AU109" s="84">
        <f t="shared" si="204"/>
        <v>0</v>
      </c>
      <c r="AV109" s="84">
        <f t="shared" si="204"/>
        <v>0</v>
      </c>
      <c r="AW109" s="84">
        <f t="shared" si="204"/>
        <v>0</v>
      </c>
      <c r="AX109" s="84">
        <f t="shared" si="204"/>
        <v>0</v>
      </c>
      <c r="AY109" s="84">
        <f t="shared" si="204"/>
        <v>0</v>
      </c>
      <c r="AZ109" s="84">
        <f t="shared" si="204"/>
        <v>0</v>
      </c>
      <c r="BA109" s="84">
        <f t="shared" si="204"/>
        <v>0</v>
      </c>
      <c r="BB109" s="84"/>
      <c r="BC109" s="85">
        <f t="shared" si="189"/>
        <v>22846709.803961463</v>
      </c>
    </row>
    <row r="110" spans="1:55" x14ac:dyDescent="0.2">
      <c r="A110" s="52"/>
      <c r="B110" s="7"/>
      <c r="C110" s="7">
        <f t="shared" si="192"/>
        <v>9</v>
      </c>
      <c r="D110" s="84">
        <f t="shared" ref="D110:AI110" si="205">D$6*AnnMiles*FuelC2*(EXP((D16+0.75*AnnMiles)*FuelC1)+EXP((D17+0.25*AnnMiles)*FuelC1))/2</f>
        <v>2650510.6956461086</v>
      </c>
      <c r="E110" s="84">
        <f t="shared" si="205"/>
        <v>720890.86544646218</v>
      </c>
      <c r="F110" s="84">
        <f t="shared" si="205"/>
        <v>2938258.9647862371</v>
      </c>
      <c r="G110" s="84">
        <f t="shared" si="205"/>
        <v>574502.56341900735</v>
      </c>
      <c r="H110" s="84">
        <f t="shared" si="205"/>
        <v>3905379.758253979</v>
      </c>
      <c r="I110" s="84">
        <f t="shared" si="205"/>
        <v>1065140.7158034409</v>
      </c>
      <c r="J110" s="84">
        <f t="shared" si="205"/>
        <v>1597242.4063470629</v>
      </c>
      <c r="K110" s="84">
        <f t="shared" si="205"/>
        <v>3791716.9185654484</v>
      </c>
      <c r="L110" s="84">
        <f t="shared" si="205"/>
        <v>224757.34884668569</v>
      </c>
      <c r="M110" s="84">
        <f t="shared" si="205"/>
        <v>1180725.7662692675</v>
      </c>
      <c r="N110" s="84">
        <f t="shared" si="205"/>
        <v>178308.13971984739</v>
      </c>
      <c r="O110" s="84">
        <f t="shared" si="205"/>
        <v>1578191.3341737813</v>
      </c>
      <c r="P110" s="84">
        <f t="shared" si="205"/>
        <v>708951.39539848967</v>
      </c>
      <c r="Q110" s="84">
        <f t="shared" si="205"/>
        <v>1466823.0755682138</v>
      </c>
      <c r="R110" s="84">
        <f t="shared" si="205"/>
        <v>0</v>
      </c>
      <c r="S110" s="84">
        <f t="shared" si="205"/>
        <v>0</v>
      </c>
      <c r="T110" s="84">
        <f t="shared" si="205"/>
        <v>0</v>
      </c>
      <c r="U110" s="84">
        <f t="shared" si="205"/>
        <v>0</v>
      </c>
      <c r="V110" s="84">
        <f t="shared" si="205"/>
        <v>0</v>
      </c>
      <c r="W110" s="84">
        <f t="shared" si="205"/>
        <v>0</v>
      </c>
      <c r="X110" s="84">
        <f t="shared" si="205"/>
        <v>0</v>
      </c>
      <c r="Y110" s="84">
        <f t="shared" si="205"/>
        <v>0</v>
      </c>
      <c r="Z110" s="84">
        <f t="shared" si="205"/>
        <v>0</v>
      </c>
      <c r="AA110" s="84">
        <f t="shared" si="205"/>
        <v>0</v>
      </c>
      <c r="AB110" s="84">
        <f t="shared" si="205"/>
        <v>0</v>
      </c>
      <c r="AC110" s="84">
        <f t="shared" si="205"/>
        <v>0</v>
      </c>
      <c r="AD110" s="84">
        <f t="shared" si="205"/>
        <v>0</v>
      </c>
      <c r="AE110" s="84">
        <f t="shared" si="205"/>
        <v>0</v>
      </c>
      <c r="AF110" s="84">
        <f t="shared" si="205"/>
        <v>0</v>
      </c>
      <c r="AG110" s="84">
        <f t="shared" si="205"/>
        <v>0</v>
      </c>
      <c r="AH110" s="84">
        <f t="shared" si="205"/>
        <v>0</v>
      </c>
      <c r="AI110" s="84">
        <f t="shared" si="205"/>
        <v>0</v>
      </c>
      <c r="AJ110" s="84">
        <f t="shared" ref="AJ110:BA110" si="206">AJ$6*AnnMiles*FuelC2*(EXP((AJ16+0.75*AnnMiles)*FuelC1)+EXP((AJ17+0.25*AnnMiles)*FuelC1))/2</f>
        <v>0</v>
      </c>
      <c r="AK110" s="84">
        <f t="shared" si="206"/>
        <v>0</v>
      </c>
      <c r="AL110" s="84">
        <f t="shared" si="206"/>
        <v>0</v>
      </c>
      <c r="AM110" s="84">
        <f t="shared" si="206"/>
        <v>0</v>
      </c>
      <c r="AN110" s="84">
        <f t="shared" si="206"/>
        <v>0</v>
      </c>
      <c r="AO110" s="84">
        <f t="shared" si="206"/>
        <v>0</v>
      </c>
      <c r="AP110" s="84">
        <f t="shared" si="206"/>
        <v>0</v>
      </c>
      <c r="AQ110" s="84">
        <f t="shared" si="206"/>
        <v>0</v>
      </c>
      <c r="AR110" s="84">
        <f t="shared" si="206"/>
        <v>0</v>
      </c>
      <c r="AS110" s="84">
        <f t="shared" si="206"/>
        <v>0</v>
      </c>
      <c r="AT110" s="84">
        <f t="shared" si="206"/>
        <v>0</v>
      </c>
      <c r="AU110" s="84">
        <f t="shared" si="206"/>
        <v>0</v>
      </c>
      <c r="AV110" s="84">
        <f t="shared" si="206"/>
        <v>0</v>
      </c>
      <c r="AW110" s="84">
        <f t="shared" si="206"/>
        <v>0</v>
      </c>
      <c r="AX110" s="84">
        <f t="shared" si="206"/>
        <v>0</v>
      </c>
      <c r="AY110" s="84">
        <f t="shared" si="206"/>
        <v>0</v>
      </c>
      <c r="AZ110" s="84">
        <f t="shared" si="206"/>
        <v>0</v>
      </c>
      <c r="BA110" s="84">
        <f t="shared" si="206"/>
        <v>0</v>
      </c>
      <c r="BB110" s="84"/>
      <c r="BC110" s="85">
        <f t="shared" si="189"/>
        <v>22581399.948244032</v>
      </c>
    </row>
    <row r="111" spans="1:55" x14ac:dyDescent="0.2">
      <c r="A111" s="52"/>
      <c r="B111" s="7"/>
      <c r="C111" s="7">
        <f t="shared" si="192"/>
        <v>10</v>
      </c>
      <c r="D111" s="84">
        <f t="shared" ref="D111:AI111" si="207">D$6*AnnMiles*FuelC2*(EXP((D17+0.75*AnnMiles)*FuelC1)+EXP((D18+0.25*AnnMiles)*FuelC1))/2</f>
        <v>2709989.5898076035</v>
      </c>
      <c r="E111" s="84">
        <f t="shared" si="207"/>
        <v>737068.04653021041</v>
      </c>
      <c r="F111" s="84">
        <f t="shared" si="207"/>
        <v>3004195.0858034664</v>
      </c>
      <c r="G111" s="84">
        <f t="shared" si="207"/>
        <v>587394.71179676615</v>
      </c>
      <c r="H111" s="84">
        <f t="shared" si="207"/>
        <v>3993018.5931710405</v>
      </c>
      <c r="I111" s="84">
        <f t="shared" si="207"/>
        <v>899029.39538674278</v>
      </c>
      <c r="J111" s="84">
        <f t="shared" si="207"/>
        <v>1348544.0930801141</v>
      </c>
      <c r="K111" s="84">
        <f t="shared" si="207"/>
        <v>3876805.0978586567</v>
      </c>
      <c r="L111" s="84">
        <f t="shared" si="207"/>
        <v>229801.02536760294</v>
      </c>
      <c r="M111" s="84">
        <f t="shared" si="207"/>
        <v>1031297.8175496501</v>
      </c>
      <c r="N111" s="84">
        <f t="shared" si="207"/>
        <v>182309.47085499475</v>
      </c>
      <c r="O111" s="84">
        <f t="shared" si="207"/>
        <v>1348544.0930801141</v>
      </c>
      <c r="P111" s="84">
        <f t="shared" si="207"/>
        <v>724860.6483140951</v>
      </c>
      <c r="Q111" s="84">
        <f t="shared" si="207"/>
        <v>1499739.3790597161</v>
      </c>
      <c r="R111" s="84">
        <f t="shared" si="207"/>
        <v>0</v>
      </c>
      <c r="S111" s="84">
        <f t="shared" si="207"/>
        <v>0</v>
      </c>
      <c r="T111" s="84">
        <f t="shared" si="207"/>
        <v>0</v>
      </c>
      <c r="U111" s="84">
        <f t="shared" si="207"/>
        <v>0</v>
      </c>
      <c r="V111" s="84">
        <f t="shared" si="207"/>
        <v>0</v>
      </c>
      <c r="W111" s="84">
        <f t="shared" si="207"/>
        <v>0</v>
      </c>
      <c r="X111" s="84">
        <f t="shared" si="207"/>
        <v>0</v>
      </c>
      <c r="Y111" s="84">
        <f t="shared" si="207"/>
        <v>0</v>
      </c>
      <c r="Z111" s="84">
        <f t="shared" si="207"/>
        <v>0</v>
      </c>
      <c r="AA111" s="84">
        <f t="shared" si="207"/>
        <v>0</v>
      </c>
      <c r="AB111" s="84">
        <f t="shared" si="207"/>
        <v>0</v>
      </c>
      <c r="AC111" s="84">
        <f t="shared" si="207"/>
        <v>0</v>
      </c>
      <c r="AD111" s="84">
        <f t="shared" si="207"/>
        <v>0</v>
      </c>
      <c r="AE111" s="84">
        <f t="shared" si="207"/>
        <v>0</v>
      </c>
      <c r="AF111" s="84">
        <f t="shared" si="207"/>
        <v>0</v>
      </c>
      <c r="AG111" s="84">
        <f t="shared" si="207"/>
        <v>0</v>
      </c>
      <c r="AH111" s="84">
        <f t="shared" si="207"/>
        <v>0</v>
      </c>
      <c r="AI111" s="84">
        <f t="shared" si="207"/>
        <v>0</v>
      </c>
      <c r="AJ111" s="84">
        <f t="shared" ref="AJ111:BA111" si="208">AJ$6*AnnMiles*FuelC2*(EXP((AJ17+0.75*AnnMiles)*FuelC1)+EXP((AJ18+0.25*AnnMiles)*FuelC1))/2</f>
        <v>0</v>
      </c>
      <c r="AK111" s="84">
        <f t="shared" si="208"/>
        <v>0</v>
      </c>
      <c r="AL111" s="84">
        <f t="shared" si="208"/>
        <v>0</v>
      </c>
      <c r="AM111" s="84">
        <f t="shared" si="208"/>
        <v>0</v>
      </c>
      <c r="AN111" s="84">
        <f t="shared" si="208"/>
        <v>0</v>
      </c>
      <c r="AO111" s="84">
        <f t="shared" si="208"/>
        <v>0</v>
      </c>
      <c r="AP111" s="84">
        <f t="shared" si="208"/>
        <v>0</v>
      </c>
      <c r="AQ111" s="84">
        <f t="shared" si="208"/>
        <v>0</v>
      </c>
      <c r="AR111" s="84">
        <f t="shared" si="208"/>
        <v>0</v>
      </c>
      <c r="AS111" s="84">
        <f t="shared" si="208"/>
        <v>0</v>
      </c>
      <c r="AT111" s="84">
        <f t="shared" si="208"/>
        <v>0</v>
      </c>
      <c r="AU111" s="84">
        <f t="shared" si="208"/>
        <v>0</v>
      </c>
      <c r="AV111" s="84">
        <f t="shared" si="208"/>
        <v>0</v>
      </c>
      <c r="AW111" s="84">
        <f t="shared" si="208"/>
        <v>0</v>
      </c>
      <c r="AX111" s="84">
        <f t="shared" si="208"/>
        <v>0</v>
      </c>
      <c r="AY111" s="84">
        <f t="shared" si="208"/>
        <v>0</v>
      </c>
      <c r="AZ111" s="84">
        <f t="shared" si="208"/>
        <v>0</v>
      </c>
      <c r="BA111" s="84">
        <f t="shared" si="208"/>
        <v>0</v>
      </c>
      <c r="BB111" s="84"/>
      <c r="BC111" s="85">
        <f t="shared" si="189"/>
        <v>22172597.047660775</v>
      </c>
    </row>
    <row r="112" spans="1:55" x14ac:dyDescent="0.2">
      <c r="A112" s="52"/>
      <c r="B112" s="7"/>
      <c r="C112" s="7">
        <f t="shared" si="192"/>
        <v>11</v>
      </c>
      <c r="D112" s="84">
        <f t="shared" ref="D112:AI112" si="209">D$6*AnnMiles*FuelC2*(EXP((D18+0.75*AnnMiles)*FuelC1)+EXP((D19+0.25*AnnMiles)*FuelC1))/2</f>
        <v>2372413.1852712743</v>
      </c>
      <c r="E112" s="84">
        <f t="shared" si="209"/>
        <v>753608.25231070584</v>
      </c>
      <c r="F112" s="84">
        <f t="shared" si="209"/>
        <v>3071610.8490533601</v>
      </c>
      <c r="G112" s="84">
        <f t="shared" si="209"/>
        <v>600576.16695986839</v>
      </c>
      <c r="H112" s="84">
        <f t="shared" si="209"/>
        <v>4082624.0909636854</v>
      </c>
      <c r="I112" s="84">
        <f t="shared" si="209"/>
        <v>919204.10147041176</v>
      </c>
      <c r="J112" s="84">
        <f t="shared" si="209"/>
        <v>1378806.1522056176</v>
      </c>
      <c r="K112" s="84">
        <f t="shared" si="209"/>
        <v>3963802.7019351316</v>
      </c>
      <c r="L112" s="84">
        <f t="shared" si="209"/>
        <v>234957.88471870645</v>
      </c>
      <c r="M112" s="84">
        <f t="shared" si="209"/>
        <v>876553.66050207417</v>
      </c>
      <c r="N112" s="84">
        <f t="shared" si="209"/>
        <v>158996.40719313847</v>
      </c>
      <c r="O112" s="84">
        <f t="shared" si="209"/>
        <v>1378806.1522056176</v>
      </c>
      <c r="P112" s="84">
        <f t="shared" si="209"/>
        <v>741126.91347338236</v>
      </c>
      <c r="Q112" s="84">
        <f t="shared" si="209"/>
        <v>1533394.3422120814</v>
      </c>
      <c r="R112" s="84">
        <f t="shared" si="209"/>
        <v>0</v>
      </c>
      <c r="S112" s="84">
        <f t="shared" si="209"/>
        <v>0</v>
      </c>
      <c r="T112" s="84">
        <f t="shared" si="209"/>
        <v>0</v>
      </c>
      <c r="U112" s="84">
        <f t="shared" si="209"/>
        <v>0</v>
      </c>
      <c r="V112" s="84">
        <f t="shared" si="209"/>
        <v>0</v>
      </c>
      <c r="W112" s="84">
        <f t="shared" si="209"/>
        <v>0</v>
      </c>
      <c r="X112" s="84">
        <f t="shared" si="209"/>
        <v>0</v>
      </c>
      <c r="Y112" s="84">
        <f t="shared" si="209"/>
        <v>0</v>
      </c>
      <c r="Z112" s="84">
        <f t="shared" si="209"/>
        <v>0</v>
      </c>
      <c r="AA112" s="84">
        <f t="shared" si="209"/>
        <v>0</v>
      </c>
      <c r="AB112" s="84">
        <f t="shared" si="209"/>
        <v>0</v>
      </c>
      <c r="AC112" s="84">
        <f t="shared" si="209"/>
        <v>0</v>
      </c>
      <c r="AD112" s="84">
        <f t="shared" si="209"/>
        <v>0</v>
      </c>
      <c r="AE112" s="84">
        <f t="shared" si="209"/>
        <v>0</v>
      </c>
      <c r="AF112" s="84">
        <f t="shared" si="209"/>
        <v>0</v>
      </c>
      <c r="AG112" s="84">
        <f t="shared" si="209"/>
        <v>0</v>
      </c>
      <c r="AH112" s="84">
        <f t="shared" si="209"/>
        <v>0</v>
      </c>
      <c r="AI112" s="84">
        <f t="shared" si="209"/>
        <v>0</v>
      </c>
      <c r="AJ112" s="84">
        <f t="shared" ref="AJ112:BA112" si="210">AJ$6*AnnMiles*FuelC2*(EXP((AJ18+0.75*AnnMiles)*FuelC1)+EXP((AJ19+0.25*AnnMiles)*FuelC1))/2</f>
        <v>0</v>
      </c>
      <c r="AK112" s="84">
        <f t="shared" si="210"/>
        <v>0</v>
      </c>
      <c r="AL112" s="84">
        <f t="shared" si="210"/>
        <v>0</v>
      </c>
      <c r="AM112" s="84">
        <f t="shared" si="210"/>
        <v>0</v>
      </c>
      <c r="AN112" s="84">
        <f t="shared" si="210"/>
        <v>0</v>
      </c>
      <c r="AO112" s="84">
        <f t="shared" si="210"/>
        <v>0</v>
      </c>
      <c r="AP112" s="84">
        <f t="shared" si="210"/>
        <v>0</v>
      </c>
      <c r="AQ112" s="84">
        <f t="shared" si="210"/>
        <v>0</v>
      </c>
      <c r="AR112" s="84">
        <f t="shared" si="210"/>
        <v>0</v>
      </c>
      <c r="AS112" s="84">
        <f t="shared" si="210"/>
        <v>0</v>
      </c>
      <c r="AT112" s="84">
        <f t="shared" si="210"/>
        <v>0</v>
      </c>
      <c r="AU112" s="84">
        <f t="shared" si="210"/>
        <v>0</v>
      </c>
      <c r="AV112" s="84">
        <f t="shared" si="210"/>
        <v>0</v>
      </c>
      <c r="AW112" s="84">
        <f t="shared" si="210"/>
        <v>0</v>
      </c>
      <c r="AX112" s="84">
        <f t="shared" si="210"/>
        <v>0</v>
      </c>
      <c r="AY112" s="84">
        <f t="shared" si="210"/>
        <v>0</v>
      </c>
      <c r="AZ112" s="84">
        <f t="shared" si="210"/>
        <v>0</v>
      </c>
      <c r="BA112" s="84">
        <f t="shared" si="210"/>
        <v>0</v>
      </c>
      <c r="BB112" s="84"/>
      <c r="BC112" s="85">
        <f t="shared" si="189"/>
        <v>22066480.860475052</v>
      </c>
    </row>
    <row r="113" spans="1:55" x14ac:dyDescent="0.2">
      <c r="A113" s="52"/>
      <c r="B113" s="7"/>
      <c r="C113" s="7">
        <f t="shared" si="192"/>
        <v>12</v>
      </c>
      <c r="D113" s="84">
        <f t="shared" ref="D113:AI113" si="211">D$6*AnnMiles*FuelC2*(EXP((D19+0.75*AnnMiles)*FuelC1)+EXP((D20+0.25*AnnMiles)*FuelC1))/2</f>
        <v>2022816.1396201712</v>
      </c>
      <c r="E113" s="84">
        <f t="shared" si="211"/>
        <v>659427.33263721527</v>
      </c>
      <c r="F113" s="84">
        <f t="shared" si="211"/>
        <v>3140539.4585082289</v>
      </c>
      <c r="G113" s="84">
        <f t="shared" si="211"/>
        <v>614053.42110911617</v>
      </c>
      <c r="H113" s="84">
        <f t="shared" si="211"/>
        <v>4174240.384610977</v>
      </c>
      <c r="I113" s="84">
        <f t="shared" si="211"/>
        <v>939831.53887482581</v>
      </c>
      <c r="J113" s="84">
        <f t="shared" si="211"/>
        <v>1409747.3083122387</v>
      </c>
      <c r="K113" s="84">
        <f t="shared" si="211"/>
        <v>4052752.5793201672</v>
      </c>
      <c r="L113" s="84">
        <f t="shared" si="211"/>
        <v>240230.46678394737</v>
      </c>
      <c r="M113" s="84">
        <f t="shared" si="211"/>
        <v>896223.99893365148</v>
      </c>
      <c r="N113" s="84">
        <f t="shared" si="211"/>
        <v>134854.40930801141</v>
      </c>
      <c r="O113" s="84">
        <f t="shared" si="211"/>
        <v>1409747.3083122387</v>
      </c>
      <c r="P113" s="84">
        <f t="shared" si="211"/>
        <v>757758.20242427383</v>
      </c>
      <c r="Q113" s="84">
        <f t="shared" si="211"/>
        <v>1567804.5409477765</v>
      </c>
      <c r="R113" s="84">
        <f t="shared" si="211"/>
        <v>0</v>
      </c>
      <c r="S113" s="84">
        <f t="shared" si="211"/>
        <v>0</v>
      </c>
      <c r="T113" s="84">
        <f t="shared" si="211"/>
        <v>0</v>
      </c>
      <c r="U113" s="84">
        <f t="shared" si="211"/>
        <v>0</v>
      </c>
      <c r="V113" s="84">
        <f t="shared" si="211"/>
        <v>0</v>
      </c>
      <c r="W113" s="84">
        <f t="shared" si="211"/>
        <v>0</v>
      </c>
      <c r="X113" s="84">
        <f t="shared" si="211"/>
        <v>0</v>
      </c>
      <c r="Y113" s="84">
        <f t="shared" si="211"/>
        <v>0</v>
      </c>
      <c r="Z113" s="84">
        <f t="shared" si="211"/>
        <v>0</v>
      </c>
      <c r="AA113" s="84">
        <f t="shared" si="211"/>
        <v>0</v>
      </c>
      <c r="AB113" s="84">
        <f t="shared" si="211"/>
        <v>0</v>
      </c>
      <c r="AC113" s="84">
        <f t="shared" si="211"/>
        <v>0</v>
      </c>
      <c r="AD113" s="84">
        <f t="shared" si="211"/>
        <v>0</v>
      </c>
      <c r="AE113" s="84">
        <f t="shared" si="211"/>
        <v>0</v>
      </c>
      <c r="AF113" s="84">
        <f t="shared" si="211"/>
        <v>0</v>
      </c>
      <c r="AG113" s="84">
        <f t="shared" si="211"/>
        <v>0</v>
      </c>
      <c r="AH113" s="84">
        <f t="shared" si="211"/>
        <v>0</v>
      </c>
      <c r="AI113" s="84">
        <f t="shared" si="211"/>
        <v>0</v>
      </c>
      <c r="AJ113" s="84">
        <f t="shared" ref="AJ113:BA113" si="212">AJ$6*AnnMiles*FuelC2*(EXP((AJ19+0.75*AnnMiles)*FuelC1)+EXP((AJ20+0.25*AnnMiles)*FuelC1))/2</f>
        <v>0</v>
      </c>
      <c r="AK113" s="84">
        <f t="shared" si="212"/>
        <v>0</v>
      </c>
      <c r="AL113" s="84">
        <f t="shared" si="212"/>
        <v>0</v>
      </c>
      <c r="AM113" s="84">
        <f t="shared" si="212"/>
        <v>0</v>
      </c>
      <c r="AN113" s="84">
        <f t="shared" si="212"/>
        <v>0</v>
      </c>
      <c r="AO113" s="84">
        <f t="shared" si="212"/>
        <v>0</v>
      </c>
      <c r="AP113" s="84">
        <f t="shared" si="212"/>
        <v>0</v>
      </c>
      <c r="AQ113" s="84">
        <f t="shared" si="212"/>
        <v>0</v>
      </c>
      <c r="AR113" s="84">
        <f t="shared" si="212"/>
        <v>0</v>
      </c>
      <c r="AS113" s="84">
        <f t="shared" si="212"/>
        <v>0</v>
      </c>
      <c r="AT113" s="84">
        <f t="shared" si="212"/>
        <v>0</v>
      </c>
      <c r="AU113" s="84">
        <f t="shared" si="212"/>
        <v>0</v>
      </c>
      <c r="AV113" s="84">
        <f t="shared" si="212"/>
        <v>0</v>
      </c>
      <c r="AW113" s="84">
        <f t="shared" si="212"/>
        <v>0</v>
      </c>
      <c r="AX113" s="84">
        <f t="shared" si="212"/>
        <v>0</v>
      </c>
      <c r="AY113" s="84">
        <f t="shared" si="212"/>
        <v>0</v>
      </c>
      <c r="AZ113" s="84">
        <f t="shared" si="212"/>
        <v>0</v>
      </c>
      <c r="BA113" s="84">
        <f t="shared" si="212"/>
        <v>0</v>
      </c>
      <c r="BB113" s="84"/>
      <c r="BC113" s="85">
        <f t="shared" si="189"/>
        <v>22020027.089702837</v>
      </c>
    </row>
    <row r="114" spans="1:55" x14ac:dyDescent="0.2">
      <c r="A114" s="52"/>
      <c r="B114" s="7"/>
      <c r="C114" s="7">
        <f t="shared" si="192"/>
        <v>13</v>
      </c>
      <c r="D114" s="84">
        <f t="shared" ref="D114:AI114" si="213">D$6*AnnMiles*FuelC2*(EXP((D20+0.75*AnnMiles)*FuelC1)+EXP((D21+0.25*AnnMiles)*FuelC1))/2</f>
        <v>2068209.2283084264</v>
      </c>
      <c r="E114" s="84">
        <f t="shared" si="213"/>
        <v>561893.37211671425</v>
      </c>
      <c r="F114" s="84">
        <f t="shared" si="213"/>
        <v>3211014.8632554924</v>
      </c>
      <c r="G114" s="84">
        <f t="shared" si="213"/>
        <v>627833.11213381146</v>
      </c>
      <c r="H114" s="84">
        <f t="shared" si="213"/>
        <v>4267912.5974599011</v>
      </c>
      <c r="I114" s="84">
        <f t="shared" si="213"/>
        <v>960921.86713578948</v>
      </c>
      <c r="J114" s="84">
        <f t="shared" si="213"/>
        <v>1441382.8007036841</v>
      </c>
      <c r="K114" s="84">
        <f t="shared" si="213"/>
        <v>4143698.5400831555</v>
      </c>
      <c r="L114" s="84">
        <f t="shared" si="213"/>
        <v>245621.3684436465</v>
      </c>
      <c r="M114" s="84">
        <f t="shared" si="213"/>
        <v>916335.75040295511</v>
      </c>
      <c r="N114" s="84">
        <f t="shared" si="213"/>
        <v>137880.61522056177</v>
      </c>
      <c r="O114" s="84">
        <f t="shared" si="213"/>
        <v>1441382.8007036841</v>
      </c>
      <c r="P114" s="84">
        <f t="shared" si="213"/>
        <v>774762.70649816201</v>
      </c>
      <c r="Q114" s="84">
        <f t="shared" si="213"/>
        <v>1602986.9231619376</v>
      </c>
      <c r="R114" s="84">
        <f t="shared" si="213"/>
        <v>0</v>
      </c>
      <c r="S114" s="84">
        <f t="shared" si="213"/>
        <v>0</v>
      </c>
      <c r="T114" s="84">
        <f t="shared" si="213"/>
        <v>0</v>
      </c>
      <c r="U114" s="84">
        <f t="shared" si="213"/>
        <v>0</v>
      </c>
      <c r="V114" s="84">
        <f t="shared" si="213"/>
        <v>0</v>
      </c>
      <c r="W114" s="84">
        <f t="shared" si="213"/>
        <v>0</v>
      </c>
      <c r="X114" s="84">
        <f t="shared" si="213"/>
        <v>0</v>
      </c>
      <c r="Y114" s="84">
        <f t="shared" si="213"/>
        <v>0</v>
      </c>
      <c r="Z114" s="84">
        <f t="shared" si="213"/>
        <v>0</v>
      </c>
      <c r="AA114" s="84">
        <f t="shared" si="213"/>
        <v>0</v>
      </c>
      <c r="AB114" s="84">
        <f t="shared" si="213"/>
        <v>0</v>
      </c>
      <c r="AC114" s="84">
        <f t="shared" si="213"/>
        <v>0</v>
      </c>
      <c r="AD114" s="84">
        <f t="shared" si="213"/>
        <v>0</v>
      </c>
      <c r="AE114" s="84">
        <f t="shared" si="213"/>
        <v>0</v>
      </c>
      <c r="AF114" s="84">
        <f t="shared" si="213"/>
        <v>0</v>
      </c>
      <c r="AG114" s="84">
        <f t="shared" si="213"/>
        <v>0</v>
      </c>
      <c r="AH114" s="84">
        <f t="shared" si="213"/>
        <v>0</v>
      </c>
      <c r="AI114" s="84">
        <f t="shared" si="213"/>
        <v>0</v>
      </c>
      <c r="AJ114" s="84">
        <f t="shared" ref="AJ114:BA114" si="214">AJ$6*AnnMiles*FuelC2*(EXP((AJ20+0.75*AnnMiles)*FuelC1)+EXP((AJ21+0.25*AnnMiles)*FuelC1))/2</f>
        <v>0</v>
      </c>
      <c r="AK114" s="84">
        <f t="shared" si="214"/>
        <v>0</v>
      </c>
      <c r="AL114" s="84">
        <f t="shared" si="214"/>
        <v>0</v>
      </c>
      <c r="AM114" s="84">
        <f t="shared" si="214"/>
        <v>0</v>
      </c>
      <c r="AN114" s="84">
        <f t="shared" si="214"/>
        <v>0</v>
      </c>
      <c r="AO114" s="84">
        <f t="shared" si="214"/>
        <v>0</v>
      </c>
      <c r="AP114" s="84">
        <f t="shared" si="214"/>
        <v>0</v>
      </c>
      <c r="AQ114" s="84">
        <f t="shared" si="214"/>
        <v>0</v>
      </c>
      <c r="AR114" s="84">
        <f t="shared" si="214"/>
        <v>0</v>
      </c>
      <c r="AS114" s="84">
        <f t="shared" si="214"/>
        <v>0</v>
      </c>
      <c r="AT114" s="84">
        <f t="shared" si="214"/>
        <v>0</v>
      </c>
      <c r="AU114" s="84">
        <f t="shared" si="214"/>
        <v>0</v>
      </c>
      <c r="AV114" s="84">
        <f t="shared" si="214"/>
        <v>0</v>
      </c>
      <c r="AW114" s="84">
        <f t="shared" si="214"/>
        <v>0</v>
      </c>
      <c r="AX114" s="84">
        <f t="shared" si="214"/>
        <v>0</v>
      </c>
      <c r="AY114" s="84">
        <f t="shared" si="214"/>
        <v>0</v>
      </c>
      <c r="AZ114" s="84">
        <f t="shared" si="214"/>
        <v>0</v>
      </c>
      <c r="BA114" s="84">
        <f t="shared" si="214"/>
        <v>0</v>
      </c>
      <c r="BB114" s="84"/>
      <c r="BC114" s="85">
        <f t="shared" si="189"/>
        <v>22401836.545627922</v>
      </c>
    </row>
    <row r="115" spans="1:55" x14ac:dyDescent="0.2">
      <c r="A115" s="52"/>
      <c r="B115" s="7"/>
      <c r="C115" s="7">
        <f t="shared" si="192"/>
        <v>14</v>
      </c>
      <c r="D115" s="84">
        <f t="shared" ref="D115:AI115" si="215">D$6*AnnMiles*FuelC2*(EXP((D21+0.75*AnnMiles)*FuelC1)+EXP((D22+0.25*AnnMiles)*FuelC1))/2</f>
        <v>2114620.9624683582</v>
      </c>
      <c r="E115" s="84">
        <f t="shared" si="215"/>
        <v>574502.56341900735</v>
      </c>
      <c r="F115" s="84">
        <f t="shared" si="215"/>
        <v>3283071.7742184591</v>
      </c>
      <c r="G115" s="84">
        <f t="shared" si="215"/>
        <v>641922.02688108257</v>
      </c>
      <c r="H115" s="84">
        <f t="shared" si="215"/>
        <v>4363686.8654497722</v>
      </c>
      <c r="I115" s="84">
        <f t="shared" si="215"/>
        <v>982485.47377458599</v>
      </c>
      <c r="J115" s="84">
        <f t="shared" si="215"/>
        <v>1473728.2106618788</v>
      </c>
      <c r="K115" s="84">
        <f t="shared" si="215"/>
        <v>4236685.3774151457</v>
      </c>
      <c r="L115" s="84">
        <f t="shared" si="215"/>
        <v>251133.24485352458</v>
      </c>
      <c r="M115" s="84">
        <f t="shared" si="215"/>
        <v>936898.8204573947</v>
      </c>
      <c r="N115" s="84">
        <f t="shared" si="215"/>
        <v>140974.73083122386</v>
      </c>
      <c r="O115" s="84">
        <f t="shared" si="215"/>
        <v>1473728.2106618788</v>
      </c>
      <c r="P115" s="84">
        <f t="shared" si="215"/>
        <v>792148.8008443478</v>
      </c>
      <c r="Q115" s="84">
        <f t="shared" si="215"/>
        <v>1638958.8170696392</v>
      </c>
      <c r="R115" s="84">
        <f t="shared" si="215"/>
        <v>0</v>
      </c>
      <c r="S115" s="84">
        <f t="shared" si="215"/>
        <v>0</v>
      </c>
      <c r="T115" s="84">
        <f t="shared" si="215"/>
        <v>0</v>
      </c>
      <c r="U115" s="84">
        <f t="shared" si="215"/>
        <v>0</v>
      </c>
      <c r="V115" s="84">
        <f t="shared" si="215"/>
        <v>0</v>
      </c>
      <c r="W115" s="84">
        <f t="shared" si="215"/>
        <v>0</v>
      </c>
      <c r="X115" s="84">
        <f t="shared" si="215"/>
        <v>0</v>
      </c>
      <c r="Y115" s="84">
        <f t="shared" si="215"/>
        <v>0</v>
      </c>
      <c r="Z115" s="84">
        <f t="shared" si="215"/>
        <v>0</v>
      </c>
      <c r="AA115" s="84">
        <f t="shared" si="215"/>
        <v>0</v>
      </c>
      <c r="AB115" s="84">
        <f t="shared" si="215"/>
        <v>0</v>
      </c>
      <c r="AC115" s="84">
        <f t="shared" si="215"/>
        <v>0</v>
      </c>
      <c r="AD115" s="84">
        <f t="shared" si="215"/>
        <v>0</v>
      </c>
      <c r="AE115" s="84">
        <f t="shared" si="215"/>
        <v>0</v>
      </c>
      <c r="AF115" s="84">
        <f t="shared" si="215"/>
        <v>0</v>
      </c>
      <c r="AG115" s="84">
        <f t="shared" si="215"/>
        <v>0</v>
      </c>
      <c r="AH115" s="84">
        <f t="shared" si="215"/>
        <v>0</v>
      </c>
      <c r="AI115" s="84">
        <f t="shared" si="215"/>
        <v>0</v>
      </c>
      <c r="AJ115" s="84">
        <f t="shared" ref="AJ115:BA115" si="216">AJ$6*AnnMiles*FuelC2*(EXP((AJ21+0.75*AnnMiles)*FuelC1)+EXP((AJ22+0.25*AnnMiles)*FuelC1))/2</f>
        <v>0</v>
      </c>
      <c r="AK115" s="84">
        <f t="shared" si="216"/>
        <v>0</v>
      </c>
      <c r="AL115" s="84">
        <f t="shared" si="216"/>
        <v>0</v>
      </c>
      <c r="AM115" s="84">
        <f t="shared" si="216"/>
        <v>0</v>
      </c>
      <c r="AN115" s="84">
        <f t="shared" si="216"/>
        <v>0</v>
      </c>
      <c r="AO115" s="84">
        <f t="shared" si="216"/>
        <v>0</v>
      </c>
      <c r="AP115" s="84">
        <f t="shared" si="216"/>
        <v>0</v>
      </c>
      <c r="AQ115" s="84">
        <f t="shared" si="216"/>
        <v>0</v>
      </c>
      <c r="AR115" s="84">
        <f t="shared" si="216"/>
        <v>0</v>
      </c>
      <c r="AS115" s="84">
        <f t="shared" si="216"/>
        <v>0</v>
      </c>
      <c r="AT115" s="84">
        <f t="shared" si="216"/>
        <v>0</v>
      </c>
      <c r="AU115" s="84">
        <f t="shared" si="216"/>
        <v>0</v>
      </c>
      <c r="AV115" s="84">
        <f t="shared" si="216"/>
        <v>0</v>
      </c>
      <c r="AW115" s="84">
        <f t="shared" si="216"/>
        <v>0</v>
      </c>
      <c r="AX115" s="84">
        <f t="shared" si="216"/>
        <v>0</v>
      </c>
      <c r="AY115" s="84">
        <f t="shared" si="216"/>
        <v>0</v>
      </c>
      <c r="AZ115" s="84">
        <f t="shared" si="216"/>
        <v>0</v>
      </c>
      <c r="BA115" s="84">
        <f t="shared" si="216"/>
        <v>0</v>
      </c>
      <c r="BB115" s="84"/>
      <c r="BC115" s="85">
        <f t="shared" si="189"/>
        <v>22904545.8790063</v>
      </c>
    </row>
    <row r="116" spans="1:55" x14ac:dyDescent="0.2">
      <c r="A116" s="52"/>
      <c r="B116" s="7"/>
      <c r="C116" s="7">
        <f t="shared" si="192"/>
        <v>15</v>
      </c>
      <c r="D116" s="84">
        <f t="shared" ref="D116:AI116" si="217">D$6*AnnMiles*FuelC2*(EXP((D22+0.75*AnnMiles)*FuelC1)+EXP((D23+0.25*AnnMiles)*FuelC1))/2</f>
        <v>2162074.2010555263</v>
      </c>
      <c r="E116" s="84">
        <f t="shared" si="217"/>
        <v>587394.71179676615</v>
      </c>
      <c r="F116" s="84">
        <f t="shared" si="217"/>
        <v>3356745.6812523375</v>
      </c>
      <c r="G116" s="84">
        <f t="shared" si="217"/>
        <v>656327.10449858126</v>
      </c>
      <c r="H116" s="84">
        <f t="shared" si="217"/>
        <v>4461610.3598353425</v>
      </c>
      <c r="I116" s="84">
        <f t="shared" si="217"/>
        <v>1004532.9794140983</v>
      </c>
      <c r="J116" s="84">
        <f t="shared" si="217"/>
        <v>1506799.4691211474</v>
      </c>
      <c r="K116" s="84">
        <f t="shared" si="217"/>
        <v>4331758.8896906367</v>
      </c>
      <c r="L116" s="84">
        <f t="shared" si="217"/>
        <v>256768.81075243306</v>
      </c>
      <c r="M116" s="84">
        <f t="shared" si="217"/>
        <v>957923.3369302213</v>
      </c>
      <c r="N116" s="84">
        <f t="shared" si="217"/>
        <v>144138.2800703684</v>
      </c>
      <c r="O116" s="84">
        <f t="shared" si="217"/>
        <v>1506799.4691211474</v>
      </c>
      <c r="P116" s="84">
        <f t="shared" si="217"/>
        <v>690072.92898494028</v>
      </c>
      <c r="Q116" s="84">
        <f t="shared" si="217"/>
        <v>1430039.1417311167</v>
      </c>
      <c r="R116" s="84">
        <f t="shared" si="217"/>
        <v>0</v>
      </c>
      <c r="S116" s="84">
        <f t="shared" si="217"/>
        <v>0</v>
      </c>
      <c r="T116" s="84">
        <f t="shared" si="217"/>
        <v>0</v>
      </c>
      <c r="U116" s="84">
        <f t="shared" si="217"/>
        <v>0</v>
      </c>
      <c r="V116" s="84">
        <f t="shared" si="217"/>
        <v>0</v>
      </c>
      <c r="W116" s="84">
        <f t="shared" si="217"/>
        <v>0</v>
      </c>
      <c r="X116" s="84">
        <f t="shared" si="217"/>
        <v>0</v>
      </c>
      <c r="Y116" s="84">
        <f t="shared" si="217"/>
        <v>0</v>
      </c>
      <c r="Z116" s="84">
        <f t="shared" si="217"/>
        <v>0</v>
      </c>
      <c r="AA116" s="84">
        <f t="shared" si="217"/>
        <v>0</v>
      </c>
      <c r="AB116" s="84">
        <f t="shared" si="217"/>
        <v>0</v>
      </c>
      <c r="AC116" s="84">
        <f t="shared" si="217"/>
        <v>0</v>
      </c>
      <c r="AD116" s="84">
        <f t="shared" si="217"/>
        <v>0</v>
      </c>
      <c r="AE116" s="84">
        <f t="shared" si="217"/>
        <v>0</v>
      </c>
      <c r="AF116" s="84">
        <f t="shared" si="217"/>
        <v>0</v>
      </c>
      <c r="AG116" s="84">
        <f t="shared" si="217"/>
        <v>0</v>
      </c>
      <c r="AH116" s="84">
        <f t="shared" si="217"/>
        <v>0</v>
      </c>
      <c r="AI116" s="84">
        <f t="shared" si="217"/>
        <v>0</v>
      </c>
      <c r="AJ116" s="84">
        <f t="shared" ref="AJ116:BA116" si="218">AJ$6*AnnMiles*FuelC2*(EXP((AJ22+0.75*AnnMiles)*FuelC1)+EXP((AJ23+0.25*AnnMiles)*FuelC1))/2</f>
        <v>0</v>
      </c>
      <c r="AK116" s="84">
        <f t="shared" si="218"/>
        <v>0</v>
      </c>
      <c r="AL116" s="84">
        <f t="shared" si="218"/>
        <v>0</v>
      </c>
      <c r="AM116" s="84">
        <f t="shared" si="218"/>
        <v>0</v>
      </c>
      <c r="AN116" s="84">
        <f t="shared" si="218"/>
        <v>0</v>
      </c>
      <c r="AO116" s="84">
        <f t="shared" si="218"/>
        <v>0</v>
      </c>
      <c r="AP116" s="84">
        <f t="shared" si="218"/>
        <v>0</v>
      </c>
      <c r="AQ116" s="84">
        <f t="shared" si="218"/>
        <v>0</v>
      </c>
      <c r="AR116" s="84">
        <f t="shared" si="218"/>
        <v>0</v>
      </c>
      <c r="AS116" s="84">
        <f t="shared" si="218"/>
        <v>0</v>
      </c>
      <c r="AT116" s="84">
        <f t="shared" si="218"/>
        <v>0</v>
      </c>
      <c r="AU116" s="84">
        <f t="shared" si="218"/>
        <v>0</v>
      </c>
      <c r="AV116" s="84">
        <f t="shared" si="218"/>
        <v>0</v>
      </c>
      <c r="AW116" s="84">
        <f t="shared" si="218"/>
        <v>0</v>
      </c>
      <c r="AX116" s="84">
        <f t="shared" si="218"/>
        <v>0</v>
      </c>
      <c r="AY116" s="84">
        <f t="shared" si="218"/>
        <v>0</v>
      </c>
      <c r="AZ116" s="84">
        <f t="shared" si="218"/>
        <v>0</v>
      </c>
      <c r="BA116" s="84">
        <f t="shared" si="218"/>
        <v>0</v>
      </c>
      <c r="BB116" s="84"/>
      <c r="BC116" s="85">
        <f t="shared" si="189"/>
        <v>23052985.364254665</v>
      </c>
    </row>
    <row r="117" spans="1:55" x14ac:dyDescent="0.2">
      <c r="A117" s="52"/>
      <c r="B117" s="7"/>
      <c r="C117" s="7">
        <f t="shared" si="192"/>
        <v>16</v>
      </c>
      <c r="D117" s="84">
        <f t="shared" ref="D117:AI117" si="219">D$6*AnnMiles*FuelC2*(EXP((D23+0.75*AnnMiles)*FuelC1)+EXP((D24+0.25*AnnMiles)*FuelC1))/2</f>
        <v>2210592.3159928182</v>
      </c>
      <c r="E117" s="84">
        <f t="shared" si="219"/>
        <v>600576.16695986839</v>
      </c>
      <c r="F117" s="84">
        <f t="shared" si="219"/>
        <v>3432072.8706238912</v>
      </c>
      <c r="G117" s="84">
        <f t="shared" si="219"/>
        <v>671055.43985218578</v>
      </c>
      <c r="H117" s="84">
        <f t="shared" si="219"/>
        <v>4561731.3104198435</v>
      </c>
      <c r="I117" s="84">
        <f t="shared" si="219"/>
        <v>1027075.2430097322</v>
      </c>
      <c r="J117" s="84">
        <f t="shared" si="219"/>
        <v>1540612.8645145982</v>
      </c>
      <c r="K117" s="84">
        <f t="shared" si="219"/>
        <v>4428965.9030244267</v>
      </c>
      <c r="L117" s="84">
        <f t="shared" si="219"/>
        <v>262530.84179943253</v>
      </c>
      <c r="M117" s="84">
        <f t="shared" si="219"/>
        <v>979419.65492874582</v>
      </c>
      <c r="N117" s="84">
        <f t="shared" si="219"/>
        <v>147372.8210661879</v>
      </c>
      <c r="O117" s="84">
        <f t="shared" si="219"/>
        <v>1540612.8645145982</v>
      </c>
      <c r="P117" s="84">
        <f t="shared" si="219"/>
        <v>584369.10700138286</v>
      </c>
      <c r="Q117" s="84">
        <f t="shared" si="219"/>
        <v>1213689.6837721027</v>
      </c>
      <c r="R117" s="84">
        <f t="shared" si="219"/>
        <v>0</v>
      </c>
      <c r="S117" s="84">
        <f t="shared" si="219"/>
        <v>0</v>
      </c>
      <c r="T117" s="84">
        <f t="shared" si="219"/>
        <v>0</v>
      </c>
      <c r="U117" s="84">
        <f t="shared" si="219"/>
        <v>0</v>
      </c>
      <c r="V117" s="84">
        <f t="shared" si="219"/>
        <v>0</v>
      </c>
      <c r="W117" s="84">
        <f t="shared" si="219"/>
        <v>0</v>
      </c>
      <c r="X117" s="84">
        <f t="shared" si="219"/>
        <v>0</v>
      </c>
      <c r="Y117" s="84">
        <f t="shared" si="219"/>
        <v>0</v>
      </c>
      <c r="Z117" s="84">
        <f t="shared" si="219"/>
        <v>0</v>
      </c>
      <c r="AA117" s="84">
        <f t="shared" si="219"/>
        <v>0</v>
      </c>
      <c r="AB117" s="84">
        <f t="shared" si="219"/>
        <v>0</v>
      </c>
      <c r="AC117" s="84">
        <f t="shared" si="219"/>
        <v>0</v>
      </c>
      <c r="AD117" s="84">
        <f t="shared" si="219"/>
        <v>0</v>
      </c>
      <c r="AE117" s="84">
        <f t="shared" si="219"/>
        <v>0</v>
      </c>
      <c r="AF117" s="84">
        <f t="shared" si="219"/>
        <v>0</v>
      </c>
      <c r="AG117" s="84">
        <f t="shared" si="219"/>
        <v>0</v>
      </c>
      <c r="AH117" s="84">
        <f t="shared" si="219"/>
        <v>0</v>
      </c>
      <c r="AI117" s="84">
        <f t="shared" si="219"/>
        <v>0</v>
      </c>
      <c r="AJ117" s="84">
        <f t="shared" ref="AJ117:BA117" si="220">AJ$6*AnnMiles*FuelC2*(EXP((AJ23+0.75*AnnMiles)*FuelC1)+EXP((AJ24+0.25*AnnMiles)*FuelC1))/2</f>
        <v>0</v>
      </c>
      <c r="AK117" s="84">
        <f t="shared" si="220"/>
        <v>0</v>
      </c>
      <c r="AL117" s="84">
        <f t="shared" si="220"/>
        <v>0</v>
      </c>
      <c r="AM117" s="84">
        <f t="shared" si="220"/>
        <v>0</v>
      </c>
      <c r="AN117" s="84">
        <f t="shared" si="220"/>
        <v>0</v>
      </c>
      <c r="AO117" s="84">
        <f t="shared" si="220"/>
        <v>0</v>
      </c>
      <c r="AP117" s="84">
        <f t="shared" si="220"/>
        <v>0</v>
      </c>
      <c r="AQ117" s="84">
        <f t="shared" si="220"/>
        <v>0</v>
      </c>
      <c r="AR117" s="84">
        <f t="shared" si="220"/>
        <v>0</v>
      </c>
      <c r="AS117" s="84">
        <f t="shared" si="220"/>
        <v>0</v>
      </c>
      <c r="AT117" s="84">
        <f t="shared" si="220"/>
        <v>0</v>
      </c>
      <c r="AU117" s="84">
        <f t="shared" si="220"/>
        <v>0</v>
      </c>
      <c r="AV117" s="84">
        <f t="shared" si="220"/>
        <v>0</v>
      </c>
      <c r="AW117" s="84">
        <f t="shared" si="220"/>
        <v>0</v>
      </c>
      <c r="AX117" s="84">
        <f t="shared" si="220"/>
        <v>0</v>
      </c>
      <c r="AY117" s="84">
        <f t="shared" si="220"/>
        <v>0</v>
      </c>
      <c r="AZ117" s="84">
        <f t="shared" si="220"/>
        <v>0</v>
      </c>
      <c r="BA117" s="84">
        <f t="shared" si="220"/>
        <v>0</v>
      </c>
      <c r="BB117" s="84"/>
      <c r="BC117" s="85">
        <f t="shared" si="189"/>
        <v>23200677.087479819</v>
      </c>
    </row>
    <row r="118" spans="1:55" x14ac:dyDescent="0.2">
      <c r="A118" s="52"/>
      <c r="B118" s="7"/>
      <c r="C118" s="7">
        <f t="shared" si="192"/>
        <v>17</v>
      </c>
      <c r="D118" s="84">
        <f t="shared" ref="D118:AI118" si="221">D$6*AnnMiles*FuelC2*(EXP((D24+0.75*AnnMiles)*FuelC1)+EXP((D25+0.25*AnnMiles)*FuelC1))/2</f>
        <v>2260199.2036817209</v>
      </c>
      <c r="E118" s="84">
        <f t="shared" si="221"/>
        <v>614053.42110911617</v>
      </c>
      <c r="F118" s="84">
        <f t="shared" si="221"/>
        <v>3509090.4428833444</v>
      </c>
      <c r="G118" s="84">
        <f t="shared" si="221"/>
        <v>686114.28702040447</v>
      </c>
      <c r="H118" s="84">
        <f t="shared" si="221"/>
        <v>4664099.029309391</v>
      </c>
      <c r="I118" s="84">
        <f t="shared" si="221"/>
        <v>1050123.3671977301</v>
      </c>
      <c r="J118" s="84">
        <f t="shared" si="221"/>
        <v>1575185.0507965952</v>
      </c>
      <c r="K118" s="84">
        <f t="shared" si="221"/>
        <v>4528354.2943346696</v>
      </c>
      <c r="L118" s="84">
        <f t="shared" si="221"/>
        <v>268422.17594087432</v>
      </c>
      <c r="M118" s="84">
        <f t="shared" si="221"/>
        <v>1001398.3619344889</v>
      </c>
      <c r="N118" s="84">
        <f t="shared" si="221"/>
        <v>150679.94691211474</v>
      </c>
      <c r="O118" s="84">
        <f t="shared" si="221"/>
        <v>1575185.0507965952</v>
      </c>
      <c r="P118" s="84">
        <f t="shared" si="221"/>
        <v>597482.66595576762</v>
      </c>
      <c r="Q118" s="84">
        <f t="shared" si="221"/>
        <v>1240925.5369850558</v>
      </c>
      <c r="R118" s="84">
        <f t="shared" si="221"/>
        <v>0</v>
      </c>
      <c r="S118" s="84">
        <f t="shared" si="221"/>
        <v>0</v>
      </c>
      <c r="T118" s="84">
        <f t="shared" si="221"/>
        <v>0</v>
      </c>
      <c r="U118" s="84">
        <f t="shared" si="221"/>
        <v>0</v>
      </c>
      <c r="V118" s="84">
        <f t="shared" si="221"/>
        <v>0</v>
      </c>
      <c r="W118" s="84">
        <f t="shared" si="221"/>
        <v>0</v>
      </c>
      <c r="X118" s="84">
        <f t="shared" si="221"/>
        <v>0</v>
      </c>
      <c r="Y118" s="84">
        <f t="shared" si="221"/>
        <v>0</v>
      </c>
      <c r="Z118" s="84">
        <f t="shared" si="221"/>
        <v>0</v>
      </c>
      <c r="AA118" s="84">
        <f t="shared" si="221"/>
        <v>0</v>
      </c>
      <c r="AB118" s="84">
        <f t="shared" si="221"/>
        <v>0</v>
      </c>
      <c r="AC118" s="84">
        <f t="shared" si="221"/>
        <v>0</v>
      </c>
      <c r="AD118" s="84">
        <f t="shared" si="221"/>
        <v>0</v>
      </c>
      <c r="AE118" s="84">
        <f t="shared" si="221"/>
        <v>0</v>
      </c>
      <c r="AF118" s="84">
        <f t="shared" si="221"/>
        <v>0</v>
      </c>
      <c r="AG118" s="84">
        <f t="shared" si="221"/>
        <v>0</v>
      </c>
      <c r="AH118" s="84">
        <f t="shared" si="221"/>
        <v>0</v>
      </c>
      <c r="AI118" s="84">
        <f t="shared" si="221"/>
        <v>0</v>
      </c>
      <c r="AJ118" s="84">
        <f t="shared" ref="AJ118:BA118" si="222">AJ$6*AnnMiles*FuelC2*(EXP((AJ24+0.75*AnnMiles)*FuelC1)+EXP((AJ25+0.25*AnnMiles)*FuelC1))/2</f>
        <v>0</v>
      </c>
      <c r="AK118" s="84">
        <f t="shared" si="222"/>
        <v>0</v>
      </c>
      <c r="AL118" s="84">
        <f t="shared" si="222"/>
        <v>0</v>
      </c>
      <c r="AM118" s="84">
        <f t="shared" si="222"/>
        <v>0</v>
      </c>
      <c r="AN118" s="84">
        <f t="shared" si="222"/>
        <v>0</v>
      </c>
      <c r="AO118" s="84">
        <f t="shared" si="222"/>
        <v>0</v>
      </c>
      <c r="AP118" s="84">
        <f t="shared" si="222"/>
        <v>0</v>
      </c>
      <c r="AQ118" s="84">
        <f t="shared" si="222"/>
        <v>0</v>
      </c>
      <c r="AR118" s="84">
        <f t="shared" si="222"/>
        <v>0</v>
      </c>
      <c r="AS118" s="84">
        <f t="shared" si="222"/>
        <v>0</v>
      </c>
      <c r="AT118" s="84">
        <f t="shared" si="222"/>
        <v>0</v>
      </c>
      <c r="AU118" s="84">
        <f t="shared" si="222"/>
        <v>0</v>
      </c>
      <c r="AV118" s="84">
        <f t="shared" si="222"/>
        <v>0</v>
      </c>
      <c r="AW118" s="84">
        <f t="shared" si="222"/>
        <v>0</v>
      </c>
      <c r="AX118" s="84">
        <f t="shared" si="222"/>
        <v>0</v>
      </c>
      <c r="AY118" s="84">
        <f t="shared" si="222"/>
        <v>0</v>
      </c>
      <c r="AZ118" s="84">
        <f t="shared" si="222"/>
        <v>0</v>
      </c>
      <c r="BA118" s="84">
        <f t="shared" si="222"/>
        <v>0</v>
      </c>
      <c r="BB118" s="84"/>
      <c r="BC118" s="85">
        <f t="shared" si="189"/>
        <v>23721312.834857866</v>
      </c>
    </row>
    <row r="119" spans="1:55" x14ac:dyDescent="0.2">
      <c r="A119" s="52"/>
      <c r="B119" s="7"/>
      <c r="C119" s="7">
        <f t="shared" si="192"/>
        <v>18</v>
      </c>
      <c r="D119" s="84">
        <f t="shared" ref="D119:AI119" si="223">D$6*AnnMiles*FuelC2*(EXP((D25+0.75*AnnMiles)*FuelC1)+EXP((D26+0.25*AnnMiles)*FuelC1))/2</f>
        <v>2310919.2967718975</v>
      </c>
      <c r="E119" s="84">
        <f t="shared" si="223"/>
        <v>627833.11213381146</v>
      </c>
      <c r="F119" s="84">
        <f t="shared" si="223"/>
        <v>3077072.6247773999</v>
      </c>
      <c r="G119" s="84">
        <f t="shared" si="223"/>
        <v>701511.0628671922</v>
      </c>
      <c r="H119" s="84">
        <f t="shared" si="223"/>
        <v>4768763.9352004426</v>
      </c>
      <c r="I119" s="84">
        <f t="shared" si="223"/>
        <v>1073688.7037634973</v>
      </c>
      <c r="J119" s="84">
        <f t="shared" si="223"/>
        <v>1610533.0556452458</v>
      </c>
      <c r="K119" s="84">
        <f t="shared" si="223"/>
        <v>4629973.0149234692</v>
      </c>
      <c r="L119" s="84">
        <f t="shared" si="223"/>
        <v>274445.71480816178</v>
      </c>
      <c r="M119" s="84">
        <f t="shared" si="223"/>
        <v>1023870.2830177868</v>
      </c>
      <c r="N119" s="84">
        <f t="shared" si="223"/>
        <v>154061.28645145983</v>
      </c>
      <c r="O119" s="84">
        <f t="shared" si="223"/>
        <v>1610533.0556452458</v>
      </c>
      <c r="P119" s="84">
        <f t="shared" si="223"/>
        <v>610890.50026863674</v>
      </c>
      <c r="Q119" s="84">
        <f t="shared" si="223"/>
        <v>1268772.5774810149</v>
      </c>
      <c r="R119" s="84">
        <f t="shared" si="223"/>
        <v>0</v>
      </c>
      <c r="S119" s="84">
        <f t="shared" si="223"/>
        <v>0</v>
      </c>
      <c r="T119" s="84">
        <f t="shared" si="223"/>
        <v>0</v>
      </c>
      <c r="U119" s="84">
        <f t="shared" si="223"/>
        <v>0</v>
      </c>
      <c r="V119" s="84">
        <f t="shared" si="223"/>
        <v>0</v>
      </c>
      <c r="W119" s="84">
        <f t="shared" si="223"/>
        <v>0</v>
      </c>
      <c r="X119" s="84">
        <f t="shared" si="223"/>
        <v>0</v>
      </c>
      <c r="Y119" s="84">
        <f t="shared" si="223"/>
        <v>0</v>
      </c>
      <c r="Z119" s="84">
        <f t="shared" si="223"/>
        <v>0</v>
      </c>
      <c r="AA119" s="84">
        <f t="shared" si="223"/>
        <v>0</v>
      </c>
      <c r="AB119" s="84">
        <f t="shared" si="223"/>
        <v>0</v>
      </c>
      <c r="AC119" s="84">
        <f t="shared" si="223"/>
        <v>0</v>
      </c>
      <c r="AD119" s="84">
        <f t="shared" si="223"/>
        <v>0</v>
      </c>
      <c r="AE119" s="84">
        <f t="shared" si="223"/>
        <v>0</v>
      </c>
      <c r="AF119" s="84">
        <f t="shared" si="223"/>
        <v>0</v>
      </c>
      <c r="AG119" s="84">
        <f t="shared" si="223"/>
        <v>0</v>
      </c>
      <c r="AH119" s="84">
        <f t="shared" si="223"/>
        <v>0</v>
      </c>
      <c r="AI119" s="84">
        <f t="shared" si="223"/>
        <v>0</v>
      </c>
      <c r="AJ119" s="84">
        <f t="shared" ref="AJ119:BA119" si="224">AJ$6*AnnMiles*FuelC2*(EXP((AJ25+0.75*AnnMiles)*FuelC1)+EXP((AJ26+0.25*AnnMiles)*FuelC1))/2</f>
        <v>0</v>
      </c>
      <c r="AK119" s="84">
        <f t="shared" si="224"/>
        <v>0</v>
      </c>
      <c r="AL119" s="84">
        <f t="shared" si="224"/>
        <v>0</v>
      </c>
      <c r="AM119" s="84">
        <f t="shared" si="224"/>
        <v>0</v>
      </c>
      <c r="AN119" s="84">
        <f t="shared" si="224"/>
        <v>0</v>
      </c>
      <c r="AO119" s="84">
        <f t="shared" si="224"/>
        <v>0</v>
      </c>
      <c r="AP119" s="84">
        <f t="shared" si="224"/>
        <v>0</v>
      </c>
      <c r="AQ119" s="84">
        <f t="shared" si="224"/>
        <v>0</v>
      </c>
      <c r="AR119" s="84">
        <f t="shared" si="224"/>
        <v>0</v>
      </c>
      <c r="AS119" s="84">
        <f t="shared" si="224"/>
        <v>0</v>
      </c>
      <c r="AT119" s="84">
        <f t="shared" si="224"/>
        <v>0</v>
      </c>
      <c r="AU119" s="84">
        <f t="shared" si="224"/>
        <v>0</v>
      </c>
      <c r="AV119" s="84">
        <f t="shared" si="224"/>
        <v>0</v>
      </c>
      <c r="AW119" s="84">
        <f t="shared" si="224"/>
        <v>0</v>
      </c>
      <c r="AX119" s="84">
        <f t="shared" si="224"/>
        <v>0</v>
      </c>
      <c r="AY119" s="84">
        <f t="shared" si="224"/>
        <v>0</v>
      </c>
      <c r="AZ119" s="84">
        <f t="shared" si="224"/>
        <v>0</v>
      </c>
      <c r="BA119" s="84">
        <f t="shared" si="224"/>
        <v>0</v>
      </c>
      <c r="BB119" s="84"/>
      <c r="BC119" s="85">
        <f t="shared" si="189"/>
        <v>23742868.223755267</v>
      </c>
    </row>
    <row r="120" spans="1:55" x14ac:dyDescent="0.2">
      <c r="A120" s="52"/>
      <c r="B120" s="7"/>
      <c r="C120" s="7">
        <f t="shared" si="192"/>
        <v>19</v>
      </c>
      <c r="D120" s="84">
        <f t="shared" ref="D120:AI120" si="225">D$6*AnnMiles*FuelC2*(EXP((D26+0.75*AnnMiles)*FuelC1)+EXP((D27+0.25*AnnMiles)*FuelC1))/2</f>
        <v>2362777.5761948926</v>
      </c>
      <c r="E120" s="84">
        <f t="shared" si="225"/>
        <v>641922.02688108257</v>
      </c>
      <c r="F120" s="84">
        <f t="shared" si="225"/>
        <v>2629660.9815062224</v>
      </c>
      <c r="G120" s="84">
        <f t="shared" si="225"/>
        <v>717253.35069494403</v>
      </c>
      <c r="H120" s="84">
        <f t="shared" si="225"/>
        <v>4181662.7977744159</v>
      </c>
      <c r="I120" s="84">
        <f t="shared" si="225"/>
        <v>1097782.8592326471</v>
      </c>
      <c r="J120" s="84">
        <f t="shared" si="225"/>
        <v>1646674.2888489708</v>
      </c>
      <c r="K120" s="84">
        <f t="shared" si="225"/>
        <v>4733872.1145866308</v>
      </c>
      <c r="L120" s="84">
        <f t="shared" si="225"/>
        <v>280604.42514687689</v>
      </c>
      <c r="M120" s="84">
        <f t="shared" si="225"/>
        <v>1046846.4861694098</v>
      </c>
      <c r="N120" s="84">
        <f t="shared" si="225"/>
        <v>157518.50507965952</v>
      </c>
      <c r="O120" s="84">
        <f t="shared" si="225"/>
        <v>1646674.2888489708</v>
      </c>
      <c r="P120" s="84">
        <f t="shared" si="225"/>
        <v>624599.21363826317</v>
      </c>
      <c r="Q120" s="84">
        <f t="shared" si="225"/>
        <v>1297244.5206333157</v>
      </c>
      <c r="R120" s="84">
        <f t="shared" si="225"/>
        <v>0</v>
      </c>
      <c r="S120" s="84">
        <f t="shared" si="225"/>
        <v>0</v>
      </c>
      <c r="T120" s="84">
        <f t="shared" si="225"/>
        <v>0</v>
      </c>
      <c r="U120" s="84">
        <f t="shared" si="225"/>
        <v>0</v>
      </c>
      <c r="V120" s="84">
        <f t="shared" si="225"/>
        <v>0</v>
      </c>
      <c r="W120" s="84">
        <f t="shared" si="225"/>
        <v>0</v>
      </c>
      <c r="X120" s="84">
        <f t="shared" si="225"/>
        <v>0</v>
      </c>
      <c r="Y120" s="84">
        <f t="shared" si="225"/>
        <v>0</v>
      </c>
      <c r="Z120" s="84">
        <f t="shared" si="225"/>
        <v>0</v>
      </c>
      <c r="AA120" s="84">
        <f t="shared" si="225"/>
        <v>0</v>
      </c>
      <c r="AB120" s="84">
        <f t="shared" si="225"/>
        <v>0</v>
      </c>
      <c r="AC120" s="84">
        <f t="shared" si="225"/>
        <v>0</v>
      </c>
      <c r="AD120" s="84">
        <f t="shared" si="225"/>
        <v>0</v>
      </c>
      <c r="AE120" s="84">
        <f t="shared" si="225"/>
        <v>0</v>
      </c>
      <c r="AF120" s="84">
        <f t="shared" si="225"/>
        <v>0</v>
      </c>
      <c r="AG120" s="84">
        <f t="shared" si="225"/>
        <v>0</v>
      </c>
      <c r="AH120" s="84">
        <f t="shared" si="225"/>
        <v>0</v>
      </c>
      <c r="AI120" s="84">
        <f t="shared" si="225"/>
        <v>0</v>
      </c>
      <c r="AJ120" s="84">
        <f t="shared" ref="AJ120:BA120" si="226">AJ$6*AnnMiles*FuelC2*(EXP((AJ26+0.75*AnnMiles)*FuelC1)+EXP((AJ27+0.25*AnnMiles)*FuelC1))/2</f>
        <v>0</v>
      </c>
      <c r="AK120" s="84">
        <f t="shared" si="226"/>
        <v>0</v>
      </c>
      <c r="AL120" s="84">
        <f t="shared" si="226"/>
        <v>0</v>
      </c>
      <c r="AM120" s="84">
        <f t="shared" si="226"/>
        <v>0</v>
      </c>
      <c r="AN120" s="84">
        <f t="shared" si="226"/>
        <v>0</v>
      </c>
      <c r="AO120" s="84">
        <f t="shared" si="226"/>
        <v>0</v>
      </c>
      <c r="AP120" s="84">
        <f t="shared" si="226"/>
        <v>0</v>
      </c>
      <c r="AQ120" s="84">
        <f t="shared" si="226"/>
        <v>0</v>
      </c>
      <c r="AR120" s="84">
        <f t="shared" si="226"/>
        <v>0</v>
      </c>
      <c r="AS120" s="84">
        <f t="shared" si="226"/>
        <v>0</v>
      </c>
      <c r="AT120" s="84">
        <f t="shared" si="226"/>
        <v>0</v>
      </c>
      <c r="AU120" s="84">
        <f t="shared" si="226"/>
        <v>0</v>
      </c>
      <c r="AV120" s="84">
        <f t="shared" si="226"/>
        <v>0</v>
      </c>
      <c r="AW120" s="84">
        <f t="shared" si="226"/>
        <v>0</v>
      </c>
      <c r="AX120" s="84">
        <f t="shared" si="226"/>
        <v>0</v>
      </c>
      <c r="AY120" s="84">
        <f t="shared" si="226"/>
        <v>0</v>
      </c>
      <c r="AZ120" s="84">
        <f t="shared" si="226"/>
        <v>0</v>
      </c>
      <c r="BA120" s="84">
        <f t="shared" si="226"/>
        <v>0</v>
      </c>
      <c r="BB120" s="84"/>
      <c r="BC120" s="85">
        <f t="shared" si="189"/>
        <v>23065093.435236305</v>
      </c>
    </row>
    <row r="121" spans="1:55" x14ac:dyDescent="0.2">
      <c r="A121" s="52"/>
      <c r="B121" s="7"/>
      <c r="C121" s="7">
        <f t="shared" si="192"/>
        <v>20</v>
      </c>
      <c r="D121" s="84">
        <f t="shared" ref="D121:AI121" si="227">D$6*AnnMiles*FuelC2*(EXP((D27+0.75*AnnMiles)*FuelC1)+EXP((D28+0.25*AnnMiles)*FuelC1))/2</f>
        <v>2415799.5834678686</v>
      </c>
      <c r="E121" s="84">
        <f t="shared" si="227"/>
        <v>656327.10449858126</v>
      </c>
      <c r="F121" s="84">
        <f t="shared" si="227"/>
        <v>2688671.996800954</v>
      </c>
      <c r="G121" s="84">
        <f t="shared" si="227"/>
        <v>733348.90397946397</v>
      </c>
      <c r="H121" s="84">
        <f t="shared" si="227"/>
        <v>3573641.8466623025</v>
      </c>
      <c r="I121" s="84">
        <f t="shared" si="227"/>
        <v>1122417.7005875076</v>
      </c>
      <c r="J121" s="84">
        <f t="shared" si="227"/>
        <v>1683626.5508812612</v>
      </c>
      <c r="K121" s="84">
        <f t="shared" si="227"/>
        <v>4840102.7662644628</v>
      </c>
      <c r="L121" s="84">
        <f t="shared" si="227"/>
        <v>286901.34027797758</v>
      </c>
      <c r="M121" s="84">
        <f t="shared" si="227"/>
        <v>1070338.2877518311</v>
      </c>
      <c r="N121" s="84">
        <f t="shared" si="227"/>
        <v>161053.30556452458</v>
      </c>
      <c r="O121" s="84">
        <f t="shared" si="227"/>
        <v>1683626.5508812612</v>
      </c>
      <c r="P121" s="84">
        <f t="shared" si="227"/>
        <v>638615.55795348086</v>
      </c>
      <c r="Q121" s="84">
        <f t="shared" si="227"/>
        <v>1326355.3895956911</v>
      </c>
      <c r="R121" s="84">
        <f t="shared" si="227"/>
        <v>0</v>
      </c>
      <c r="S121" s="84">
        <f t="shared" si="227"/>
        <v>0</v>
      </c>
      <c r="T121" s="84">
        <f t="shared" si="227"/>
        <v>0</v>
      </c>
      <c r="U121" s="84">
        <f t="shared" si="227"/>
        <v>0</v>
      </c>
      <c r="V121" s="84">
        <f t="shared" si="227"/>
        <v>0</v>
      </c>
      <c r="W121" s="84">
        <f t="shared" si="227"/>
        <v>0</v>
      </c>
      <c r="X121" s="84">
        <f t="shared" si="227"/>
        <v>0</v>
      </c>
      <c r="Y121" s="84">
        <f t="shared" si="227"/>
        <v>0</v>
      </c>
      <c r="Z121" s="84">
        <f t="shared" si="227"/>
        <v>0</v>
      </c>
      <c r="AA121" s="84">
        <f t="shared" si="227"/>
        <v>0</v>
      </c>
      <c r="AB121" s="84">
        <f t="shared" si="227"/>
        <v>0</v>
      </c>
      <c r="AC121" s="84">
        <f t="shared" si="227"/>
        <v>0</v>
      </c>
      <c r="AD121" s="84">
        <f t="shared" si="227"/>
        <v>0</v>
      </c>
      <c r="AE121" s="84">
        <f t="shared" si="227"/>
        <v>0</v>
      </c>
      <c r="AF121" s="84">
        <f t="shared" si="227"/>
        <v>0</v>
      </c>
      <c r="AG121" s="84">
        <f t="shared" si="227"/>
        <v>0</v>
      </c>
      <c r="AH121" s="84">
        <f t="shared" si="227"/>
        <v>0</v>
      </c>
      <c r="AI121" s="84">
        <f t="shared" si="227"/>
        <v>0</v>
      </c>
      <c r="AJ121" s="84">
        <f t="shared" ref="AJ121:BA121" si="228">AJ$6*AnnMiles*FuelC2*(EXP((AJ27+0.75*AnnMiles)*FuelC1)+EXP((AJ28+0.25*AnnMiles)*FuelC1))/2</f>
        <v>0</v>
      </c>
      <c r="AK121" s="84">
        <f t="shared" si="228"/>
        <v>0</v>
      </c>
      <c r="AL121" s="84">
        <f t="shared" si="228"/>
        <v>0</v>
      </c>
      <c r="AM121" s="84">
        <f t="shared" si="228"/>
        <v>0</v>
      </c>
      <c r="AN121" s="84">
        <f t="shared" si="228"/>
        <v>0</v>
      </c>
      <c r="AO121" s="84">
        <f t="shared" si="228"/>
        <v>0</v>
      </c>
      <c r="AP121" s="84">
        <f t="shared" si="228"/>
        <v>0</v>
      </c>
      <c r="AQ121" s="84">
        <f t="shared" si="228"/>
        <v>0</v>
      </c>
      <c r="AR121" s="84">
        <f t="shared" si="228"/>
        <v>0</v>
      </c>
      <c r="AS121" s="84">
        <f t="shared" si="228"/>
        <v>0</v>
      </c>
      <c r="AT121" s="84">
        <f t="shared" si="228"/>
        <v>0</v>
      </c>
      <c r="AU121" s="84">
        <f t="shared" si="228"/>
        <v>0</v>
      </c>
      <c r="AV121" s="84">
        <f t="shared" si="228"/>
        <v>0</v>
      </c>
      <c r="AW121" s="84">
        <f t="shared" si="228"/>
        <v>0</v>
      </c>
      <c r="AX121" s="84">
        <f t="shared" si="228"/>
        <v>0</v>
      </c>
      <c r="AY121" s="84">
        <f t="shared" si="228"/>
        <v>0</v>
      </c>
      <c r="AZ121" s="84">
        <f t="shared" si="228"/>
        <v>0</v>
      </c>
      <c r="BA121" s="84">
        <f t="shared" si="228"/>
        <v>0</v>
      </c>
      <c r="BB121" s="84"/>
      <c r="BC121" s="85">
        <f t="shared" si="189"/>
        <v>22880826.885167167</v>
      </c>
    </row>
    <row r="122" spans="1:55" x14ac:dyDescent="0.2">
      <c r="A122" s="52"/>
      <c r="B122" s="7"/>
      <c r="C122" s="7">
        <f t="shared" si="192"/>
        <v>21</v>
      </c>
      <c r="D122" s="84">
        <f t="shared" ref="D122:AI122" si="229">D$6*AnnMiles*FuelC2*(EXP((D28+0.75*AnnMiles)*FuelC1)+EXP((D29+0.25*AnnMiles)*FuelC1))/2</f>
        <v>2470011.4332734561</v>
      </c>
      <c r="E122" s="84">
        <f t="shared" si="229"/>
        <v>671055.43985218578</v>
      </c>
      <c r="F122" s="84">
        <f t="shared" si="229"/>
        <v>2749007.2512088651</v>
      </c>
      <c r="G122" s="84">
        <f t="shared" si="229"/>
        <v>749805.65018874884</v>
      </c>
      <c r="H122" s="84">
        <f t="shared" si="229"/>
        <v>3653836.3033448867</v>
      </c>
      <c r="I122" s="84">
        <f t="shared" si="229"/>
        <v>1147605.3611119103</v>
      </c>
      <c r="J122" s="84">
        <f t="shared" si="229"/>
        <v>1721408.0416678656</v>
      </c>
      <c r="K122" s="84">
        <f t="shared" si="229"/>
        <v>4948717.2912457427</v>
      </c>
      <c r="L122" s="84">
        <f t="shared" si="229"/>
        <v>293339.56159178558</v>
      </c>
      <c r="M122" s="84">
        <f t="shared" si="229"/>
        <v>1094357.2580728198</v>
      </c>
      <c r="N122" s="84">
        <f t="shared" si="229"/>
        <v>164667.42888489709</v>
      </c>
      <c r="O122" s="84">
        <f t="shared" si="229"/>
        <v>1721408.0416678656</v>
      </c>
      <c r="P122" s="84">
        <f t="shared" si="229"/>
        <v>652946.43661916384</v>
      </c>
      <c r="Q122" s="84">
        <f t="shared" si="229"/>
        <v>1356119.5222090327</v>
      </c>
      <c r="R122" s="84">
        <f t="shared" si="229"/>
        <v>0</v>
      </c>
      <c r="S122" s="84">
        <f t="shared" si="229"/>
        <v>0</v>
      </c>
      <c r="T122" s="84">
        <f t="shared" si="229"/>
        <v>0</v>
      </c>
      <c r="U122" s="84">
        <f t="shared" si="229"/>
        <v>0</v>
      </c>
      <c r="V122" s="84">
        <f t="shared" si="229"/>
        <v>0</v>
      </c>
      <c r="W122" s="84">
        <f t="shared" si="229"/>
        <v>0</v>
      </c>
      <c r="X122" s="84">
        <f t="shared" si="229"/>
        <v>0</v>
      </c>
      <c r="Y122" s="84">
        <f t="shared" si="229"/>
        <v>0</v>
      </c>
      <c r="Z122" s="84">
        <f t="shared" si="229"/>
        <v>0</v>
      </c>
      <c r="AA122" s="84">
        <f t="shared" si="229"/>
        <v>0</v>
      </c>
      <c r="AB122" s="84">
        <f t="shared" si="229"/>
        <v>0</v>
      </c>
      <c r="AC122" s="84">
        <f t="shared" si="229"/>
        <v>0</v>
      </c>
      <c r="AD122" s="84">
        <f t="shared" si="229"/>
        <v>0</v>
      </c>
      <c r="AE122" s="84">
        <f t="shared" si="229"/>
        <v>0</v>
      </c>
      <c r="AF122" s="84">
        <f t="shared" si="229"/>
        <v>0</v>
      </c>
      <c r="AG122" s="84">
        <f t="shared" si="229"/>
        <v>0</v>
      </c>
      <c r="AH122" s="84">
        <f t="shared" si="229"/>
        <v>0</v>
      </c>
      <c r="AI122" s="84">
        <f t="shared" si="229"/>
        <v>0</v>
      </c>
      <c r="AJ122" s="84">
        <f t="shared" ref="AJ122:BA122" si="230">AJ$6*AnnMiles*FuelC2*(EXP((AJ28+0.75*AnnMiles)*FuelC1)+EXP((AJ29+0.25*AnnMiles)*FuelC1))/2</f>
        <v>0</v>
      </c>
      <c r="AK122" s="84">
        <f t="shared" si="230"/>
        <v>0</v>
      </c>
      <c r="AL122" s="84">
        <f t="shared" si="230"/>
        <v>0</v>
      </c>
      <c r="AM122" s="84">
        <f t="shared" si="230"/>
        <v>0</v>
      </c>
      <c r="AN122" s="84">
        <f t="shared" si="230"/>
        <v>0</v>
      </c>
      <c r="AO122" s="84">
        <f t="shared" si="230"/>
        <v>0</v>
      </c>
      <c r="AP122" s="84">
        <f t="shared" si="230"/>
        <v>0</v>
      </c>
      <c r="AQ122" s="84">
        <f t="shared" si="230"/>
        <v>0</v>
      </c>
      <c r="AR122" s="84">
        <f t="shared" si="230"/>
        <v>0</v>
      </c>
      <c r="AS122" s="84">
        <f t="shared" si="230"/>
        <v>0</v>
      </c>
      <c r="AT122" s="84">
        <f t="shared" si="230"/>
        <v>0</v>
      </c>
      <c r="AU122" s="84">
        <f t="shared" si="230"/>
        <v>0</v>
      </c>
      <c r="AV122" s="84">
        <f t="shared" si="230"/>
        <v>0</v>
      </c>
      <c r="AW122" s="84">
        <f t="shared" si="230"/>
        <v>0</v>
      </c>
      <c r="AX122" s="84">
        <f t="shared" si="230"/>
        <v>0</v>
      </c>
      <c r="AY122" s="84">
        <f t="shared" si="230"/>
        <v>0</v>
      </c>
      <c r="AZ122" s="84">
        <f t="shared" si="230"/>
        <v>0</v>
      </c>
      <c r="BA122" s="84">
        <f t="shared" si="230"/>
        <v>0</v>
      </c>
      <c r="BB122" s="84"/>
      <c r="BC122" s="85">
        <f t="shared" si="189"/>
        <v>23394285.020939223</v>
      </c>
    </row>
    <row r="123" spans="1:55" x14ac:dyDescent="0.2">
      <c r="A123" s="52"/>
      <c r="B123" s="7"/>
      <c r="C123" s="7">
        <f t="shared" si="192"/>
        <v>22</v>
      </c>
      <c r="D123" s="84">
        <f t="shared" ref="D123:AI123" si="231">D$6*AnnMiles*FuelC2*(EXP((D29+0.75*AnnMiles)*FuelC1)+EXP((D30+0.25*AnnMiles)*FuelC1))/2</f>
        <v>2525439.826321892</v>
      </c>
      <c r="E123" s="84">
        <f t="shared" si="231"/>
        <v>686114.28702040447</v>
      </c>
      <c r="F123" s="84">
        <f t="shared" si="231"/>
        <v>2810696.4613721836</v>
      </c>
      <c r="G123" s="84">
        <f t="shared" si="231"/>
        <v>657494.15059346159</v>
      </c>
      <c r="H123" s="84">
        <f t="shared" si="231"/>
        <v>3735830.3670274322</v>
      </c>
      <c r="I123" s="84">
        <f t="shared" si="231"/>
        <v>1173358.2463671423</v>
      </c>
      <c r="J123" s="84">
        <f t="shared" si="231"/>
        <v>1760037.3695507136</v>
      </c>
      <c r="K123" s="84">
        <f t="shared" si="231"/>
        <v>4339461.3939168472</v>
      </c>
      <c r="L123" s="84">
        <f t="shared" si="231"/>
        <v>299922.26007549954</v>
      </c>
      <c r="M123" s="84">
        <f t="shared" si="231"/>
        <v>1118915.2270841126</v>
      </c>
      <c r="N123" s="84">
        <f t="shared" si="231"/>
        <v>168362.65508812614</v>
      </c>
      <c r="O123" s="84">
        <f t="shared" si="231"/>
        <v>1760037.3695507136</v>
      </c>
      <c r="P123" s="84">
        <f t="shared" si="231"/>
        <v>667598.90795632591</v>
      </c>
      <c r="Q123" s="84">
        <f t="shared" si="231"/>
        <v>1386551.5780631385</v>
      </c>
      <c r="R123" s="84">
        <f t="shared" si="231"/>
        <v>0</v>
      </c>
      <c r="S123" s="84">
        <f t="shared" si="231"/>
        <v>0</v>
      </c>
      <c r="T123" s="84">
        <f t="shared" si="231"/>
        <v>0</v>
      </c>
      <c r="U123" s="84">
        <f t="shared" si="231"/>
        <v>0</v>
      </c>
      <c r="V123" s="84">
        <f t="shared" si="231"/>
        <v>0</v>
      </c>
      <c r="W123" s="84">
        <f t="shared" si="231"/>
        <v>0</v>
      </c>
      <c r="X123" s="84">
        <f t="shared" si="231"/>
        <v>0</v>
      </c>
      <c r="Y123" s="84">
        <f t="shared" si="231"/>
        <v>0</v>
      </c>
      <c r="Z123" s="84">
        <f t="shared" si="231"/>
        <v>0</v>
      </c>
      <c r="AA123" s="84">
        <f t="shared" si="231"/>
        <v>0</v>
      </c>
      <c r="AB123" s="84">
        <f t="shared" si="231"/>
        <v>0</v>
      </c>
      <c r="AC123" s="84">
        <f t="shared" si="231"/>
        <v>0</v>
      </c>
      <c r="AD123" s="84">
        <f t="shared" si="231"/>
        <v>0</v>
      </c>
      <c r="AE123" s="84">
        <f t="shared" si="231"/>
        <v>0</v>
      </c>
      <c r="AF123" s="84">
        <f t="shared" si="231"/>
        <v>0</v>
      </c>
      <c r="AG123" s="84">
        <f t="shared" si="231"/>
        <v>0</v>
      </c>
      <c r="AH123" s="84">
        <f t="shared" si="231"/>
        <v>0</v>
      </c>
      <c r="AI123" s="84">
        <f t="shared" si="231"/>
        <v>0</v>
      </c>
      <c r="AJ123" s="84">
        <f t="shared" ref="AJ123:BA123" si="232">AJ$6*AnnMiles*FuelC2*(EXP((AJ29+0.75*AnnMiles)*FuelC1)+EXP((AJ30+0.25*AnnMiles)*FuelC1))/2</f>
        <v>0</v>
      </c>
      <c r="AK123" s="84">
        <f t="shared" si="232"/>
        <v>0</v>
      </c>
      <c r="AL123" s="84">
        <f t="shared" si="232"/>
        <v>0</v>
      </c>
      <c r="AM123" s="84">
        <f t="shared" si="232"/>
        <v>0</v>
      </c>
      <c r="AN123" s="84">
        <f t="shared" si="232"/>
        <v>0</v>
      </c>
      <c r="AO123" s="84">
        <f t="shared" si="232"/>
        <v>0</v>
      </c>
      <c r="AP123" s="84">
        <f t="shared" si="232"/>
        <v>0</v>
      </c>
      <c r="AQ123" s="84">
        <f t="shared" si="232"/>
        <v>0</v>
      </c>
      <c r="AR123" s="84">
        <f t="shared" si="232"/>
        <v>0</v>
      </c>
      <c r="AS123" s="84">
        <f t="shared" si="232"/>
        <v>0</v>
      </c>
      <c r="AT123" s="84">
        <f t="shared" si="232"/>
        <v>0</v>
      </c>
      <c r="AU123" s="84">
        <f t="shared" si="232"/>
        <v>0</v>
      </c>
      <c r="AV123" s="84">
        <f t="shared" si="232"/>
        <v>0</v>
      </c>
      <c r="AW123" s="84">
        <f t="shared" si="232"/>
        <v>0</v>
      </c>
      <c r="AX123" s="84">
        <f t="shared" si="232"/>
        <v>0</v>
      </c>
      <c r="AY123" s="84">
        <f t="shared" si="232"/>
        <v>0</v>
      </c>
      <c r="AZ123" s="84">
        <f t="shared" si="232"/>
        <v>0</v>
      </c>
      <c r="BA123" s="84">
        <f t="shared" si="232"/>
        <v>0</v>
      </c>
      <c r="BB123" s="84"/>
      <c r="BC123" s="85">
        <f t="shared" si="189"/>
        <v>23089820.099987987</v>
      </c>
    </row>
    <row r="124" spans="1:55" x14ac:dyDescent="0.2">
      <c r="A124" s="52"/>
      <c r="B124" s="7"/>
      <c r="C124" s="7">
        <f t="shared" si="192"/>
        <v>23</v>
      </c>
      <c r="D124" s="84">
        <f t="shared" ref="D124:AI124" si="233">D$6*AnnMiles*FuelC2*(EXP((D30+0.75*AnnMiles)*FuelC1)+EXP((D31+0.25*AnnMiles)*FuelC1))/2</f>
        <v>2582112.0625017984</v>
      </c>
      <c r="E124" s="84">
        <f t="shared" si="233"/>
        <v>701511.0628671922</v>
      </c>
      <c r="F124" s="84">
        <f t="shared" si="233"/>
        <v>2873770.0107906633</v>
      </c>
      <c r="G124" s="84">
        <f t="shared" si="233"/>
        <v>561893.37211671425</v>
      </c>
      <c r="H124" s="84">
        <f t="shared" si="233"/>
        <v>3819664.4218647629</v>
      </c>
      <c r="I124" s="84">
        <f t="shared" si="233"/>
        <v>1199689.0403019981</v>
      </c>
      <c r="J124" s="84">
        <f t="shared" si="233"/>
        <v>1799533.5604529975</v>
      </c>
      <c r="K124" s="84">
        <f t="shared" si="233"/>
        <v>3708496.2559703141</v>
      </c>
      <c r="L124" s="84">
        <f t="shared" si="233"/>
        <v>262997.66023738467</v>
      </c>
      <c r="M124" s="84">
        <f t="shared" si="233"/>
        <v>1144024.2902079639</v>
      </c>
      <c r="N124" s="84">
        <f t="shared" si="233"/>
        <v>172140.80416678655</v>
      </c>
      <c r="O124" s="84">
        <f t="shared" si="233"/>
        <v>1799533.5604529975</v>
      </c>
      <c r="P124" s="84">
        <f t="shared" si="233"/>
        <v>682580.18867852457</v>
      </c>
      <c r="Q124" s="84">
        <f t="shared" si="233"/>
        <v>1417666.5457169355</v>
      </c>
      <c r="R124" s="84">
        <f t="shared" si="233"/>
        <v>0</v>
      </c>
      <c r="S124" s="84">
        <f t="shared" si="233"/>
        <v>0</v>
      </c>
      <c r="T124" s="84">
        <f t="shared" si="233"/>
        <v>0</v>
      </c>
      <c r="U124" s="84">
        <f t="shared" si="233"/>
        <v>0</v>
      </c>
      <c r="V124" s="84">
        <f t="shared" si="233"/>
        <v>0</v>
      </c>
      <c r="W124" s="84">
        <f t="shared" si="233"/>
        <v>0</v>
      </c>
      <c r="X124" s="84">
        <f t="shared" si="233"/>
        <v>0</v>
      </c>
      <c r="Y124" s="84">
        <f t="shared" si="233"/>
        <v>0</v>
      </c>
      <c r="Z124" s="84">
        <f t="shared" si="233"/>
        <v>0</v>
      </c>
      <c r="AA124" s="84">
        <f t="shared" si="233"/>
        <v>0</v>
      </c>
      <c r="AB124" s="84">
        <f t="shared" si="233"/>
        <v>0</v>
      </c>
      <c r="AC124" s="84">
        <f t="shared" si="233"/>
        <v>0</v>
      </c>
      <c r="AD124" s="84">
        <f t="shared" si="233"/>
        <v>0</v>
      </c>
      <c r="AE124" s="84">
        <f t="shared" si="233"/>
        <v>0</v>
      </c>
      <c r="AF124" s="84">
        <f t="shared" si="233"/>
        <v>0</v>
      </c>
      <c r="AG124" s="84">
        <f t="shared" si="233"/>
        <v>0</v>
      </c>
      <c r="AH124" s="84">
        <f t="shared" si="233"/>
        <v>0</v>
      </c>
      <c r="AI124" s="84">
        <f t="shared" si="233"/>
        <v>0</v>
      </c>
      <c r="AJ124" s="84">
        <f t="shared" ref="AJ124:BA124" si="234">AJ$6*AnnMiles*FuelC2*(EXP((AJ30+0.75*AnnMiles)*FuelC1)+EXP((AJ31+0.25*AnnMiles)*FuelC1))/2</f>
        <v>0</v>
      </c>
      <c r="AK124" s="84">
        <f t="shared" si="234"/>
        <v>0</v>
      </c>
      <c r="AL124" s="84">
        <f t="shared" si="234"/>
        <v>0</v>
      </c>
      <c r="AM124" s="84">
        <f t="shared" si="234"/>
        <v>0</v>
      </c>
      <c r="AN124" s="84">
        <f t="shared" si="234"/>
        <v>0</v>
      </c>
      <c r="AO124" s="84">
        <f t="shared" si="234"/>
        <v>0</v>
      </c>
      <c r="AP124" s="84">
        <f t="shared" si="234"/>
        <v>0</v>
      </c>
      <c r="AQ124" s="84">
        <f t="shared" si="234"/>
        <v>0</v>
      </c>
      <c r="AR124" s="84">
        <f t="shared" si="234"/>
        <v>0</v>
      </c>
      <c r="AS124" s="84">
        <f t="shared" si="234"/>
        <v>0</v>
      </c>
      <c r="AT124" s="84">
        <f t="shared" si="234"/>
        <v>0</v>
      </c>
      <c r="AU124" s="84">
        <f t="shared" si="234"/>
        <v>0</v>
      </c>
      <c r="AV124" s="84">
        <f t="shared" si="234"/>
        <v>0</v>
      </c>
      <c r="AW124" s="84">
        <f t="shared" si="234"/>
        <v>0</v>
      </c>
      <c r="AX124" s="84">
        <f t="shared" si="234"/>
        <v>0</v>
      </c>
      <c r="AY124" s="84">
        <f t="shared" si="234"/>
        <v>0</v>
      </c>
      <c r="AZ124" s="84">
        <f t="shared" si="234"/>
        <v>0</v>
      </c>
      <c r="BA124" s="84">
        <f t="shared" si="234"/>
        <v>0</v>
      </c>
      <c r="BB124" s="84"/>
      <c r="BC124" s="85">
        <f t="shared" si="189"/>
        <v>22725612.836327031</v>
      </c>
    </row>
    <row r="125" spans="1:55" x14ac:dyDescent="0.2">
      <c r="A125" s="52"/>
      <c r="B125" s="7"/>
      <c r="C125" s="7">
        <f t="shared" si="192"/>
        <v>24</v>
      </c>
      <c r="D125" s="84">
        <f t="shared" ref="D125:AI125" si="235">D$6*AnnMiles*FuelC2*(EXP((D31+0.75*AnnMiles)*FuelC1)+EXP((D32+0.25*AnnMiles)*FuelC1))/2</f>
        <v>2640056.0543260705</v>
      </c>
      <c r="E125" s="84">
        <f t="shared" si="235"/>
        <v>717253.35069494403</v>
      </c>
      <c r="F125" s="84">
        <f t="shared" si="235"/>
        <v>2938258.9647862371</v>
      </c>
      <c r="G125" s="84">
        <f t="shared" si="235"/>
        <v>574502.56341900735</v>
      </c>
      <c r="H125" s="84">
        <f t="shared" si="235"/>
        <v>3905379.758253979</v>
      </c>
      <c r="I125" s="84">
        <f t="shared" si="235"/>
        <v>1051990.6409495387</v>
      </c>
      <c r="J125" s="84">
        <f t="shared" si="235"/>
        <v>1577985.9614243079</v>
      </c>
      <c r="K125" s="84">
        <f t="shared" si="235"/>
        <v>3791716.9185654484</v>
      </c>
      <c r="L125" s="84">
        <f t="shared" si="235"/>
        <v>224757.34884668569</v>
      </c>
      <c r="M125" s="84">
        <f t="shared" si="235"/>
        <v>1169696.8142944484</v>
      </c>
      <c r="N125" s="84">
        <f t="shared" si="235"/>
        <v>176003.73695507136</v>
      </c>
      <c r="O125" s="84">
        <f t="shared" si="235"/>
        <v>1577985.9614243079</v>
      </c>
      <c r="P125" s="84">
        <f t="shared" si="235"/>
        <v>697897.65744627325</v>
      </c>
      <c r="Q125" s="84">
        <f t="shared" si="235"/>
        <v>1449479.7500807212</v>
      </c>
      <c r="R125" s="84">
        <f t="shared" si="235"/>
        <v>0</v>
      </c>
      <c r="S125" s="84">
        <f t="shared" si="235"/>
        <v>0</v>
      </c>
      <c r="T125" s="84">
        <f t="shared" si="235"/>
        <v>0</v>
      </c>
      <c r="U125" s="84">
        <f t="shared" si="235"/>
        <v>0</v>
      </c>
      <c r="V125" s="84">
        <f t="shared" si="235"/>
        <v>0</v>
      </c>
      <c r="W125" s="84">
        <f t="shared" si="235"/>
        <v>0</v>
      </c>
      <c r="X125" s="84">
        <f t="shared" si="235"/>
        <v>0</v>
      </c>
      <c r="Y125" s="84">
        <f t="shared" si="235"/>
        <v>0</v>
      </c>
      <c r="Z125" s="84">
        <f t="shared" si="235"/>
        <v>0</v>
      </c>
      <c r="AA125" s="84">
        <f t="shared" si="235"/>
        <v>0</v>
      </c>
      <c r="AB125" s="84">
        <f t="shared" si="235"/>
        <v>0</v>
      </c>
      <c r="AC125" s="84">
        <f t="shared" si="235"/>
        <v>0</v>
      </c>
      <c r="AD125" s="84">
        <f t="shared" si="235"/>
        <v>0</v>
      </c>
      <c r="AE125" s="84">
        <f t="shared" si="235"/>
        <v>0</v>
      </c>
      <c r="AF125" s="84">
        <f t="shared" si="235"/>
        <v>0</v>
      </c>
      <c r="AG125" s="84">
        <f t="shared" si="235"/>
        <v>0</v>
      </c>
      <c r="AH125" s="84">
        <f t="shared" si="235"/>
        <v>0</v>
      </c>
      <c r="AI125" s="84">
        <f t="shared" si="235"/>
        <v>0</v>
      </c>
      <c r="AJ125" s="84">
        <f t="shared" ref="AJ125:BA125" si="236">AJ$6*AnnMiles*FuelC2*(EXP((AJ31+0.75*AnnMiles)*FuelC1)+EXP((AJ32+0.25*AnnMiles)*FuelC1))/2</f>
        <v>0</v>
      </c>
      <c r="AK125" s="84">
        <f t="shared" si="236"/>
        <v>0</v>
      </c>
      <c r="AL125" s="84">
        <f t="shared" si="236"/>
        <v>0</v>
      </c>
      <c r="AM125" s="84">
        <f t="shared" si="236"/>
        <v>0</v>
      </c>
      <c r="AN125" s="84">
        <f t="shared" si="236"/>
        <v>0</v>
      </c>
      <c r="AO125" s="84">
        <f t="shared" si="236"/>
        <v>0</v>
      </c>
      <c r="AP125" s="84">
        <f t="shared" si="236"/>
        <v>0</v>
      </c>
      <c r="AQ125" s="84">
        <f t="shared" si="236"/>
        <v>0</v>
      </c>
      <c r="AR125" s="84">
        <f t="shared" si="236"/>
        <v>0</v>
      </c>
      <c r="AS125" s="84">
        <f t="shared" si="236"/>
        <v>0</v>
      </c>
      <c r="AT125" s="84">
        <f t="shared" si="236"/>
        <v>0</v>
      </c>
      <c r="AU125" s="84">
        <f t="shared" si="236"/>
        <v>0</v>
      </c>
      <c r="AV125" s="84">
        <f t="shared" si="236"/>
        <v>0</v>
      </c>
      <c r="AW125" s="84">
        <f t="shared" si="236"/>
        <v>0</v>
      </c>
      <c r="AX125" s="84">
        <f t="shared" si="236"/>
        <v>0</v>
      </c>
      <c r="AY125" s="84">
        <f t="shared" si="236"/>
        <v>0</v>
      </c>
      <c r="AZ125" s="84">
        <f t="shared" si="236"/>
        <v>0</v>
      </c>
      <c r="BA125" s="84">
        <f t="shared" si="236"/>
        <v>0</v>
      </c>
      <c r="BB125" s="84"/>
      <c r="BC125" s="85">
        <f t="shared" si="189"/>
        <v>22492965.481467038</v>
      </c>
    </row>
    <row r="126" spans="1:55" x14ac:dyDescent="0.2">
      <c r="A126" s="52"/>
      <c r="B126" s="7"/>
      <c r="C126" s="7">
        <f t="shared" si="192"/>
        <v>25</v>
      </c>
      <c r="D126" s="84">
        <f t="shared" ref="D126:AI126" si="237">D$6*AnnMiles*FuelC2*(EXP((D32+0.75*AnnMiles)*FuelC1)+EXP((D33+0.25*AnnMiles)*FuelC1))/2</f>
        <v>2699300.3406794961</v>
      </c>
      <c r="E126" s="84">
        <f t="shared" si="237"/>
        <v>733348.90397946397</v>
      </c>
      <c r="F126" s="84">
        <f t="shared" si="237"/>
        <v>3004195.0858034664</v>
      </c>
      <c r="G126" s="84">
        <f t="shared" si="237"/>
        <v>587394.71179676615</v>
      </c>
      <c r="H126" s="84">
        <f t="shared" si="237"/>
        <v>3993018.5931710405</v>
      </c>
      <c r="I126" s="84">
        <f t="shared" si="237"/>
        <v>899029.39538674278</v>
      </c>
      <c r="J126" s="84">
        <f t="shared" si="237"/>
        <v>1348544.0930801141</v>
      </c>
      <c r="K126" s="84">
        <f t="shared" si="237"/>
        <v>3876805.0978586567</v>
      </c>
      <c r="L126" s="84">
        <f t="shared" si="237"/>
        <v>229801.02536760294</v>
      </c>
      <c r="M126" s="84">
        <f t="shared" si="237"/>
        <v>1025690.8749258001</v>
      </c>
      <c r="N126" s="84">
        <f t="shared" si="237"/>
        <v>179953.35604529973</v>
      </c>
      <c r="O126" s="84">
        <f t="shared" si="237"/>
        <v>1348544.0930801141</v>
      </c>
      <c r="P126" s="84">
        <f t="shared" si="237"/>
        <v>713558.8585012207</v>
      </c>
      <c r="Q126" s="84">
        <f t="shared" si="237"/>
        <v>1482006.8599640736</v>
      </c>
      <c r="R126" s="84">
        <f t="shared" si="237"/>
        <v>0</v>
      </c>
      <c r="S126" s="84">
        <f t="shared" si="237"/>
        <v>0</v>
      </c>
      <c r="T126" s="84">
        <f t="shared" si="237"/>
        <v>0</v>
      </c>
      <c r="U126" s="84">
        <f t="shared" si="237"/>
        <v>0</v>
      </c>
      <c r="V126" s="84">
        <f t="shared" si="237"/>
        <v>0</v>
      </c>
      <c r="W126" s="84">
        <f t="shared" si="237"/>
        <v>0</v>
      </c>
      <c r="X126" s="84">
        <f t="shared" si="237"/>
        <v>0</v>
      </c>
      <c r="Y126" s="84">
        <f t="shared" si="237"/>
        <v>0</v>
      </c>
      <c r="Z126" s="84">
        <f t="shared" si="237"/>
        <v>0</v>
      </c>
      <c r="AA126" s="84">
        <f t="shared" si="237"/>
        <v>0</v>
      </c>
      <c r="AB126" s="84">
        <f t="shared" si="237"/>
        <v>0</v>
      </c>
      <c r="AC126" s="84">
        <f t="shared" si="237"/>
        <v>0</v>
      </c>
      <c r="AD126" s="84">
        <f t="shared" si="237"/>
        <v>0</v>
      </c>
      <c r="AE126" s="84">
        <f t="shared" si="237"/>
        <v>0</v>
      </c>
      <c r="AF126" s="84">
        <f t="shared" si="237"/>
        <v>0</v>
      </c>
      <c r="AG126" s="84">
        <f t="shared" si="237"/>
        <v>0</v>
      </c>
      <c r="AH126" s="84">
        <f t="shared" si="237"/>
        <v>0</v>
      </c>
      <c r="AI126" s="84">
        <f t="shared" si="237"/>
        <v>0</v>
      </c>
      <c r="AJ126" s="84">
        <f t="shared" ref="AJ126:BA126" si="238">AJ$6*AnnMiles*FuelC2*(EXP((AJ32+0.75*AnnMiles)*FuelC1)+EXP((AJ33+0.25*AnnMiles)*FuelC1))/2</f>
        <v>0</v>
      </c>
      <c r="AK126" s="84">
        <f t="shared" si="238"/>
        <v>0</v>
      </c>
      <c r="AL126" s="84">
        <f t="shared" si="238"/>
        <v>0</v>
      </c>
      <c r="AM126" s="84">
        <f t="shared" si="238"/>
        <v>0</v>
      </c>
      <c r="AN126" s="84">
        <f t="shared" si="238"/>
        <v>0</v>
      </c>
      <c r="AO126" s="84">
        <f t="shared" si="238"/>
        <v>0</v>
      </c>
      <c r="AP126" s="84">
        <f t="shared" si="238"/>
        <v>0</v>
      </c>
      <c r="AQ126" s="84">
        <f t="shared" si="238"/>
        <v>0</v>
      </c>
      <c r="AR126" s="84">
        <f t="shared" si="238"/>
        <v>0</v>
      </c>
      <c r="AS126" s="84">
        <f t="shared" si="238"/>
        <v>0</v>
      </c>
      <c r="AT126" s="84">
        <f t="shared" si="238"/>
        <v>0</v>
      </c>
      <c r="AU126" s="84">
        <f t="shared" si="238"/>
        <v>0</v>
      </c>
      <c r="AV126" s="84">
        <f t="shared" si="238"/>
        <v>0</v>
      </c>
      <c r="AW126" s="84">
        <f t="shared" si="238"/>
        <v>0</v>
      </c>
      <c r="AX126" s="84">
        <f t="shared" si="238"/>
        <v>0</v>
      </c>
      <c r="AY126" s="84">
        <f t="shared" si="238"/>
        <v>0</v>
      </c>
      <c r="AZ126" s="84">
        <f t="shared" si="238"/>
        <v>0</v>
      </c>
      <c r="BA126" s="84">
        <f t="shared" si="238"/>
        <v>0</v>
      </c>
      <c r="BB126" s="84"/>
      <c r="BC126" s="85">
        <f t="shared" si="189"/>
        <v>22121191.289639857</v>
      </c>
    </row>
    <row r="127" spans="1:55" x14ac:dyDescent="0.2">
      <c r="A127" s="52"/>
      <c r="B127" s="7"/>
      <c r="C127" s="7">
        <f t="shared" si="192"/>
        <v>26</v>
      </c>
      <c r="D127" s="84">
        <f t="shared" ref="D127:AI127" si="239">D$6*AnnMiles*FuelC2*(EXP((D33+0.75*AnnMiles)*FuelC1)+EXP((D34+0.25*AnnMiles)*FuelC1))/2</f>
        <v>2366978.9421364618</v>
      </c>
      <c r="E127" s="84">
        <f t="shared" si="239"/>
        <v>749805.65018874884</v>
      </c>
      <c r="F127" s="84">
        <f t="shared" si="239"/>
        <v>3071610.8490533601</v>
      </c>
      <c r="G127" s="84">
        <f t="shared" si="239"/>
        <v>600576.16695986839</v>
      </c>
      <c r="H127" s="84">
        <f t="shared" si="239"/>
        <v>4082624.0909636854</v>
      </c>
      <c r="I127" s="84">
        <f t="shared" si="239"/>
        <v>919204.10147041176</v>
      </c>
      <c r="J127" s="84">
        <f t="shared" si="239"/>
        <v>1378806.1522056176</v>
      </c>
      <c r="K127" s="84">
        <f t="shared" si="239"/>
        <v>3963802.7019351316</v>
      </c>
      <c r="L127" s="84">
        <f t="shared" si="239"/>
        <v>234957.88471870645</v>
      </c>
      <c r="M127" s="84">
        <f t="shared" si="239"/>
        <v>876553.66050207417</v>
      </c>
      <c r="N127" s="84">
        <f t="shared" si="239"/>
        <v>157798.59614243079</v>
      </c>
      <c r="O127" s="84">
        <f t="shared" si="239"/>
        <v>1378806.1522056176</v>
      </c>
      <c r="P127" s="84">
        <f t="shared" si="239"/>
        <v>729571.50538187986</v>
      </c>
      <c r="Q127" s="84">
        <f t="shared" si="239"/>
        <v>1515263.8957931353</v>
      </c>
      <c r="R127" s="84">
        <f t="shared" si="239"/>
        <v>0</v>
      </c>
      <c r="S127" s="84">
        <f t="shared" si="239"/>
        <v>0</v>
      </c>
      <c r="T127" s="84">
        <f t="shared" si="239"/>
        <v>0</v>
      </c>
      <c r="U127" s="84">
        <f t="shared" si="239"/>
        <v>0</v>
      </c>
      <c r="V127" s="84">
        <f t="shared" si="239"/>
        <v>0</v>
      </c>
      <c r="W127" s="84">
        <f t="shared" si="239"/>
        <v>0</v>
      </c>
      <c r="X127" s="84">
        <f t="shared" si="239"/>
        <v>0</v>
      </c>
      <c r="Y127" s="84">
        <f t="shared" si="239"/>
        <v>0</v>
      </c>
      <c r="Z127" s="84">
        <f t="shared" si="239"/>
        <v>0</v>
      </c>
      <c r="AA127" s="84">
        <f t="shared" si="239"/>
        <v>0</v>
      </c>
      <c r="AB127" s="84">
        <f t="shared" si="239"/>
        <v>0</v>
      </c>
      <c r="AC127" s="84">
        <f t="shared" si="239"/>
        <v>0</v>
      </c>
      <c r="AD127" s="84">
        <f t="shared" si="239"/>
        <v>0</v>
      </c>
      <c r="AE127" s="84">
        <f t="shared" si="239"/>
        <v>0</v>
      </c>
      <c r="AF127" s="84">
        <f t="shared" si="239"/>
        <v>0</v>
      </c>
      <c r="AG127" s="84">
        <f t="shared" si="239"/>
        <v>0</v>
      </c>
      <c r="AH127" s="84">
        <f t="shared" si="239"/>
        <v>0</v>
      </c>
      <c r="AI127" s="84">
        <f t="shared" si="239"/>
        <v>0</v>
      </c>
      <c r="AJ127" s="84">
        <f t="shared" ref="AJ127:BA127" si="240">AJ$6*AnnMiles*FuelC2*(EXP((AJ33+0.75*AnnMiles)*FuelC1)+EXP((AJ34+0.25*AnnMiles)*FuelC1))/2</f>
        <v>0</v>
      </c>
      <c r="AK127" s="84">
        <f t="shared" si="240"/>
        <v>0</v>
      </c>
      <c r="AL127" s="84">
        <f t="shared" si="240"/>
        <v>0</v>
      </c>
      <c r="AM127" s="84">
        <f t="shared" si="240"/>
        <v>0</v>
      </c>
      <c r="AN127" s="84">
        <f t="shared" si="240"/>
        <v>0</v>
      </c>
      <c r="AO127" s="84">
        <f t="shared" si="240"/>
        <v>0</v>
      </c>
      <c r="AP127" s="84">
        <f t="shared" si="240"/>
        <v>0</v>
      </c>
      <c r="AQ127" s="84">
        <f t="shared" si="240"/>
        <v>0</v>
      </c>
      <c r="AR127" s="84">
        <f t="shared" si="240"/>
        <v>0</v>
      </c>
      <c r="AS127" s="84">
        <f t="shared" si="240"/>
        <v>0</v>
      </c>
      <c r="AT127" s="84">
        <f t="shared" si="240"/>
        <v>0</v>
      </c>
      <c r="AU127" s="84">
        <f t="shared" si="240"/>
        <v>0</v>
      </c>
      <c r="AV127" s="84">
        <f t="shared" si="240"/>
        <v>0</v>
      </c>
      <c r="AW127" s="84">
        <f t="shared" si="240"/>
        <v>0</v>
      </c>
      <c r="AX127" s="84">
        <f t="shared" si="240"/>
        <v>0</v>
      </c>
      <c r="AY127" s="84">
        <f t="shared" si="240"/>
        <v>0</v>
      </c>
      <c r="AZ127" s="84">
        <f t="shared" si="240"/>
        <v>0</v>
      </c>
      <c r="BA127" s="84">
        <f t="shared" si="240"/>
        <v>0</v>
      </c>
      <c r="BB127" s="84"/>
      <c r="BC127" s="85">
        <f t="shared" si="189"/>
        <v>22026360.349657126</v>
      </c>
    </row>
    <row r="128" spans="1:55" x14ac:dyDescent="0.2">
      <c r="A128" s="52"/>
      <c r="B128" s="7"/>
      <c r="C128" s="7">
        <f t="shared" si="192"/>
        <v>27</v>
      </c>
      <c r="D128" s="84">
        <f t="shared" ref="D128:AI128" si="241">D$6*AnnMiles*FuelC2*(EXP((D34+0.75*AnnMiles)*FuelC1)+EXP((D35+0.25*AnnMiles)*FuelC1))/2</f>
        <v>2022816.1396201712</v>
      </c>
      <c r="E128" s="84">
        <f t="shared" si="241"/>
        <v>657494.15059346159</v>
      </c>
      <c r="F128" s="84">
        <f t="shared" si="241"/>
        <v>3140539.4585082289</v>
      </c>
      <c r="G128" s="84">
        <f t="shared" si="241"/>
        <v>614053.42110911617</v>
      </c>
      <c r="H128" s="84">
        <f t="shared" si="241"/>
        <v>4174240.384610977</v>
      </c>
      <c r="I128" s="84">
        <f t="shared" si="241"/>
        <v>939831.53887482581</v>
      </c>
      <c r="J128" s="84">
        <f t="shared" si="241"/>
        <v>1409747.3083122387</v>
      </c>
      <c r="K128" s="84">
        <f t="shared" si="241"/>
        <v>4052752.5793201672</v>
      </c>
      <c r="L128" s="84">
        <f t="shared" si="241"/>
        <v>240230.46678394737</v>
      </c>
      <c r="M128" s="84">
        <f t="shared" si="241"/>
        <v>896223.99893365148</v>
      </c>
      <c r="N128" s="84">
        <f t="shared" si="241"/>
        <v>134854.40930801141</v>
      </c>
      <c r="O128" s="84">
        <f t="shared" si="241"/>
        <v>1409747.3083122387</v>
      </c>
      <c r="P128" s="84">
        <f t="shared" si="241"/>
        <v>745943.48472274176</v>
      </c>
      <c r="Q128" s="84">
        <f t="shared" si="241"/>
        <v>1549267.237501079</v>
      </c>
      <c r="R128" s="84">
        <f t="shared" si="241"/>
        <v>0</v>
      </c>
      <c r="S128" s="84">
        <f t="shared" si="241"/>
        <v>0</v>
      </c>
      <c r="T128" s="84">
        <f t="shared" si="241"/>
        <v>0</v>
      </c>
      <c r="U128" s="84">
        <f t="shared" si="241"/>
        <v>0</v>
      </c>
      <c r="V128" s="84">
        <f t="shared" si="241"/>
        <v>0</v>
      </c>
      <c r="W128" s="84">
        <f t="shared" si="241"/>
        <v>0</v>
      </c>
      <c r="X128" s="84">
        <f t="shared" si="241"/>
        <v>0</v>
      </c>
      <c r="Y128" s="84">
        <f t="shared" si="241"/>
        <v>0</v>
      </c>
      <c r="Z128" s="84">
        <f t="shared" si="241"/>
        <v>0</v>
      </c>
      <c r="AA128" s="84">
        <f t="shared" si="241"/>
        <v>0</v>
      </c>
      <c r="AB128" s="84">
        <f t="shared" si="241"/>
        <v>0</v>
      </c>
      <c r="AC128" s="84">
        <f t="shared" si="241"/>
        <v>0</v>
      </c>
      <c r="AD128" s="84">
        <f t="shared" si="241"/>
        <v>0</v>
      </c>
      <c r="AE128" s="84">
        <f t="shared" si="241"/>
        <v>0</v>
      </c>
      <c r="AF128" s="84">
        <f t="shared" si="241"/>
        <v>0</v>
      </c>
      <c r="AG128" s="84">
        <f t="shared" si="241"/>
        <v>0</v>
      </c>
      <c r="AH128" s="84">
        <f t="shared" si="241"/>
        <v>0</v>
      </c>
      <c r="AI128" s="84">
        <f t="shared" si="241"/>
        <v>0</v>
      </c>
      <c r="AJ128" s="84">
        <f t="shared" ref="AJ128:BA128" si="242">AJ$6*AnnMiles*FuelC2*(EXP((AJ34+0.75*AnnMiles)*FuelC1)+EXP((AJ35+0.25*AnnMiles)*FuelC1))/2</f>
        <v>0</v>
      </c>
      <c r="AK128" s="84">
        <f t="shared" si="242"/>
        <v>0</v>
      </c>
      <c r="AL128" s="84">
        <f t="shared" si="242"/>
        <v>0</v>
      </c>
      <c r="AM128" s="84">
        <f t="shared" si="242"/>
        <v>0</v>
      </c>
      <c r="AN128" s="84">
        <f t="shared" si="242"/>
        <v>0</v>
      </c>
      <c r="AO128" s="84">
        <f t="shared" si="242"/>
        <v>0</v>
      </c>
      <c r="AP128" s="84">
        <f t="shared" si="242"/>
        <v>0</v>
      </c>
      <c r="AQ128" s="84">
        <f t="shared" si="242"/>
        <v>0</v>
      </c>
      <c r="AR128" s="84">
        <f t="shared" si="242"/>
        <v>0</v>
      </c>
      <c r="AS128" s="84">
        <f t="shared" si="242"/>
        <v>0</v>
      </c>
      <c r="AT128" s="84">
        <f t="shared" si="242"/>
        <v>0</v>
      </c>
      <c r="AU128" s="84">
        <f t="shared" si="242"/>
        <v>0</v>
      </c>
      <c r="AV128" s="84">
        <f t="shared" si="242"/>
        <v>0</v>
      </c>
      <c r="AW128" s="84">
        <f t="shared" si="242"/>
        <v>0</v>
      </c>
      <c r="AX128" s="84">
        <f t="shared" si="242"/>
        <v>0</v>
      </c>
      <c r="AY128" s="84">
        <f t="shared" si="242"/>
        <v>0</v>
      </c>
      <c r="AZ128" s="84">
        <f t="shared" si="242"/>
        <v>0</v>
      </c>
      <c r="BA128" s="84">
        <f t="shared" si="242"/>
        <v>0</v>
      </c>
      <c r="BB128" s="84"/>
      <c r="BC128" s="85">
        <f t="shared" si="189"/>
        <v>21987741.886510853</v>
      </c>
    </row>
    <row r="129" spans="1:55" x14ac:dyDescent="0.2">
      <c r="A129" s="52"/>
      <c r="B129" s="7"/>
      <c r="C129" s="7">
        <f t="shared" si="192"/>
        <v>28</v>
      </c>
      <c r="D129" s="84">
        <f t="shared" ref="D129:AI129" si="243">D$6*AnnMiles*FuelC2*(EXP((D35+0.75*AnnMiles)*FuelC1)+EXP((D36+0.25*AnnMiles)*FuelC1))/2</f>
        <v>2068209.2283084264</v>
      </c>
      <c r="E129" s="84">
        <f t="shared" si="243"/>
        <v>561893.37211671425</v>
      </c>
      <c r="F129" s="84">
        <f t="shared" si="243"/>
        <v>3211014.8632554924</v>
      </c>
      <c r="G129" s="84">
        <f t="shared" si="243"/>
        <v>627833.11213381146</v>
      </c>
      <c r="H129" s="84">
        <f t="shared" si="243"/>
        <v>4267912.5974599011</v>
      </c>
      <c r="I129" s="84">
        <f t="shared" si="243"/>
        <v>960921.86713578948</v>
      </c>
      <c r="J129" s="84">
        <f t="shared" si="243"/>
        <v>1441382.8007036841</v>
      </c>
      <c r="K129" s="84">
        <f t="shared" si="243"/>
        <v>4143698.5400831555</v>
      </c>
      <c r="L129" s="84">
        <f t="shared" si="243"/>
        <v>245621.3684436465</v>
      </c>
      <c r="M129" s="84">
        <f t="shared" si="243"/>
        <v>916335.75040295511</v>
      </c>
      <c r="N129" s="84">
        <f t="shared" si="243"/>
        <v>137880.61522056177</v>
      </c>
      <c r="O129" s="84">
        <f t="shared" si="243"/>
        <v>1441382.8007036841</v>
      </c>
      <c r="P129" s="84">
        <f t="shared" si="243"/>
        <v>762682.8601386426</v>
      </c>
      <c r="Q129" s="84">
        <f t="shared" si="243"/>
        <v>1584033.6325956422</v>
      </c>
      <c r="R129" s="84">
        <f t="shared" si="243"/>
        <v>0</v>
      </c>
      <c r="S129" s="84">
        <f t="shared" si="243"/>
        <v>0</v>
      </c>
      <c r="T129" s="84">
        <f t="shared" si="243"/>
        <v>0</v>
      </c>
      <c r="U129" s="84">
        <f t="shared" si="243"/>
        <v>0</v>
      </c>
      <c r="V129" s="84">
        <f t="shared" si="243"/>
        <v>0</v>
      </c>
      <c r="W129" s="84">
        <f t="shared" si="243"/>
        <v>0</v>
      </c>
      <c r="X129" s="84">
        <f t="shared" si="243"/>
        <v>0</v>
      </c>
      <c r="Y129" s="84">
        <f t="shared" si="243"/>
        <v>0</v>
      </c>
      <c r="Z129" s="84">
        <f t="shared" si="243"/>
        <v>0</v>
      </c>
      <c r="AA129" s="84">
        <f t="shared" si="243"/>
        <v>0</v>
      </c>
      <c r="AB129" s="84">
        <f t="shared" si="243"/>
        <v>0</v>
      </c>
      <c r="AC129" s="84">
        <f t="shared" si="243"/>
        <v>0</v>
      </c>
      <c r="AD129" s="84">
        <f t="shared" si="243"/>
        <v>0</v>
      </c>
      <c r="AE129" s="84">
        <f t="shared" si="243"/>
        <v>0</v>
      </c>
      <c r="AF129" s="84">
        <f t="shared" si="243"/>
        <v>0</v>
      </c>
      <c r="AG129" s="84">
        <f t="shared" si="243"/>
        <v>0</v>
      </c>
      <c r="AH129" s="84">
        <f t="shared" si="243"/>
        <v>0</v>
      </c>
      <c r="AI129" s="84">
        <f t="shared" si="243"/>
        <v>0</v>
      </c>
      <c r="AJ129" s="84">
        <f t="shared" ref="AJ129:BA129" si="244">AJ$6*AnnMiles*FuelC2*(EXP((AJ35+0.75*AnnMiles)*FuelC1)+EXP((AJ36+0.25*AnnMiles)*FuelC1))/2</f>
        <v>0</v>
      </c>
      <c r="AK129" s="84">
        <f t="shared" si="244"/>
        <v>0</v>
      </c>
      <c r="AL129" s="84">
        <f t="shared" si="244"/>
        <v>0</v>
      </c>
      <c r="AM129" s="84">
        <f t="shared" si="244"/>
        <v>0</v>
      </c>
      <c r="AN129" s="84">
        <f t="shared" si="244"/>
        <v>0</v>
      </c>
      <c r="AO129" s="84">
        <f t="shared" si="244"/>
        <v>0</v>
      </c>
      <c r="AP129" s="84">
        <f t="shared" si="244"/>
        <v>0</v>
      </c>
      <c r="AQ129" s="84">
        <f t="shared" si="244"/>
        <v>0</v>
      </c>
      <c r="AR129" s="84">
        <f t="shared" si="244"/>
        <v>0</v>
      </c>
      <c r="AS129" s="84">
        <f t="shared" si="244"/>
        <v>0</v>
      </c>
      <c r="AT129" s="84">
        <f t="shared" si="244"/>
        <v>0</v>
      </c>
      <c r="AU129" s="84">
        <f t="shared" si="244"/>
        <v>0</v>
      </c>
      <c r="AV129" s="84">
        <f t="shared" si="244"/>
        <v>0</v>
      </c>
      <c r="AW129" s="84">
        <f t="shared" si="244"/>
        <v>0</v>
      </c>
      <c r="AX129" s="84">
        <f t="shared" si="244"/>
        <v>0</v>
      </c>
      <c r="AY129" s="84">
        <f t="shared" si="244"/>
        <v>0</v>
      </c>
      <c r="AZ129" s="84">
        <f t="shared" si="244"/>
        <v>0</v>
      </c>
      <c r="BA129" s="84">
        <f t="shared" si="244"/>
        <v>0</v>
      </c>
      <c r="BB129" s="84"/>
      <c r="BC129" s="85">
        <f t="shared" si="189"/>
        <v>22370803.408702109</v>
      </c>
    </row>
    <row r="130" spans="1:55" x14ac:dyDescent="0.2">
      <c r="A130" s="52"/>
      <c r="B130" s="7"/>
      <c r="C130" s="7">
        <f t="shared" si="192"/>
        <v>29</v>
      </c>
      <c r="D130" s="84">
        <f t="shared" ref="D130:AI130" si="245">D$6*AnnMiles*FuelC2*(EXP((D36+0.75*AnnMiles)*FuelC1)+EXP((D37+0.25*AnnMiles)*FuelC1))/2</f>
        <v>2114620.9624683582</v>
      </c>
      <c r="E130" s="84">
        <f t="shared" si="245"/>
        <v>574502.56341900735</v>
      </c>
      <c r="F130" s="84">
        <f t="shared" si="245"/>
        <v>3283071.7742184591</v>
      </c>
      <c r="G130" s="84">
        <f t="shared" si="245"/>
        <v>641922.02688108257</v>
      </c>
      <c r="H130" s="84">
        <f t="shared" si="245"/>
        <v>4363686.8654497722</v>
      </c>
      <c r="I130" s="84">
        <f t="shared" si="245"/>
        <v>982485.47377458599</v>
      </c>
      <c r="J130" s="84">
        <f t="shared" si="245"/>
        <v>1473728.2106618788</v>
      </c>
      <c r="K130" s="84">
        <f t="shared" si="245"/>
        <v>4236685.3774151457</v>
      </c>
      <c r="L130" s="84">
        <f t="shared" si="245"/>
        <v>251133.24485352458</v>
      </c>
      <c r="M130" s="84">
        <f t="shared" si="245"/>
        <v>936898.8204573947</v>
      </c>
      <c r="N130" s="84">
        <f t="shared" si="245"/>
        <v>140974.73083122386</v>
      </c>
      <c r="O130" s="84">
        <f t="shared" si="245"/>
        <v>1473728.2106618788</v>
      </c>
      <c r="P130" s="84">
        <f t="shared" si="245"/>
        <v>779797.87619629886</v>
      </c>
      <c r="Q130" s="84">
        <f t="shared" si="245"/>
        <v>1619580.2044076975</v>
      </c>
      <c r="R130" s="84">
        <f t="shared" si="245"/>
        <v>0</v>
      </c>
      <c r="S130" s="84">
        <f t="shared" si="245"/>
        <v>0</v>
      </c>
      <c r="T130" s="84">
        <f t="shared" si="245"/>
        <v>0</v>
      </c>
      <c r="U130" s="84">
        <f t="shared" si="245"/>
        <v>0</v>
      </c>
      <c r="V130" s="84">
        <f t="shared" si="245"/>
        <v>0</v>
      </c>
      <c r="W130" s="84">
        <f t="shared" si="245"/>
        <v>0</v>
      </c>
      <c r="X130" s="84">
        <f t="shared" si="245"/>
        <v>0</v>
      </c>
      <c r="Y130" s="84">
        <f t="shared" si="245"/>
        <v>0</v>
      </c>
      <c r="Z130" s="84">
        <f t="shared" si="245"/>
        <v>0</v>
      </c>
      <c r="AA130" s="84">
        <f t="shared" si="245"/>
        <v>0</v>
      </c>
      <c r="AB130" s="84">
        <f t="shared" si="245"/>
        <v>0</v>
      </c>
      <c r="AC130" s="84">
        <f t="shared" si="245"/>
        <v>0</v>
      </c>
      <c r="AD130" s="84">
        <f t="shared" si="245"/>
        <v>0</v>
      </c>
      <c r="AE130" s="84">
        <f t="shared" si="245"/>
        <v>0</v>
      </c>
      <c r="AF130" s="84">
        <f t="shared" si="245"/>
        <v>0</v>
      </c>
      <c r="AG130" s="84">
        <f t="shared" si="245"/>
        <v>0</v>
      </c>
      <c r="AH130" s="84">
        <f t="shared" si="245"/>
        <v>0</v>
      </c>
      <c r="AI130" s="84">
        <f t="shared" si="245"/>
        <v>0</v>
      </c>
      <c r="AJ130" s="84">
        <f t="shared" ref="AJ130:BA130" si="246">AJ$6*AnnMiles*FuelC2*(EXP((AJ36+0.75*AnnMiles)*FuelC1)+EXP((AJ37+0.25*AnnMiles)*FuelC1))/2</f>
        <v>0</v>
      </c>
      <c r="AK130" s="84">
        <f t="shared" si="246"/>
        <v>0</v>
      </c>
      <c r="AL130" s="84">
        <f t="shared" si="246"/>
        <v>0</v>
      </c>
      <c r="AM130" s="84">
        <f t="shared" si="246"/>
        <v>0</v>
      </c>
      <c r="AN130" s="84">
        <f t="shared" si="246"/>
        <v>0</v>
      </c>
      <c r="AO130" s="84">
        <f t="shared" si="246"/>
        <v>0</v>
      </c>
      <c r="AP130" s="84">
        <f t="shared" si="246"/>
        <v>0</v>
      </c>
      <c r="AQ130" s="84">
        <f t="shared" si="246"/>
        <v>0</v>
      </c>
      <c r="AR130" s="84">
        <f t="shared" si="246"/>
        <v>0</v>
      </c>
      <c r="AS130" s="84">
        <f t="shared" si="246"/>
        <v>0</v>
      </c>
      <c r="AT130" s="84">
        <f t="shared" si="246"/>
        <v>0</v>
      </c>
      <c r="AU130" s="84">
        <f t="shared" si="246"/>
        <v>0</v>
      </c>
      <c r="AV130" s="84">
        <f t="shared" si="246"/>
        <v>0</v>
      </c>
      <c r="AW130" s="84">
        <f t="shared" si="246"/>
        <v>0</v>
      </c>
      <c r="AX130" s="84">
        <f t="shared" si="246"/>
        <v>0</v>
      </c>
      <c r="AY130" s="84">
        <f t="shared" si="246"/>
        <v>0</v>
      </c>
      <c r="AZ130" s="84">
        <f t="shared" si="246"/>
        <v>0</v>
      </c>
      <c r="BA130" s="84">
        <f t="shared" si="246"/>
        <v>0</v>
      </c>
      <c r="BB130" s="84"/>
      <c r="BC130" s="85">
        <f t="shared" si="189"/>
        <v>22872816.341696307</v>
      </c>
    </row>
    <row r="131" spans="1:55" x14ac:dyDescent="0.2">
      <c r="A131" s="88"/>
      <c r="B131" s="67"/>
      <c r="C131" s="67">
        <f t="shared" si="192"/>
        <v>30</v>
      </c>
      <c r="D131" s="89">
        <f t="shared" ref="D131:AI131" si="247">D$6*AnnMiles*FuelC2*(EXP((D37+0.75*AnnMiles)*FuelC1)+EXP((D38+0.25*AnnMiles)*FuelC1))/2</f>
        <v>2162074.2010555263</v>
      </c>
      <c r="E131" s="89">
        <f t="shared" si="247"/>
        <v>587394.71179676615</v>
      </c>
      <c r="F131" s="89">
        <f t="shared" si="247"/>
        <v>3356745.6812523375</v>
      </c>
      <c r="G131" s="89">
        <f t="shared" si="247"/>
        <v>656327.10449858126</v>
      </c>
      <c r="H131" s="89">
        <f t="shared" si="247"/>
        <v>4461610.3598353425</v>
      </c>
      <c r="I131" s="89">
        <f t="shared" si="247"/>
        <v>1004532.9794140983</v>
      </c>
      <c r="J131" s="89">
        <f t="shared" si="247"/>
        <v>1506799.4691211474</v>
      </c>
      <c r="K131" s="89">
        <f t="shared" si="247"/>
        <v>4331758.8896906367</v>
      </c>
      <c r="L131" s="89">
        <f t="shared" si="247"/>
        <v>256768.81075243306</v>
      </c>
      <c r="M131" s="89">
        <f t="shared" si="247"/>
        <v>957923.3369302213</v>
      </c>
      <c r="N131" s="89">
        <f t="shared" si="247"/>
        <v>144138.2800703684</v>
      </c>
      <c r="O131" s="89">
        <f t="shared" si="247"/>
        <v>1506799.4691211474</v>
      </c>
      <c r="P131" s="89">
        <f t="shared" si="247"/>
        <v>683793.91661720013</v>
      </c>
      <c r="Q131" s="89">
        <f t="shared" si="247"/>
        <v>1420187.3652818771</v>
      </c>
      <c r="R131" s="89">
        <f t="shared" si="247"/>
        <v>0</v>
      </c>
      <c r="S131" s="89">
        <f t="shared" si="247"/>
        <v>0</v>
      </c>
      <c r="T131" s="89">
        <f t="shared" si="247"/>
        <v>0</v>
      </c>
      <c r="U131" s="89">
        <f t="shared" si="247"/>
        <v>0</v>
      </c>
      <c r="V131" s="89">
        <f t="shared" si="247"/>
        <v>0</v>
      </c>
      <c r="W131" s="89">
        <f t="shared" si="247"/>
        <v>0</v>
      </c>
      <c r="X131" s="89">
        <f t="shared" si="247"/>
        <v>0</v>
      </c>
      <c r="Y131" s="89">
        <f t="shared" si="247"/>
        <v>0</v>
      </c>
      <c r="Z131" s="89">
        <f t="shared" si="247"/>
        <v>0</v>
      </c>
      <c r="AA131" s="89">
        <f t="shared" si="247"/>
        <v>0</v>
      </c>
      <c r="AB131" s="89">
        <f t="shared" si="247"/>
        <v>0</v>
      </c>
      <c r="AC131" s="89">
        <f t="shared" si="247"/>
        <v>0</v>
      </c>
      <c r="AD131" s="89">
        <f t="shared" si="247"/>
        <v>0</v>
      </c>
      <c r="AE131" s="89">
        <f t="shared" si="247"/>
        <v>0</v>
      </c>
      <c r="AF131" s="89">
        <f t="shared" si="247"/>
        <v>0</v>
      </c>
      <c r="AG131" s="89">
        <f t="shared" si="247"/>
        <v>0</v>
      </c>
      <c r="AH131" s="89">
        <f t="shared" si="247"/>
        <v>0</v>
      </c>
      <c r="AI131" s="89">
        <f t="shared" si="247"/>
        <v>0</v>
      </c>
      <c r="AJ131" s="89">
        <f t="shared" ref="AJ131:BA131" si="248">AJ$6*AnnMiles*FuelC2*(EXP((AJ37+0.75*AnnMiles)*FuelC1)+EXP((AJ38+0.25*AnnMiles)*FuelC1))/2</f>
        <v>0</v>
      </c>
      <c r="AK131" s="89">
        <f t="shared" si="248"/>
        <v>0</v>
      </c>
      <c r="AL131" s="89">
        <f t="shared" si="248"/>
        <v>0</v>
      </c>
      <c r="AM131" s="89">
        <f t="shared" si="248"/>
        <v>0</v>
      </c>
      <c r="AN131" s="89">
        <f t="shared" si="248"/>
        <v>0</v>
      </c>
      <c r="AO131" s="89">
        <f t="shared" si="248"/>
        <v>0</v>
      </c>
      <c r="AP131" s="89">
        <f t="shared" si="248"/>
        <v>0</v>
      </c>
      <c r="AQ131" s="89">
        <f t="shared" si="248"/>
        <v>0</v>
      </c>
      <c r="AR131" s="89">
        <f t="shared" si="248"/>
        <v>0</v>
      </c>
      <c r="AS131" s="89">
        <f t="shared" si="248"/>
        <v>0</v>
      </c>
      <c r="AT131" s="89">
        <f t="shared" si="248"/>
        <v>0</v>
      </c>
      <c r="AU131" s="89">
        <f t="shared" si="248"/>
        <v>0</v>
      </c>
      <c r="AV131" s="89">
        <f t="shared" si="248"/>
        <v>0</v>
      </c>
      <c r="AW131" s="89">
        <f t="shared" si="248"/>
        <v>0</v>
      </c>
      <c r="AX131" s="89">
        <f t="shared" si="248"/>
        <v>0</v>
      </c>
      <c r="AY131" s="89">
        <f t="shared" si="248"/>
        <v>0</v>
      </c>
      <c r="AZ131" s="89">
        <f t="shared" si="248"/>
        <v>0</v>
      </c>
      <c r="BA131" s="89">
        <f t="shared" si="248"/>
        <v>0</v>
      </c>
      <c r="BB131" s="89"/>
      <c r="BC131" s="90">
        <f t="shared" si="189"/>
        <v>23036854.575437684</v>
      </c>
    </row>
    <row r="132" spans="1:55" x14ac:dyDescent="0.2">
      <c r="A132" s="52" t="s">
        <v>24</v>
      </c>
      <c r="B132" s="7"/>
      <c r="C132" s="7">
        <v>1</v>
      </c>
      <c r="D132" s="84">
        <f t="shared" ref="D132:AI132" si="249">+D$6*AnnMiles*MaintC2*(EXP((D7+0.75*AnnMiles)*MaintC1)+EXP((D9+0.25*AnnMiles)*MaintC1))/2</f>
        <v>5290102.811808249</v>
      </c>
      <c r="E132" s="84">
        <f t="shared" si="249"/>
        <v>1408506.6580085135</v>
      </c>
      <c r="F132" s="84">
        <f t="shared" si="249"/>
        <v>10143916.287780724</v>
      </c>
      <c r="G132" s="84">
        <f t="shared" si="249"/>
        <v>1771813.7781868197</v>
      </c>
      <c r="H132" s="84">
        <f t="shared" si="249"/>
        <v>13142654.543359555</v>
      </c>
      <c r="I132" s="84">
        <f t="shared" si="249"/>
        <v>2661866.4364800374</v>
      </c>
      <c r="J132" s="84">
        <f t="shared" si="249"/>
        <v>3988776.9404566986</v>
      </c>
      <c r="K132" s="84">
        <f t="shared" si="249"/>
        <v>11537865.104739223</v>
      </c>
      <c r="L132" s="84">
        <f t="shared" si="249"/>
        <v>687438.60411787801</v>
      </c>
      <c r="M132" s="84">
        <f t="shared" si="249"/>
        <v>2423236.3867397248</v>
      </c>
      <c r="N132" s="84">
        <f t="shared" si="249"/>
        <v>359150.29097084078</v>
      </c>
      <c r="O132" s="84">
        <f t="shared" si="249"/>
        <v>3826980.1235858714</v>
      </c>
      <c r="P132" s="84">
        <f t="shared" si="249"/>
        <v>1309142.8479278821</v>
      </c>
      <c r="Q132" s="84">
        <f t="shared" si="249"/>
        <v>2698194.746656152</v>
      </c>
      <c r="R132" s="84">
        <f t="shared" si="249"/>
        <v>0</v>
      </c>
      <c r="S132" s="84">
        <f t="shared" si="249"/>
        <v>0</v>
      </c>
      <c r="T132" s="84">
        <f t="shared" si="249"/>
        <v>0</v>
      </c>
      <c r="U132" s="84">
        <f t="shared" si="249"/>
        <v>0</v>
      </c>
      <c r="V132" s="84">
        <f t="shared" si="249"/>
        <v>0</v>
      </c>
      <c r="W132" s="84">
        <f t="shared" si="249"/>
        <v>0</v>
      </c>
      <c r="X132" s="84">
        <f t="shared" si="249"/>
        <v>0</v>
      </c>
      <c r="Y132" s="84">
        <f t="shared" si="249"/>
        <v>0</v>
      </c>
      <c r="Z132" s="84">
        <f t="shared" si="249"/>
        <v>0</v>
      </c>
      <c r="AA132" s="84">
        <f t="shared" si="249"/>
        <v>0</v>
      </c>
      <c r="AB132" s="84">
        <f t="shared" si="249"/>
        <v>0</v>
      </c>
      <c r="AC132" s="84">
        <f t="shared" si="249"/>
        <v>0</v>
      </c>
      <c r="AD132" s="84">
        <f t="shared" si="249"/>
        <v>0</v>
      </c>
      <c r="AE132" s="84">
        <f t="shared" si="249"/>
        <v>0</v>
      </c>
      <c r="AF132" s="84">
        <f t="shared" si="249"/>
        <v>0</v>
      </c>
      <c r="AG132" s="84">
        <f t="shared" si="249"/>
        <v>0</v>
      </c>
      <c r="AH132" s="84">
        <f t="shared" si="249"/>
        <v>0</v>
      </c>
      <c r="AI132" s="84">
        <f t="shared" si="249"/>
        <v>0</v>
      </c>
      <c r="AJ132" s="84">
        <f t="shared" ref="AJ132:BA132" si="250">+AJ$6*AnnMiles*MaintC2*(EXP((AJ7+0.75*AnnMiles)*MaintC1)+EXP((AJ9+0.25*AnnMiles)*MaintC1))/2</f>
        <v>0</v>
      </c>
      <c r="AK132" s="84">
        <f t="shared" si="250"/>
        <v>0</v>
      </c>
      <c r="AL132" s="84">
        <f t="shared" si="250"/>
        <v>0</v>
      </c>
      <c r="AM132" s="84">
        <f t="shared" si="250"/>
        <v>0</v>
      </c>
      <c r="AN132" s="84">
        <f t="shared" si="250"/>
        <v>0</v>
      </c>
      <c r="AO132" s="84">
        <f t="shared" si="250"/>
        <v>0</v>
      </c>
      <c r="AP132" s="84">
        <f t="shared" si="250"/>
        <v>0</v>
      </c>
      <c r="AQ132" s="84">
        <f t="shared" si="250"/>
        <v>0</v>
      </c>
      <c r="AR132" s="84">
        <f t="shared" si="250"/>
        <v>0</v>
      </c>
      <c r="AS132" s="84">
        <f t="shared" si="250"/>
        <v>0</v>
      </c>
      <c r="AT132" s="84">
        <f t="shared" si="250"/>
        <v>0</v>
      </c>
      <c r="AU132" s="84">
        <f t="shared" si="250"/>
        <v>0</v>
      </c>
      <c r="AV132" s="84">
        <f t="shared" si="250"/>
        <v>0</v>
      </c>
      <c r="AW132" s="84">
        <f t="shared" si="250"/>
        <v>0</v>
      </c>
      <c r="AX132" s="84">
        <f t="shared" si="250"/>
        <v>0</v>
      </c>
      <c r="AY132" s="84">
        <f t="shared" si="250"/>
        <v>0</v>
      </c>
      <c r="AZ132" s="84">
        <f t="shared" si="250"/>
        <v>0</v>
      </c>
      <c r="BA132" s="84">
        <f t="shared" si="250"/>
        <v>0</v>
      </c>
      <c r="BB132" s="84"/>
      <c r="BC132" s="85">
        <f>SUM(D132:BB132)</f>
        <v>61249645.560818166</v>
      </c>
    </row>
    <row r="133" spans="1:55" x14ac:dyDescent="0.2">
      <c r="A133" s="52"/>
      <c r="B133" s="7"/>
      <c r="C133" s="7">
        <f>1+C132</f>
        <v>2</v>
      </c>
      <c r="D133" s="84">
        <f t="shared" ref="D133:AI133" si="251">+D$6*AnnMiles*MaintC2*(EXP((D9+0.75*AnnMiles)*MaintC1)+EXP((D10+0.25*AnnMiles)*MaintC1))/2</f>
        <v>5531366.8902099645</v>
      </c>
      <c r="E133" s="84">
        <f t="shared" si="251"/>
        <v>1472743.98436228</v>
      </c>
      <c r="F133" s="84">
        <f t="shared" si="251"/>
        <v>10606546.732144246</v>
      </c>
      <c r="G133" s="84">
        <f t="shared" si="251"/>
        <v>1852620.3397038323</v>
      </c>
      <c r="H133" s="84">
        <f t="shared" si="251"/>
        <v>13742047.513393708</v>
      </c>
      <c r="I133" s="84">
        <f t="shared" si="251"/>
        <v>2783265.3535657902</v>
      </c>
      <c r="J133" s="84">
        <f t="shared" si="251"/>
        <v>4170691.8534034193</v>
      </c>
      <c r="K133" s="84">
        <f t="shared" si="251"/>
        <v>12064068.940514337</v>
      </c>
      <c r="L133" s="84">
        <f t="shared" si="251"/>
        <v>718790.40335135453</v>
      </c>
      <c r="M133" s="84">
        <f t="shared" si="251"/>
        <v>2533752.1771495556</v>
      </c>
      <c r="N133" s="84">
        <f t="shared" si="251"/>
        <v>375529.94691351405</v>
      </c>
      <c r="O133" s="84">
        <f t="shared" si="251"/>
        <v>4001516.0192810679</v>
      </c>
      <c r="P133" s="84">
        <f t="shared" si="251"/>
        <v>1368848.5198094379</v>
      </c>
      <c r="Q133" s="84">
        <f t="shared" si="251"/>
        <v>2821250.4777181782</v>
      </c>
      <c r="R133" s="84">
        <f t="shared" si="251"/>
        <v>0</v>
      </c>
      <c r="S133" s="84">
        <f t="shared" si="251"/>
        <v>0</v>
      </c>
      <c r="T133" s="84">
        <f t="shared" si="251"/>
        <v>0</v>
      </c>
      <c r="U133" s="84">
        <f t="shared" si="251"/>
        <v>0</v>
      </c>
      <c r="V133" s="84">
        <f t="shared" si="251"/>
        <v>0</v>
      </c>
      <c r="W133" s="84">
        <f t="shared" si="251"/>
        <v>0</v>
      </c>
      <c r="X133" s="84">
        <f t="shared" si="251"/>
        <v>0</v>
      </c>
      <c r="Y133" s="84">
        <f t="shared" si="251"/>
        <v>0</v>
      </c>
      <c r="Z133" s="84">
        <f t="shared" si="251"/>
        <v>0</v>
      </c>
      <c r="AA133" s="84">
        <f t="shared" si="251"/>
        <v>0</v>
      </c>
      <c r="AB133" s="84">
        <f t="shared" si="251"/>
        <v>0</v>
      </c>
      <c r="AC133" s="84">
        <f t="shared" si="251"/>
        <v>0</v>
      </c>
      <c r="AD133" s="84">
        <f t="shared" si="251"/>
        <v>0</v>
      </c>
      <c r="AE133" s="84">
        <f t="shared" si="251"/>
        <v>0</v>
      </c>
      <c r="AF133" s="84">
        <f t="shared" si="251"/>
        <v>0</v>
      </c>
      <c r="AG133" s="84">
        <f t="shared" si="251"/>
        <v>0</v>
      </c>
      <c r="AH133" s="84">
        <f t="shared" si="251"/>
        <v>0</v>
      </c>
      <c r="AI133" s="84">
        <f t="shared" si="251"/>
        <v>0</v>
      </c>
      <c r="AJ133" s="84">
        <f t="shared" ref="AJ133:BA133" si="252">+AJ$6*AnnMiles*MaintC2*(EXP((AJ9+0.75*AnnMiles)*MaintC1)+EXP((AJ10+0.25*AnnMiles)*MaintC1))/2</f>
        <v>0</v>
      </c>
      <c r="AK133" s="84">
        <f t="shared" si="252"/>
        <v>0</v>
      </c>
      <c r="AL133" s="84">
        <f t="shared" si="252"/>
        <v>0</v>
      </c>
      <c r="AM133" s="84">
        <f t="shared" si="252"/>
        <v>0</v>
      </c>
      <c r="AN133" s="84">
        <f t="shared" si="252"/>
        <v>0</v>
      </c>
      <c r="AO133" s="84">
        <f t="shared" si="252"/>
        <v>0</v>
      </c>
      <c r="AP133" s="84">
        <f t="shared" si="252"/>
        <v>0</v>
      </c>
      <c r="AQ133" s="84">
        <f t="shared" si="252"/>
        <v>0</v>
      </c>
      <c r="AR133" s="84">
        <f t="shared" si="252"/>
        <v>0</v>
      </c>
      <c r="AS133" s="84">
        <f t="shared" si="252"/>
        <v>0</v>
      </c>
      <c r="AT133" s="84">
        <f t="shared" si="252"/>
        <v>0</v>
      </c>
      <c r="AU133" s="84">
        <f t="shared" si="252"/>
        <v>0</v>
      </c>
      <c r="AV133" s="84">
        <f t="shared" si="252"/>
        <v>0</v>
      </c>
      <c r="AW133" s="84">
        <f t="shared" si="252"/>
        <v>0</v>
      </c>
      <c r="AX133" s="84">
        <f t="shared" si="252"/>
        <v>0</v>
      </c>
      <c r="AY133" s="84">
        <f t="shared" si="252"/>
        <v>0</v>
      </c>
      <c r="AZ133" s="84">
        <f t="shared" si="252"/>
        <v>0</v>
      </c>
      <c r="BA133" s="84">
        <f t="shared" si="252"/>
        <v>0</v>
      </c>
      <c r="BB133" s="84"/>
      <c r="BC133" s="85">
        <f t="shared" ref="BC133:BC161" si="253">SUM(D133:BB133)</f>
        <v>64043039.151520684</v>
      </c>
    </row>
    <row r="134" spans="1:55" x14ac:dyDescent="0.2">
      <c r="A134" s="52"/>
      <c r="B134" s="7"/>
      <c r="C134" s="7">
        <f t="shared" ref="C134:C161" si="254">1+C133</f>
        <v>3</v>
      </c>
      <c r="D134" s="84">
        <f t="shared" ref="D134:AI134" si="255">+D$6*AnnMiles*MaintC2*(EXP((D10+0.75*AnnMiles)*MaintC1)+EXP((D11+0.25*AnnMiles)*MaintC1))/2</f>
        <v>5783634.224615911</v>
      </c>
      <c r="E134" s="84">
        <f t="shared" si="255"/>
        <v>1539910.9625381506</v>
      </c>
      <c r="F134" s="84">
        <f t="shared" si="255"/>
        <v>8243268.2688658359</v>
      </c>
      <c r="G134" s="84">
        <f t="shared" si="255"/>
        <v>1937112.2210126829</v>
      </c>
      <c r="H134" s="84">
        <f t="shared" si="255"/>
        <v>14368776.812731886</v>
      </c>
      <c r="I134" s="84">
        <f t="shared" si="255"/>
        <v>2910200.8734155349</v>
      </c>
      <c r="J134" s="84">
        <f t="shared" si="255"/>
        <v>4360903.3033704888</v>
      </c>
      <c r="K134" s="84">
        <f t="shared" si="255"/>
        <v>12614271.191444326</v>
      </c>
      <c r="L134" s="84">
        <f t="shared" si="255"/>
        <v>751572.05436983157</v>
      </c>
      <c r="M134" s="84">
        <f t="shared" si="255"/>
        <v>2649308.2269400842</v>
      </c>
      <c r="N134" s="84">
        <f t="shared" si="255"/>
        <v>392656.62474519969</v>
      </c>
      <c r="O134" s="84">
        <f t="shared" si="255"/>
        <v>4184011.9194451608</v>
      </c>
      <c r="P134" s="84">
        <f t="shared" si="255"/>
        <v>1431277.169752914</v>
      </c>
      <c r="Q134" s="84">
        <f t="shared" si="255"/>
        <v>2949918.3733454114</v>
      </c>
      <c r="R134" s="84">
        <f t="shared" si="255"/>
        <v>0</v>
      </c>
      <c r="S134" s="84">
        <f t="shared" si="255"/>
        <v>0</v>
      </c>
      <c r="T134" s="84">
        <f t="shared" si="255"/>
        <v>0</v>
      </c>
      <c r="U134" s="84">
        <f t="shared" si="255"/>
        <v>0</v>
      </c>
      <c r="V134" s="84">
        <f t="shared" si="255"/>
        <v>0</v>
      </c>
      <c r="W134" s="84">
        <f t="shared" si="255"/>
        <v>0</v>
      </c>
      <c r="X134" s="84">
        <f t="shared" si="255"/>
        <v>0</v>
      </c>
      <c r="Y134" s="84">
        <f t="shared" si="255"/>
        <v>0</v>
      </c>
      <c r="Z134" s="84">
        <f t="shared" si="255"/>
        <v>0</v>
      </c>
      <c r="AA134" s="84">
        <f t="shared" si="255"/>
        <v>0</v>
      </c>
      <c r="AB134" s="84">
        <f t="shared" si="255"/>
        <v>0</v>
      </c>
      <c r="AC134" s="84">
        <f t="shared" si="255"/>
        <v>0</v>
      </c>
      <c r="AD134" s="84">
        <f t="shared" si="255"/>
        <v>0</v>
      </c>
      <c r="AE134" s="84">
        <f t="shared" si="255"/>
        <v>0</v>
      </c>
      <c r="AF134" s="84">
        <f t="shared" si="255"/>
        <v>0</v>
      </c>
      <c r="AG134" s="84">
        <f t="shared" si="255"/>
        <v>0</v>
      </c>
      <c r="AH134" s="84">
        <f t="shared" si="255"/>
        <v>0</v>
      </c>
      <c r="AI134" s="84">
        <f t="shared" si="255"/>
        <v>0</v>
      </c>
      <c r="AJ134" s="84">
        <f t="shared" ref="AJ134:BA134" si="256">+AJ$6*AnnMiles*MaintC2*(EXP((AJ10+0.75*AnnMiles)*MaintC1)+EXP((AJ11+0.25*AnnMiles)*MaintC1))/2</f>
        <v>0</v>
      </c>
      <c r="AK134" s="84">
        <f t="shared" si="256"/>
        <v>0</v>
      </c>
      <c r="AL134" s="84">
        <f t="shared" si="256"/>
        <v>0</v>
      </c>
      <c r="AM134" s="84">
        <f t="shared" si="256"/>
        <v>0</v>
      </c>
      <c r="AN134" s="84">
        <f t="shared" si="256"/>
        <v>0</v>
      </c>
      <c r="AO134" s="84">
        <f t="shared" si="256"/>
        <v>0</v>
      </c>
      <c r="AP134" s="84">
        <f t="shared" si="256"/>
        <v>0</v>
      </c>
      <c r="AQ134" s="84">
        <f t="shared" si="256"/>
        <v>0</v>
      </c>
      <c r="AR134" s="84">
        <f t="shared" si="256"/>
        <v>0</v>
      </c>
      <c r="AS134" s="84">
        <f t="shared" si="256"/>
        <v>0</v>
      </c>
      <c r="AT134" s="84">
        <f t="shared" si="256"/>
        <v>0</v>
      </c>
      <c r="AU134" s="84">
        <f t="shared" si="256"/>
        <v>0</v>
      </c>
      <c r="AV134" s="84">
        <f t="shared" si="256"/>
        <v>0</v>
      </c>
      <c r="AW134" s="84">
        <f t="shared" si="256"/>
        <v>0</v>
      </c>
      <c r="AX134" s="84">
        <f t="shared" si="256"/>
        <v>0</v>
      </c>
      <c r="AY134" s="84">
        <f t="shared" si="256"/>
        <v>0</v>
      </c>
      <c r="AZ134" s="84">
        <f t="shared" si="256"/>
        <v>0</v>
      </c>
      <c r="BA134" s="84">
        <f t="shared" si="256"/>
        <v>0</v>
      </c>
      <c r="BB134" s="84"/>
      <c r="BC134" s="85">
        <f t="shared" si="253"/>
        <v>64116822.226593427</v>
      </c>
    </row>
    <row r="135" spans="1:55" x14ac:dyDescent="0.2">
      <c r="A135" s="52"/>
      <c r="B135" s="7"/>
      <c r="C135" s="7">
        <f t="shared" si="254"/>
        <v>4</v>
      </c>
      <c r="D135" s="84">
        <f t="shared" ref="D135:AI135" si="257">+D$6*AnnMiles*MaintC2*(EXP((D11+0.75*AnnMiles)*MaintC1)+EXP((D12+0.25*AnnMiles)*MaintC1))/2</f>
        <v>6047406.6371104075</v>
      </c>
      <c r="E135" s="84">
        <f t="shared" si="257"/>
        <v>1610141.2042582489</v>
      </c>
      <c r="F135" s="84">
        <f t="shared" si="257"/>
        <v>5708010.9916703403</v>
      </c>
      <c r="G135" s="84">
        <f t="shared" si="257"/>
        <v>2025457.4973502471</v>
      </c>
      <c r="H135" s="84">
        <f t="shared" si="257"/>
        <v>11178998.020290794</v>
      </c>
      <c r="I135" s="84">
        <f t="shared" si="257"/>
        <v>3042925.5021545496</v>
      </c>
      <c r="J135" s="84">
        <f t="shared" si="257"/>
        <v>4559789.6679489203</v>
      </c>
      <c r="K135" s="84">
        <f t="shared" si="257"/>
        <v>13189566.345806902</v>
      </c>
      <c r="L135" s="84">
        <f t="shared" si="257"/>
        <v>785848.7679802503</v>
      </c>
      <c r="M135" s="84">
        <f t="shared" si="257"/>
        <v>2770134.4056578283</v>
      </c>
      <c r="N135" s="84">
        <f t="shared" si="257"/>
        <v>410564.39366152766</v>
      </c>
      <c r="O135" s="84">
        <f t="shared" si="257"/>
        <v>4374830.8535334533</v>
      </c>
      <c r="P135" s="84">
        <f t="shared" si="257"/>
        <v>1496552.9837743465</v>
      </c>
      <c r="Q135" s="84">
        <f t="shared" si="257"/>
        <v>3084454.3857867643</v>
      </c>
      <c r="R135" s="84">
        <f t="shared" si="257"/>
        <v>0</v>
      </c>
      <c r="S135" s="84">
        <f t="shared" si="257"/>
        <v>0</v>
      </c>
      <c r="T135" s="84">
        <f t="shared" si="257"/>
        <v>0</v>
      </c>
      <c r="U135" s="84">
        <f t="shared" si="257"/>
        <v>0</v>
      </c>
      <c r="V135" s="84">
        <f t="shared" si="257"/>
        <v>0</v>
      </c>
      <c r="W135" s="84">
        <f t="shared" si="257"/>
        <v>0</v>
      </c>
      <c r="X135" s="84">
        <f t="shared" si="257"/>
        <v>0</v>
      </c>
      <c r="Y135" s="84">
        <f t="shared" si="257"/>
        <v>0</v>
      </c>
      <c r="Z135" s="84">
        <f t="shared" si="257"/>
        <v>0</v>
      </c>
      <c r="AA135" s="84">
        <f t="shared" si="257"/>
        <v>0</v>
      </c>
      <c r="AB135" s="84">
        <f t="shared" si="257"/>
        <v>0</v>
      </c>
      <c r="AC135" s="84">
        <f t="shared" si="257"/>
        <v>0</v>
      </c>
      <c r="AD135" s="84">
        <f t="shared" si="257"/>
        <v>0</v>
      </c>
      <c r="AE135" s="84">
        <f t="shared" si="257"/>
        <v>0</v>
      </c>
      <c r="AF135" s="84">
        <f t="shared" si="257"/>
        <v>0</v>
      </c>
      <c r="AG135" s="84">
        <f t="shared" si="257"/>
        <v>0</v>
      </c>
      <c r="AH135" s="84">
        <f t="shared" si="257"/>
        <v>0</v>
      </c>
      <c r="AI135" s="84">
        <f t="shared" si="257"/>
        <v>0</v>
      </c>
      <c r="AJ135" s="84">
        <f t="shared" ref="AJ135:BA135" si="258">+AJ$6*AnnMiles*MaintC2*(EXP((AJ11+0.75*AnnMiles)*MaintC1)+EXP((AJ12+0.25*AnnMiles)*MaintC1))/2</f>
        <v>0</v>
      </c>
      <c r="AK135" s="84">
        <f t="shared" si="258"/>
        <v>0</v>
      </c>
      <c r="AL135" s="84">
        <f t="shared" si="258"/>
        <v>0</v>
      </c>
      <c r="AM135" s="84">
        <f t="shared" si="258"/>
        <v>0</v>
      </c>
      <c r="AN135" s="84">
        <f t="shared" si="258"/>
        <v>0</v>
      </c>
      <c r="AO135" s="84">
        <f t="shared" si="258"/>
        <v>0</v>
      </c>
      <c r="AP135" s="84">
        <f t="shared" si="258"/>
        <v>0</v>
      </c>
      <c r="AQ135" s="84">
        <f t="shared" si="258"/>
        <v>0</v>
      </c>
      <c r="AR135" s="84">
        <f t="shared" si="258"/>
        <v>0</v>
      </c>
      <c r="AS135" s="84">
        <f t="shared" si="258"/>
        <v>0</v>
      </c>
      <c r="AT135" s="84">
        <f t="shared" si="258"/>
        <v>0</v>
      </c>
      <c r="AU135" s="84">
        <f t="shared" si="258"/>
        <v>0</v>
      </c>
      <c r="AV135" s="84">
        <f t="shared" si="258"/>
        <v>0</v>
      </c>
      <c r="AW135" s="84">
        <f t="shared" si="258"/>
        <v>0</v>
      </c>
      <c r="AX135" s="84">
        <f t="shared" si="258"/>
        <v>0</v>
      </c>
      <c r="AY135" s="84">
        <f t="shared" si="258"/>
        <v>0</v>
      </c>
      <c r="AZ135" s="84">
        <f t="shared" si="258"/>
        <v>0</v>
      </c>
      <c r="BA135" s="84">
        <f t="shared" si="258"/>
        <v>0</v>
      </c>
      <c r="BB135" s="84"/>
      <c r="BC135" s="85">
        <f t="shared" si="253"/>
        <v>60284681.65698459</v>
      </c>
    </row>
    <row r="136" spans="1:55" x14ac:dyDescent="0.2">
      <c r="A136" s="52"/>
      <c r="B136" s="7"/>
      <c r="C136" s="7">
        <f t="shared" si="254"/>
        <v>5</v>
      </c>
      <c r="D136" s="84">
        <f t="shared" ref="D136:AI136" si="259">+D$6*AnnMiles*MaintC2*(EXP((D12+0.75*AnnMiles)*MaintC1)+EXP((D13+0.25*AnnMiles)*MaintC1))/2</f>
        <v>6323208.8362219483</v>
      </c>
      <c r="E136" s="84">
        <f t="shared" si="259"/>
        <v>1683574.4148330749</v>
      </c>
      <c r="F136" s="84">
        <f t="shared" si="259"/>
        <v>5968334.4788317326</v>
      </c>
      <c r="G136" s="84">
        <f t="shared" si="259"/>
        <v>2117831.9093086068</v>
      </c>
      <c r="H136" s="84">
        <f t="shared" si="259"/>
        <v>7757040.5784237962</v>
      </c>
      <c r="I136" s="84">
        <f t="shared" si="259"/>
        <v>3181703.2618766613</v>
      </c>
      <c r="J136" s="84">
        <f t="shared" si="259"/>
        <v>4767746.5812791781</v>
      </c>
      <c r="K136" s="84">
        <f t="shared" si="259"/>
        <v>13791098.807867253</v>
      </c>
      <c r="L136" s="84">
        <f t="shared" si="259"/>
        <v>821688.72903860081</v>
      </c>
      <c r="M136" s="84">
        <f t="shared" si="259"/>
        <v>2896471.0664384286</v>
      </c>
      <c r="N136" s="84">
        <f t="shared" si="259"/>
        <v>429288.87664136779</v>
      </c>
      <c r="O136" s="84">
        <f t="shared" si="259"/>
        <v>4574352.407573035</v>
      </c>
      <c r="P136" s="84">
        <f t="shared" si="259"/>
        <v>1564805.8116028926</v>
      </c>
      <c r="Q136" s="84">
        <f t="shared" si="259"/>
        <v>3225126.1404259908</v>
      </c>
      <c r="R136" s="84">
        <f t="shared" si="259"/>
        <v>0</v>
      </c>
      <c r="S136" s="84">
        <f t="shared" si="259"/>
        <v>0</v>
      </c>
      <c r="T136" s="84">
        <f t="shared" si="259"/>
        <v>0</v>
      </c>
      <c r="U136" s="84">
        <f t="shared" si="259"/>
        <v>0</v>
      </c>
      <c r="V136" s="84">
        <f t="shared" si="259"/>
        <v>0</v>
      </c>
      <c r="W136" s="84">
        <f t="shared" si="259"/>
        <v>0</v>
      </c>
      <c r="X136" s="84">
        <f t="shared" si="259"/>
        <v>0</v>
      </c>
      <c r="Y136" s="84">
        <f t="shared" si="259"/>
        <v>0</v>
      </c>
      <c r="Z136" s="84">
        <f t="shared" si="259"/>
        <v>0</v>
      </c>
      <c r="AA136" s="84">
        <f t="shared" si="259"/>
        <v>0</v>
      </c>
      <c r="AB136" s="84">
        <f t="shared" si="259"/>
        <v>0</v>
      </c>
      <c r="AC136" s="84">
        <f t="shared" si="259"/>
        <v>0</v>
      </c>
      <c r="AD136" s="84">
        <f t="shared" si="259"/>
        <v>0</v>
      </c>
      <c r="AE136" s="84">
        <f t="shared" si="259"/>
        <v>0</v>
      </c>
      <c r="AF136" s="84">
        <f t="shared" si="259"/>
        <v>0</v>
      </c>
      <c r="AG136" s="84">
        <f t="shared" si="259"/>
        <v>0</v>
      </c>
      <c r="AH136" s="84">
        <f t="shared" si="259"/>
        <v>0</v>
      </c>
      <c r="AI136" s="84">
        <f t="shared" si="259"/>
        <v>0</v>
      </c>
      <c r="AJ136" s="84">
        <f t="shared" ref="AJ136:BA136" si="260">+AJ$6*AnnMiles*MaintC2*(EXP((AJ12+0.75*AnnMiles)*MaintC1)+EXP((AJ13+0.25*AnnMiles)*MaintC1))/2</f>
        <v>0</v>
      </c>
      <c r="AK136" s="84">
        <f t="shared" si="260"/>
        <v>0</v>
      </c>
      <c r="AL136" s="84">
        <f t="shared" si="260"/>
        <v>0</v>
      </c>
      <c r="AM136" s="84">
        <f t="shared" si="260"/>
        <v>0</v>
      </c>
      <c r="AN136" s="84">
        <f t="shared" si="260"/>
        <v>0</v>
      </c>
      <c r="AO136" s="84">
        <f t="shared" si="260"/>
        <v>0</v>
      </c>
      <c r="AP136" s="84">
        <f t="shared" si="260"/>
        <v>0</v>
      </c>
      <c r="AQ136" s="84">
        <f t="shared" si="260"/>
        <v>0</v>
      </c>
      <c r="AR136" s="84">
        <f t="shared" si="260"/>
        <v>0</v>
      </c>
      <c r="AS136" s="84">
        <f t="shared" si="260"/>
        <v>0</v>
      </c>
      <c r="AT136" s="84">
        <f t="shared" si="260"/>
        <v>0</v>
      </c>
      <c r="AU136" s="84">
        <f t="shared" si="260"/>
        <v>0</v>
      </c>
      <c r="AV136" s="84">
        <f t="shared" si="260"/>
        <v>0</v>
      </c>
      <c r="AW136" s="84">
        <f t="shared" si="260"/>
        <v>0</v>
      </c>
      <c r="AX136" s="84">
        <f t="shared" si="260"/>
        <v>0</v>
      </c>
      <c r="AY136" s="84">
        <f t="shared" si="260"/>
        <v>0</v>
      </c>
      <c r="AZ136" s="84">
        <f t="shared" si="260"/>
        <v>0</v>
      </c>
      <c r="BA136" s="84">
        <f t="shared" si="260"/>
        <v>0</v>
      </c>
      <c r="BB136" s="84"/>
      <c r="BC136" s="85">
        <f t="shared" si="253"/>
        <v>59102271.900362566</v>
      </c>
    </row>
    <row r="137" spans="1:55" x14ac:dyDescent="0.2">
      <c r="A137" s="52"/>
      <c r="B137" s="7"/>
      <c r="C137" s="7">
        <f t="shared" si="254"/>
        <v>6</v>
      </c>
      <c r="D137" s="84">
        <f t="shared" ref="D137:AI137" si="261">+D$6*AnnMiles*MaintC2*(EXP((D13+0.75*AnnMiles)*MaintC1)+EXP((D14+0.25*AnnMiles)*MaintC1))/2</f>
        <v>6611589.4606981687</v>
      </c>
      <c r="E137" s="84">
        <f t="shared" si="261"/>
        <v>1760356.6710698998</v>
      </c>
      <c r="F137" s="84">
        <f t="shared" si="261"/>
        <v>6240530.458542062</v>
      </c>
      <c r="G137" s="84">
        <f t="shared" si="261"/>
        <v>2214419.2124265279</v>
      </c>
      <c r="H137" s="84">
        <f t="shared" si="261"/>
        <v>8110813.5225149198</v>
      </c>
      <c r="I137" s="84">
        <f t="shared" si="261"/>
        <v>3326810.2158494554</v>
      </c>
      <c r="J137" s="84">
        <f t="shared" si="261"/>
        <v>4985187.721065281</v>
      </c>
      <c r="K137" s="84">
        <f t="shared" si="261"/>
        <v>14420065.174380979</v>
      </c>
      <c r="L137" s="84">
        <f t="shared" si="261"/>
        <v>859163.23208645603</v>
      </c>
      <c r="M137" s="84">
        <f t="shared" si="261"/>
        <v>3028569.5241284478</v>
      </c>
      <c r="N137" s="84">
        <f t="shared" si="261"/>
        <v>448867.32130973984</v>
      </c>
      <c r="O137" s="84">
        <f t="shared" si="261"/>
        <v>4782973.4792532157</v>
      </c>
      <c r="P137" s="84">
        <f t="shared" si="261"/>
        <v>1636171.4249840383</v>
      </c>
      <c r="Q137" s="84">
        <f t="shared" si="261"/>
        <v>3372213.4681547284</v>
      </c>
      <c r="R137" s="84">
        <f t="shared" si="261"/>
        <v>0</v>
      </c>
      <c r="S137" s="84">
        <f t="shared" si="261"/>
        <v>0</v>
      </c>
      <c r="T137" s="84">
        <f t="shared" si="261"/>
        <v>0</v>
      </c>
      <c r="U137" s="84">
        <f t="shared" si="261"/>
        <v>0</v>
      </c>
      <c r="V137" s="84">
        <f t="shared" si="261"/>
        <v>0</v>
      </c>
      <c r="W137" s="84">
        <f t="shared" si="261"/>
        <v>0</v>
      </c>
      <c r="X137" s="84">
        <f t="shared" si="261"/>
        <v>0</v>
      </c>
      <c r="Y137" s="84">
        <f t="shared" si="261"/>
        <v>0</v>
      </c>
      <c r="Z137" s="84">
        <f t="shared" si="261"/>
        <v>0</v>
      </c>
      <c r="AA137" s="84">
        <f t="shared" si="261"/>
        <v>0</v>
      </c>
      <c r="AB137" s="84">
        <f t="shared" si="261"/>
        <v>0</v>
      </c>
      <c r="AC137" s="84">
        <f t="shared" si="261"/>
        <v>0</v>
      </c>
      <c r="AD137" s="84">
        <f t="shared" si="261"/>
        <v>0</v>
      </c>
      <c r="AE137" s="84">
        <f t="shared" si="261"/>
        <v>0</v>
      </c>
      <c r="AF137" s="84">
        <f t="shared" si="261"/>
        <v>0</v>
      </c>
      <c r="AG137" s="84">
        <f t="shared" si="261"/>
        <v>0</v>
      </c>
      <c r="AH137" s="84">
        <f t="shared" si="261"/>
        <v>0</v>
      </c>
      <c r="AI137" s="84">
        <f t="shared" si="261"/>
        <v>0</v>
      </c>
      <c r="AJ137" s="84">
        <f t="shared" ref="AJ137:BA137" si="262">+AJ$6*AnnMiles*MaintC2*(EXP((AJ13+0.75*AnnMiles)*MaintC1)+EXP((AJ14+0.25*AnnMiles)*MaintC1))/2</f>
        <v>0</v>
      </c>
      <c r="AK137" s="84">
        <f t="shared" si="262"/>
        <v>0</v>
      </c>
      <c r="AL137" s="84">
        <f t="shared" si="262"/>
        <v>0</v>
      </c>
      <c r="AM137" s="84">
        <f t="shared" si="262"/>
        <v>0</v>
      </c>
      <c r="AN137" s="84">
        <f t="shared" si="262"/>
        <v>0</v>
      </c>
      <c r="AO137" s="84">
        <f t="shared" si="262"/>
        <v>0</v>
      </c>
      <c r="AP137" s="84">
        <f t="shared" si="262"/>
        <v>0</v>
      </c>
      <c r="AQ137" s="84">
        <f t="shared" si="262"/>
        <v>0</v>
      </c>
      <c r="AR137" s="84">
        <f t="shared" si="262"/>
        <v>0</v>
      </c>
      <c r="AS137" s="84">
        <f t="shared" si="262"/>
        <v>0</v>
      </c>
      <c r="AT137" s="84">
        <f t="shared" si="262"/>
        <v>0</v>
      </c>
      <c r="AU137" s="84">
        <f t="shared" si="262"/>
        <v>0</v>
      </c>
      <c r="AV137" s="84">
        <f t="shared" si="262"/>
        <v>0</v>
      </c>
      <c r="AW137" s="84">
        <f t="shared" si="262"/>
        <v>0</v>
      </c>
      <c r="AX137" s="84">
        <f t="shared" si="262"/>
        <v>0</v>
      </c>
      <c r="AY137" s="84">
        <f t="shared" si="262"/>
        <v>0</v>
      </c>
      <c r="AZ137" s="84">
        <f t="shared" si="262"/>
        <v>0</v>
      </c>
      <c r="BA137" s="84">
        <f t="shared" si="262"/>
        <v>0</v>
      </c>
      <c r="BB137" s="84"/>
      <c r="BC137" s="85">
        <f t="shared" si="253"/>
        <v>61797730.886463918</v>
      </c>
    </row>
    <row r="138" spans="1:55" x14ac:dyDescent="0.2">
      <c r="A138" s="52"/>
      <c r="B138" s="7"/>
      <c r="C138" s="7">
        <f t="shared" si="254"/>
        <v>7</v>
      </c>
      <c r="D138" s="84">
        <f t="shared" ref="D138:AI138" si="263">+D$6*AnnMiles*MaintC2*(EXP((D14+0.75*AnnMiles)*MaintC1)+EXP((D15+0.25*AnnMiles)*MaintC1))/2</f>
        <v>6913122.1708839275</v>
      </c>
      <c r="E138" s="84">
        <f t="shared" si="263"/>
        <v>1840640.7118556441</v>
      </c>
      <c r="F138" s="84">
        <f t="shared" si="263"/>
        <v>6525140.3958871812</v>
      </c>
      <c r="G138" s="84">
        <f t="shared" si="263"/>
        <v>1734532.0323245097</v>
      </c>
      <c r="H138" s="84">
        <f t="shared" si="263"/>
        <v>8480720.8795571625</v>
      </c>
      <c r="I138" s="84">
        <f t="shared" si="263"/>
        <v>3478535.0176723474</v>
      </c>
      <c r="J138" s="84">
        <f t="shared" si="263"/>
        <v>5212545.6314820061</v>
      </c>
      <c r="K138" s="84">
        <f t="shared" si="263"/>
        <v>11347048.810954455</v>
      </c>
      <c r="L138" s="84">
        <f t="shared" si="263"/>
        <v>898346.8231734361</v>
      </c>
      <c r="M138" s="84">
        <f t="shared" si="263"/>
        <v>3166692.5552127175</v>
      </c>
      <c r="N138" s="84">
        <f t="shared" si="263"/>
        <v>469338.67403254716</v>
      </c>
      <c r="O138" s="84">
        <f t="shared" si="263"/>
        <v>5001109.0674531423</v>
      </c>
      <c r="P138" s="84">
        <f t="shared" si="263"/>
        <v>1710791.7877631625</v>
      </c>
      <c r="Q138" s="84">
        <f t="shared" si="263"/>
        <v>3526008.9620253104</v>
      </c>
      <c r="R138" s="84">
        <f t="shared" si="263"/>
        <v>0</v>
      </c>
      <c r="S138" s="84">
        <f t="shared" si="263"/>
        <v>0</v>
      </c>
      <c r="T138" s="84">
        <f t="shared" si="263"/>
        <v>0</v>
      </c>
      <c r="U138" s="84">
        <f t="shared" si="263"/>
        <v>0</v>
      </c>
      <c r="V138" s="84">
        <f t="shared" si="263"/>
        <v>0</v>
      </c>
      <c r="W138" s="84">
        <f t="shared" si="263"/>
        <v>0</v>
      </c>
      <c r="X138" s="84">
        <f t="shared" si="263"/>
        <v>0</v>
      </c>
      <c r="Y138" s="84">
        <f t="shared" si="263"/>
        <v>0</v>
      </c>
      <c r="Z138" s="84">
        <f t="shared" si="263"/>
        <v>0</v>
      </c>
      <c r="AA138" s="84">
        <f t="shared" si="263"/>
        <v>0</v>
      </c>
      <c r="AB138" s="84">
        <f t="shared" si="263"/>
        <v>0</v>
      </c>
      <c r="AC138" s="84">
        <f t="shared" si="263"/>
        <v>0</v>
      </c>
      <c r="AD138" s="84">
        <f t="shared" si="263"/>
        <v>0</v>
      </c>
      <c r="AE138" s="84">
        <f t="shared" si="263"/>
        <v>0</v>
      </c>
      <c r="AF138" s="84">
        <f t="shared" si="263"/>
        <v>0</v>
      </c>
      <c r="AG138" s="84">
        <f t="shared" si="263"/>
        <v>0</v>
      </c>
      <c r="AH138" s="84">
        <f t="shared" si="263"/>
        <v>0</v>
      </c>
      <c r="AI138" s="84">
        <f t="shared" si="263"/>
        <v>0</v>
      </c>
      <c r="AJ138" s="84">
        <f t="shared" ref="AJ138:BA138" si="264">+AJ$6*AnnMiles*MaintC2*(EXP((AJ14+0.75*AnnMiles)*MaintC1)+EXP((AJ15+0.25*AnnMiles)*MaintC1))/2</f>
        <v>0</v>
      </c>
      <c r="AK138" s="84">
        <f t="shared" si="264"/>
        <v>0</v>
      </c>
      <c r="AL138" s="84">
        <f t="shared" si="264"/>
        <v>0</v>
      </c>
      <c r="AM138" s="84">
        <f t="shared" si="264"/>
        <v>0</v>
      </c>
      <c r="AN138" s="84">
        <f t="shared" si="264"/>
        <v>0</v>
      </c>
      <c r="AO138" s="84">
        <f t="shared" si="264"/>
        <v>0</v>
      </c>
      <c r="AP138" s="84">
        <f t="shared" si="264"/>
        <v>0</v>
      </c>
      <c r="AQ138" s="84">
        <f t="shared" si="264"/>
        <v>0</v>
      </c>
      <c r="AR138" s="84">
        <f t="shared" si="264"/>
        <v>0</v>
      </c>
      <c r="AS138" s="84">
        <f t="shared" si="264"/>
        <v>0</v>
      </c>
      <c r="AT138" s="84">
        <f t="shared" si="264"/>
        <v>0</v>
      </c>
      <c r="AU138" s="84">
        <f t="shared" si="264"/>
        <v>0</v>
      </c>
      <c r="AV138" s="84">
        <f t="shared" si="264"/>
        <v>0</v>
      </c>
      <c r="AW138" s="84">
        <f t="shared" si="264"/>
        <v>0</v>
      </c>
      <c r="AX138" s="84">
        <f t="shared" si="264"/>
        <v>0</v>
      </c>
      <c r="AY138" s="84">
        <f t="shared" si="264"/>
        <v>0</v>
      </c>
      <c r="AZ138" s="84">
        <f t="shared" si="264"/>
        <v>0</v>
      </c>
      <c r="BA138" s="84">
        <f t="shared" si="264"/>
        <v>0</v>
      </c>
      <c r="BB138" s="84"/>
      <c r="BC138" s="85">
        <f t="shared" si="253"/>
        <v>60304573.520277552</v>
      </c>
    </row>
    <row r="139" spans="1:55" x14ac:dyDescent="0.2">
      <c r="A139" s="52"/>
      <c r="B139" s="7"/>
      <c r="C139" s="7">
        <f t="shared" si="254"/>
        <v>8</v>
      </c>
      <c r="D139" s="84">
        <f t="shared" ref="D139:AI139" si="265">+D$6*AnnMiles*MaintC2*(EXP((D15+0.75*AnnMiles)*MaintC1)+EXP((D16+0.25*AnnMiles)*MaintC1))/2</f>
        <v>7228406.7898735283</v>
      </c>
      <c r="E139" s="84">
        <f t="shared" si="265"/>
        <v>1924586.2419922755</v>
      </c>
      <c r="F139" s="84">
        <f t="shared" si="265"/>
        <v>6822730.4503831947</v>
      </c>
      <c r="G139" s="84">
        <f t="shared" si="265"/>
        <v>1219660.4683056283</v>
      </c>
      <c r="H139" s="84">
        <f t="shared" si="265"/>
        <v>8867498.4867184777</v>
      </c>
      <c r="I139" s="84">
        <f t="shared" si="265"/>
        <v>3637179.4854799486</v>
      </c>
      <c r="J139" s="84">
        <f t="shared" si="265"/>
        <v>5450272.5836121719</v>
      </c>
      <c r="K139" s="84">
        <f t="shared" si="265"/>
        <v>8049759.0908171469</v>
      </c>
      <c r="L139" s="84">
        <f t="shared" si="265"/>
        <v>700315.90893321601</v>
      </c>
      <c r="M139" s="84">
        <f t="shared" si="265"/>
        <v>3311114.9205417233</v>
      </c>
      <c r="N139" s="84">
        <f t="shared" si="265"/>
        <v>490743.65739052463</v>
      </c>
      <c r="O139" s="84">
        <f t="shared" si="265"/>
        <v>5229193.0977771413</v>
      </c>
      <c r="P139" s="84">
        <f t="shared" si="265"/>
        <v>1788815.3382867139</v>
      </c>
      <c r="Q139" s="84">
        <f t="shared" si="265"/>
        <v>3686818.5592906689</v>
      </c>
      <c r="R139" s="84">
        <f t="shared" si="265"/>
        <v>0</v>
      </c>
      <c r="S139" s="84">
        <f t="shared" si="265"/>
        <v>0</v>
      </c>
      <c r="T139" s="84">
        <f t="shared" si="265"/>
        <v>0</v>
      </c>
      <c r="U139" s="84">
        <f t="shared" si="265"/>
        <v>0</v>
      </c>
      <c r="V139" s="84">
        <f t="shared" si="265"/>
        <v>0</v>
      </c>
      <c r="W139" s="84">
        <f t="shared" si="265"/>
        <v>0</v>
      </c>
      <c r="X139" s="84">
        <f t="shared" si="265"/>
        <v>0</v>
      </c>
      <c r="Y139" s="84">
        <f t="shared" si="265"/>
        <v>0</v>
      </c>
      <c r="Z139" s="84">
        <f t="shared" si="265"/>
        <v>0</v>
      </c>
      <c r="AA139" s="84">
        <f t="shared" si="265"/>
        <v>0</v>
      </c>
      <c r="AB139" s="84">
        <f t="shared" si="265"/>
        <v>0</v>
      </c>
      <c r="AC139" s="84">
        <f t="shared" si="265"/>
        <v>0</v>
      </c>
      <c r="AD139" s="84">
        <f t="shared" si="265"/>
        <v>0</v>
      </c>
      <c r="AE139" s="84">
        <f t="shared" si="265"/>
        <v>0</v>
      </c>
      <c r="AF139" s="84">
        <f t="shared" si="265"/>
        <v>0</v>
      </c>
      <c r="AG139" s="84">
        <f t="shared" si="265"/>
        <v>0</v>
      </c>
      <c r="AH139" s="84">
        <f t="shared" si="265"/>
        <v>0</v>
      </c>
      <c r="AI139" s="84">
        <f t="shared" si="265"/>
        <v>0</v>
      </c>
      <c r="AJ139" s="84">
        <f t="shared" ref="AJ139:BA139" si="266">+AJ$6*AnnMiles*MaintC2*(EXP((AJ15+0.75*AnnMiles)*MaintC1)+EXP((AJ16+0.25*AnnMiles)*MaintC1))/2</f>
        <v>0</v>
      </c>
      <c r="AK139" s="84">
        <f t="shared" si="266"/>
        <v>0</v>
      </c>
      <c r="AL139" s="84">
        <f t="shared" si="266"/>
        <v>0</v>
      </c>
      <c r="AM139" s="84">
        <f t="shared" si="266"/>
        <v>0</v>
      </c>
      <c r="AN139" s="84">
        <f t="shared" si="266"/>
        <v>0</v>
      </c>
      <c r="AO139" s="84">
        <f t="shared" si="266"/>
        <v>0</v>
      </c>
      <c r="AP139" s="84">
        <f t="shared" si="266"/>
        <v>0</v>
      </c>
      <c r="AQ139" s="84">
        <f t="shared" si="266"/>
        <v>0</v>
      </c>
      <c r="AR139" s="84">
        <f t="shared" si="266"/>
        <v>0</v>
      </c>
      <c r="AS139" s="84">
        <f t="shared" si="266"/>
        <v>0</v>
      </c>
      <c r="AT139" s="84">
        <f t="shared" si="266"/>
        <v>0</v>
      </c>
      <c r="AU139" s="84">
        <f t="shared" si="266"/>
        <v>0</v>
      </c>
      <c r="AV139" s="84">
        <f t="shared" si="266"/>
        <v>0</v>
      </c>
      <c r="AW139" s="84">
        <f t="shared" si="266"/>
        <v>0</v>
      </c>
      <c r="AX139" s="84">
        <f t="shared" si="266"/>
        <v>0</v>
      </c>
      <c r="AY139" s="84">
        <f t="shared" si="266"/>
        <v>0</v>
      </c>
      <c r="AZ139" s="84">
        <f t="shared" si="266"/>
        <v>0</v>
      </c>
      <c r="BA139" s="84">
        <f t="shared" si="266"/>
        <v>0</v>
      </c>
      <c r="BB139" s="84"/>
      <c r="BC139" s="85">
        <f t="shared" si="253"/>
        <v>58407095.079402365</v>
      </c>
    </row>
    <row r="140" spans="1:55" x14ac:dyDescent="0.2">
      <c r="A140" s="52"/>
      <c r="B140" s="7"/>
      <c r="C140" s="7">
        <f t="shared" si="254"/>
        <v>9</v>
      </c>
      <c r="D140" s="84">
        <f t="shared" ref="D140:AI140" si="267">+D$6*AnnMiles*MaintC2*(EXP((D16+0.75*AnnMiles)*MaintC1)+EXP((D17+0.25*AnnMiles)*MaintC1))/2</f>
        <v>7558070.4967071237</v>
      </c>
      <c r="E140" s="84">
        <f t="shared" si="267"/>
        <v>2012360.2498891412</v>
      </c>
      <c r="F140" s="84">
        <f t="shared" si="267"/>
        <v>7133892.6022076821</v>
      </c>
      <c r="G140" s="84">
        <f t="shared" si="267"/>
        <v>1275285.1450495156</v>
      </c>
      <c r="H140" s="84">
        <f t="shared" si="267"/>
        <v>9271915.7402643431</v>
      </c>
      <c r="I140" s="84">
        <f t="shared" si="267"/>
        <v>2823903.0907811178</v>
      </c>
      <c r="J140" s="84">
        <f t="shared" si="267"/>
        <v>4233013.0100598959</v>
      </c>
      <c r="K140" s="84">
        <f t="shared" si="267"/>
        <v>8416881.9573268034</v>
      </c>
      <c r="L140" s="84">
        <f t="shared" si="267"/>
        <v>487864.18732225132</v>
      </c>
      <c r="M140" s="84">
        <f t="shared" si="267"/>
        <v>3462123.9118988509</v>
      </c>
      <c r="N140" s="84">
        <f t="shared" si="267"/>
        <v>513124.8511865185</v>
      </c>
      <c r="O140" s="84">
        <f t="shared" si="267"/>
        <v>4118720.5126257446</v>
      </c>
      <c r="P140" s="84">
        <f t="shared" si="267"/>
        <v>1870397.2846827758</v>
      </c>
      <c r="Q140" s="84">
        <f t="shared" si="267"/>
        <v>3854962.149989157</v>
      </c>
      <c r="R140" s="84">
        <f t="shared" si="267"/>
        <v>0</v>
      </c>
      <c r="S140" s="84">
        <f t="shared" si="267"/>
        <v>0</v>
      </c>
      <c r="T140" s="84">
        <f t="shared" si="267"/>
        <v>0</v>
      </c>
      <c r="U140" s="84">
        <f t="shared" si="267"/>
        <v>0</v>
      </c>
      <c r="V140" s="84">
        <f t="shared" si="267"/>
        <v>0</v>
      </c>
      <c r="W140" s="84">
        <f t="shared" si="267"/>
        <v>0</v>
      </c>
      <c r="X140" s="84">
        <f t="shared" si="267"/>
        <v>0</v>
      </c>
      <c r="Y140" s="84">
        <f t="shared" si="267"/>
        <v>0</v>
      </c>
      <c r="Z140" s="84">
        <f t="shared" si="267"/>
        <v>0</v>
      </c>
      <c r="AA140" s="84">
        <f t="shared" si="267"/>
        <v>0</v>
      </c>
      <c r="AB140" s="84">
        <f t="shared" si="267"/>
        <v>0</v>
      </c>
      <c r="AC140" s="84">
        <f t="shared" si="267"/>
        <v>0</v>
      </c>
      <c r="AD140" s="84">
        <f t="shared" si="267"/>
        <v>0</v>
      </c>
      <c r="AE140" s="84">
        <f t="shared" si="267"/>
        <v>0</v>
      </c>
      <c r="AF140" s="84">
        <f t="shared" si="267"/>
        <v>0</v>
      </c>
      <c r="AG140" s="84">
        <f t="shared" si="267"/>
        <v>0</v>
      </c>
      <c r="AH140" s="84">
        <f t="shared" si="267"/>
        <v>0</v>
      </c>
      <c r="AI140" s="84">
        <f t="shared" si="267"/>
        <v>0</v>
      </c>
      <c r="AJ140" s="84">
        <f t="shared" ref="AJ140:BA140" si="268">+AJ$6*AnnMiles*MaintC2*(EXP((AJ16+0.75*AnnMiles)*MaintC1)+EXP((AJ17+0.25*AnnMiles)*MaintC1))/2</f>
        <v>0</v>
      </c>
      <c r="AK140" s="84">
        <f t="shared" si="268"/>
        <v>0</v>
      </c>
      <c r="AL140" s="84">
        <f t="shared" si="268"/>
        <v>0</v>
      </c>
      <c r="AM140" s="84">
        <f t="shared" si="268"/>
        <v>0</v>
      </c>
      <c r="AN140" s="84">
        <f t="shared" si="268"/>
        <v>0</v>
      </c>
      <c r="AO140" s="84">
        <f t="shared" si="268"/>
        <v>0</v>
      </c>
      <c r="AP140" s="84">
        <f t="shared" si="268"/>
        <v>0</v>
      </c>
      <c r="AQ140" s="84">
        <f t="shared" si="268"/>
        <v>0</v>
      </c>
      <c r="AR140" s="84">
        <f t="shared" si="268"/>
        <v>0</v>
      </c>
      <c r="AS140" s="84">
        <f t="shared" si="268"/>
        <v>0</v>
      </c>
      <c r="AT140" s="84">
        <f t="shared" si="268"/>
        <v>0</v>
      </c>
      <c r="AU140" s="84">
        <f t="shared" si="268"/>
        <v>0</v>
      </c>
      <c r="AV140" s="84">
        <f t="shared" si="268"/>
        <v>0</v>
      </c>
      <c r="AW140" s="84">
        <f t="shared" si="268"/>
        <v>0</v>
      </c>
      <c r="AX140" s="84">
        <f t="shared" si="268"/>
        <v>0</v>
      </c>
      <c r="AY140" s="84">
        <f t="shared" si="268"/>
        <v>0</v>
      </c>
      <c r="AZ140" s="84">
        <f t="shared" si="268"/>
        <v>0</v>
      </c>
      <c r="BA140" s="84">
        <f t="shared" si="268"/>
        <v>0</v>
      </c>
      <c r="BB140" s="84"/>
      <c r="BC140" s="85">
        <f t="shared" si="253"/>
        <v>57032515.189990923</v>
      </c>
    </row>
    <row r="141" spans="1:55" x14ac:dyDescent="0.2">
      <c r="A141" s="52"/>
      <c r="B141" s="7"/>
      <c r="C141" s="7">
        <f t="shared" si="254"/>
        <v>10</v>
      </c>
      <c r="D141" s="84">
        <f t="shared" ref="D141:AI141" si="269">+D$6*AnnMiles*MaintC2*(EXP((D17+0.75*AnnMiles)*MaintC1)+EXP((D18+0.25*AnnMiles)*MaintC1))/2</f>
        <v>7902769.0739848567</v>
      </c>
      <c r="E141" s="84">
        <f t="shared" si="269"/>
        <v>2104137.3397441856</v>
      </c>
      <c r="F141" s="84">
        <f t="shared" si="269"/>
        <v>7459245.8297946006</v>
      </c>
      <c r="G141" s="84">
        <f t="shared" si="269"/>
        <v>1333446.6791756542</v>
      </c>
      <c r="H141" s="84">
        <f t="shared" si="269"/>
        <v>9694777.1260771081</v>
      </c>
      <c r="I141" s="84">
        <f t="shared" si="269"/>
        <v>1951456.7492890053</v>
      </c>
      <c r="J141" s="84">
        <f t="shared" si="269"/>
        <v>2927185.1239335076</v>
      </c>
      <c r="K141" s="84">
        <f t="shared" si="269"/>
        <v>8800748.0825593192</v>
      </c>
      <c r="L141" s="84">
        <f t="shared" si="269"/>
        <v>510114.05801980622</v>
      </c>
      <c r="M141" s="84">
        <f t="shared" si="269"/>
        <v>2709814.4565157723</v>
      </c>
      <c r="N141" s="84">
        <f t="shared" si="269"/>
        <v>536526.77714723838</v>
      </c>
      <c r="O141" s="84">
        <f t="shared" si="269"/>
        <v>2927185.1239335076</v>
      </c>
      <c r="P141" s="84">
        <f t="shared" si="269"/>
        <v>1955699.9136083964</v>
      </c>
      <c r="Q141" s="84">
        <f t="shared" si="269"/>
        <v>4030774.2132849018</v>
      </c>
      <c r="R141" s="84">
        <f t="shared" si="269"/>
        <v>0</v>
      </c>
      <c r="S141" s="84">
        <f t="shared" si="269"/>
        <v>0</v>
      </c>
      <c r="T141" s="84">
        <f t="shared" si="269"/>
        <v>0</v>
      </c>
      <c r="U141" s="84">
        <f t="shared" si="269"/>
        <v>0</v>
      </c>
      <c r="V141" s="84">
        <f t="shared" si="269"/>
        <v>0</v>
      </c>
      <c r="W141" s="84">
        <f t="shared" si="269"/>
        <v>0</v>
      </c>
      <c r="X141" s="84">
        <f t="shared" si="269"/>
        <v>0</v>
      </c>
      <c r="Y141" s="84">
        <f t="shared" si="269"/>
        <v>0</v>
      </c>
      <c r="Z141" s="84">
        <f t="shared" si="269"/>
        <v>0</v>
      </c>
      <c r="AA141" s="84">
        <f t="shared" si="269"/>
        <v>0</v>
      </c>
      <c r="AB141" s="84">
        <f t="shared" si="269"/>
        <v>0</v>
      </c>
      <c r="AC141" s="84">
        <f t="shared" si="269"/>
        <v>0</v>
      </c>
      <c r="AD141" s="84">
        <f t="shared" si="269"/>
        <v>0</v>
      </c>
      <c r="AE141" s="84">
        <f t="shared" si="269"/>
        <v>0</v>
      </c>
      <c r="AF141" s="84">
        <f t="shared" si="269"/>
        <v>0</v>
      </c>
      <c r="AG141" s="84">
        <f t="shared" si="269"/>
        <v>0</v>
      </c>
      <c r="AH141" s="84">
        <f t="shared" si="269"/>
        <v>0</v>
      </c>
      <c r="AI141" s="84">
        <f t="shared" si="269"/>
        <v>0</v>
      </c>
      <c r="AJ141" s="84">
        <f t="shared" ref="AJ141:BA141" si="270">+AJ$6*AnnMiles*MaintC2*(EXP((AJ17+0.75*AnnMiles)*MaintC1)+EXP((AJ18+0.25*AnnMiles)*MaintC1))/2</f>
        <v>0</v>
      </c>
      <c r="AK141" s="84">
        <f t="shared" si="270"/>
        <v>0</v>
      </c>
      <c r="AL141" s="84">
        <f t="shared" si="270"/>
        <v>0</v>
      </c>
      <c r="AM141" s="84">
        <f t="shared" si="270"/>
        <v>0</v>
      </c>
      <c r="AN141" s="84">
        <f t="shared" si="270"/>
        <v>0</v>
      </c>
      <c r="AO141" s="84">
        <f t="shared" si="270"/>
        <v>0</v>
      </c>
      <c r="AP141" s="84">
        <f t="shared" si="270"/>
        <v>0</v>
      </c>
      <c r="AQ141" s="84">
        <f t="shared" si="270"/>
        <v>0</v>
      </c>
      <c r="AR141" s="84">
        <f t="shared" si="270"/>
        <v>0</v>
      </c>
      <c r="AS141" s="84">
        <f t="shared" si="270"/>
        <v>0</v>
      </c>
      <c r="AT141" s="84">
        <f t="shared" si="270"/>
        <v>0</v>
      </c>
      <c r="AU141" s="84">
        <f t="shared" si="270"/>
        <v>0</v>
      </c>
      <c r="AV141" s="84">
        <f t="shared" si="270"/>
        <v>0</v>
      </c>
      <c r="AW141" s="84">
        <f t="shared" si="270"/>
        <v>0</v>
      </c>
      <c r="AX141" s="84">
        <f t="shared" si="270"/>
        <v>0</v>
      </c>
      <c r="AY141" s="84">
        <f t="shared" si="270"/>
        <v>0</v>
      </c>
      <c r="AZ141" s="84">
        <f t="shared" si="270"/>
        <v>0</v>
      </c>
      <c r="BA141" s="84">
        <f t="shared" si="270"/>
        <v>0</v>
      </c>
      <c r="BB141" s="84"/>
      <c r="BC141" s="85">
        <f t="shared" si="253"/>
        <v>54843880.547067866</v>
      </c>
    </row>
    <row r="142" spans="1:55" x14ac:dyDescent="0.2">
      <c r="A142" s="52"/>
      <c r="B142" s="7"/>
      <c r="C142" s="7">
        <f t="shared" si="254"/>
        <v>11</v>
      </c>
      <c r="D142" s="84">
        <f t="shared" ref="D142:AI142" si="271">+D$6*AnnMiles*MaintC2*(EXP((D18+0.75*AnnMiles)*MaintC1)+EXP((D19+0.25*AnnMiles)*MaintC1))/2</f>
        <v>6208571.6397676328</v>
      </c>
      <c r="E142" s="84">
        <f t="shared" si="271"/>
        <v>2200100.0788748632</v>
      </c>
      <c r="F142" s="84">
        <f t="shared" si="271"/>
        <v>7799437.3411353957</v>
      </c>
      <c r="G142" s="84">
        <f t="shared" si="271"/>
        <v>1394260.7683519619</v>
      </c>
      <c r="H142" s="84">
        <f t="shared" si="271"/>
        <v>10136923.81997728</v>
      </c>
      <c r="I142" s="84">
        <f t="shared" si="271"/>
        <v>2040456.2320792249</v>
      </c>
      <c r="J142" s="84">
        <f t="shared" si="271"/>
        <v>3060684.3481188375</v>
      </c>
      <c r="K142" s="84">
        <f t="shared" si="271"/>
        <v>9202121.0711229481</v>
      </c>
      <c r="L142" s="84">
        <f t="shared" si="271"/>
        <v>533378.67167026165</v>
      </c>
      <c r="M142" s="84">
        <f t="shared" si="271"/>
        <v>1902670.3305567801</v>
      </c>
      <c r="N142" s="84">
        <f t="shared" si="271"/>
        <v>418906.76741248072</v>
      </c>
      <c r="O142" s="84">
        <f t="shared" si="271"/>
        <v>3060684.3481188375</v>
      </c>
      <c r="P142" s="84">
        <f t="shared" si="271"/>
        <v>2044892.9130778646</v>
      </c>
      <c r="Q142" s="84">
        <f t="shared" si="271"/>
        <v>4214604.4828295447</v>
      </c>
      <c r="R142" s="84">
        <f t="shared" si="271"/>
        <v>0</v>
      </c>
      <c r="S142" s="84">
        <f t="shared" si="271"/>
        <v>0</v>
      </c>
      <c r="T142" s="84">
        <f t="shared" si="271"/>
        <v>0</v>
      </c>
      <c r="U142" s="84">
        <f t="shared" si="271"/>
        <v>0</v>
      </c>
      <c r="V142" s="84">
        <f t="shared" si="271"/>
        <v>0</v>
      </c>
      <c r="W142" s="84">
        <f t="shared" si="271"/>
        <v>0</v>
      </c>
      <c r="X142" s="84">
        <f t="shared" si="271"/>
        <v>0</v>
      </c>
      <c r="Y142" s="84">
        <f t="shared" si="271"/>
        <v>0</v>
      </c>
      <c r="Z142" s="84">
        <f t="shared" si="271"/>
        <v>0</v>
      </c>
      <c r="AA142" s="84">
        <f t="shared" si="271"/>
        <v>0</v>
      </c>
      <c r="AB142" s="84">
        <f t="shared" si="271"/>
        <v>0</v>
      </c>
      <c r="AC142" s="84">
        <f t="shared" si="271"/>
        <v>0</v>
      </c>
      <c r="AD142" s="84">
        <f t="shared" si="271"/>
        <v>0</v>
      </c>
      <c r="AE142" s="84">
        <f t="shared" si="271"/>
        <v>0</v>
      </c>
      <c r="AF142" s="84">
        <f t="shared" si="271"/>
        <v>0</v>
      </c>
      <c r="AG142" s="84">
        <f t="shared" si="271"/>
        <v>0</v>
      </c>
      <c r="AH142" s="84">
        <f t="shared" si="271"/>
        <v>0</v>
      </c>
      <c r="AI142" s="84">
        <f t="shared" si="271"/>
        <v>0</v>
      </c>
      <c r="AJ142" s="84">
        <f t="shared" ref="AJ142:BA142" si="272">+AJ$6*AnnMiles*MaintC2*(EXP((AJ18+0.75*AnnMiles)*MaintC1)+EXP((AJ19+0.25*AnnMiles)*MaintC1))/2</f>
        <v>0</v>
      </c>
      <c r="AK142" s="84">
        <f t="shared" si="272"/>
        <v>0</v>
      </c>
      <c r="AL142" s="84">
        <f t="shared" si="272"/>
        <v>0</v>
      </c>
      <c r="AM142" s="84">
        <f t="shared" si="272"/>
        <v>0</v>
      </c>
      <c r="AN142" s="84">
        <f t="shared" si="272"/>
        <v>0</v>
      </c>
      <c r="AO142" s="84">
        <f t="shared" si="272"/>
        <v>0</v>
      </c>
      <c r="AP142" s="84">
        <f t="shared" si="272"/>
        <v>0</v>
      </c>
      <c r="AQ142" s="84">
        <f t="shared" si="272"/>
        <v>0</v>
      </c>
      <c r="AR142" s="84">
        <f t="shared" si="272"/>
        <v>0</v>
      </c>
      <c r="AS142" s="84">
        <f t="shared" si="272"/>
        <v>0</v>
      </c>
      <c r="AT142" s="84">
        <f t="shared" si="272"/>
        <v>0</v>
      </c>
      <c r="AU142" s="84">
        <f t="shared" si="272"/>
        <v>0</v>
      </c>
      <c r="AV142" s="84">
        <f t="shared" si="272"/>
        <v>0</v>
      </c>
      <c r="AW142" s="84">
        <f t="shared" si="272"/>
        <v>0</v>
      </c>
      <c r="AX142" s="84">
        <f t="shared" si="272"/>
        <v>0</v>
      </c>
      <c r="AY142" s="84">
        <f t="shared" si="272"/>
        <v>0</v>
      </c>
      <c r="AZ142" s="84">
        <f t="shared" si="272"/>
        <v>0</v>
      </c>
      <c r="BA142" s="84">
        <f t="shared" si="272"/>
        <v>0</v>
      </c>
      <c r="BB142" s="84"/>
      <c r="BC142" s="85">
        <f t="shared" si="253"/>
        <v>54217692.813093916</v>
      </c>
    </row>
    <row r="143" spans="1:55" x14ac:dyDescent="0.2">
      <c r="A143" s="52"/>
      <c r="B143" s="7"/>
      <c r="C143" s="7">
        <f t="shared" si="254"/>
        <v>12</v>
      </c>
      <c r="D143" s="84">
        <f t="shared" ref="D143:AI143" si="273">+D$6*AnnMiles*MaintC2*(EXP((D19+0.75*AnnMiles)*MaintC1)+EXP((D20+0.25*AnnMiles)*MaintC1))/2</f>
        <v>4390777.6859002626</v>
      </c>
      <c r="E143" s="84">
        <f t="shared" si="273"/>
        <v>1727129.402774638</v>
      </c>
      <c r="F143" s="84">
        <f t="shared" si="273"/>
        <v>8155143.8612356642</v>
      </c>
      <c r="G143" s="84">
        <f t="shared" si="273"/>
        <v>1457848.3868340161</v>
      </c>
      <c r="H143" s="84">
        <f t="shared" si="273"/>
        <v>10599235.361030154</v>
      </c>
      <c r="I143" s="84">
        <f t="shared" si="273"/>
        <v>2133514.6866810466</v>
      </c>
      <c r="J143" s="84">
        <f t="shared" si="273"/>
        <v>3200272.0300215702</v>
      </c>
      <c r="K143" s="84">
        <f t="shared" si="273"/>
        <v>9621799.3531045057</v>
      </c>
      <c r="L143" s="84">
        <f t="shared" si="273"/>
        <v>557704.30734078481</v>
      </c>
      <c r="M143" s="84">
        <f t="shared" si="273"/>
        <v>1989444.8262772444</v>
      </c>
      <c r="N143" s="84">
        <f t="shared" si="273"/>
        <v>292718.51239335077</v>
      </c>
      <c r="O143" s="84">
        <f t="shared" si="273"/>
        <v>3200272.0300215702</v>
      </c>
      <c r="P143" s="84">
        <f t="shared" si="273"/>
        <v>2138153.7100141142</v>
      </c>
      <c r="Q143" s="84">
        <f t="shared" si="273"/>
        <v>4406818.6424689181</v>
      </c>
      <c r="R143" s="84">
        <f t="shared" si="273"/>
        <v>0</v>
      </c>
      <c r="S143" s="84">
        <f t="shared" si="273"/>
        <v>0</v>
      </c>
      <c r="T143" s="84">
        <f t="shared" si="273"/>
        <v>0</v>
      </c>
      <c r="U143" s="84">
        <f t="shared" si="273"/>
        <v>0</v>
      </c>
      <c r="V143" s="84">
        <f t="shared" si="273"/>
        <v>0</v>
      </c>
      <c r="W143" s="84">
        <f t="shared" si="273"/>
        <v>0</v>
      </c>
      <c r="X143" s="84">
        <f t="shared" si="273"/>
        <v>0</v>
      </c>
      <c r="Y143" s="84">
        <f t="shared" si="273"/>
        <v>0</v>
      </c>
      <c r="Z143" s="84">
        <f t="shared" si="273"/>
        <v>0</v>
      </c>
      <c r="AA143" s="84">
        <f t="shared" si="273"/>
        <v>0</v>
      </c>
      <c r="AB143" s="84">
        <f t="shared" si="273"/>
        <v>0</v>
      </c>
      <c r="AC143" s="84">
        <f t="shared" si="273"/>
        <v>0</v>
      </c>
      <c r="AD143" s="84">
        <f t="shared" si="273"/>
        <v>0</v>
      </c>
      <c r="AE143" s="84">
        <f t="shared" si="273"/>
        <v>0</v>
      </c>
      <c r="AF143" s="84">
        <f t="shared" si="273"/>
        <v>0</v>
      </c>
      <c r="AG143" s="84">
        <f t="shared" si="273"/>
        <v>0</v>
      </c>
      <c r="AH143" s="84">
        <f t="shared" si="273"/>
        <v>0</v>
      </c>
      <c r="AI143" s="84">
        <f t="shared" si="273"/>
        <v>0</v>
      </c>
      <c r="AJ143" s="84">
        <f t="shared" ref="AJ143:BA143" si="274">+AJ$6*AnnMiles*MaintC2*(EXP((AJ19+0.75*AnnMiles)*MaintC1)+EXP((AJ20+0.25*AnnMiles)*MaintC1))/2</f>
        <v>0</v>
      </c>
      <c r="AK143" s="84">
        <f t="shared" si="274"/>
        <v>0</v>
      </c>
      <c r="AL143" s="84">
        <f t="shared" si="274"/>
        <v>0</v>
      </c>
      <c r="AM143" s="84">
        <f t="shared" si="274"/>
        <v>0</v>
      </c>
      <c r="AN143" s="84">
        <f t="shared" si="274"/>
        <v>0</v>
      </c>
      <c r="AO143" s="84">
        <f t="shared" si="274"/>
        <v>0</v>
      </c>
      <c r="AP143" s="84">
        <f t="shared" si="274"/>
        <v>0</v>
      </c>
      <c r="AQ143" s="84">
        <f t="shared" si="274"/>
        <v>0</v>
      </c>
      <c r="AR143" s="84">
        <f t="shared" si="274"/>
        <v>0</v>
      </c>
      <c r="AS143" s="84">
        <f t="shared" si="274"/>
        <v>0</v>
      </c>
      <c r="AT143" s="84">
        <f t="shared" si="274"/>
        <v>0</v>
      </c>
      <c r="AU143" s="84">
        <f t="shared" si="274"/>
        <v>0</v>
      </c>
      <c r="AV143" s="84">
        <f t="shared" si="274"/>
        <v>0</v>
      </c>
      <c r="AW143" s="84">
        <f t="shared" si="274"/>
        <v>0</v>
      </c>
      <c r="AX143" s="84">
        <f t="shared" si="274"/>
        <v>0</v>
      </c>
      <c r="AY143" s="84">
        <f t="shared" si="274"/>
        <v>0</v>
      </c>
      <c r="AZ143" s="84">
        <f t="shared" si="274"/>
        <v>0</v>
      </c>
      <c r="BA143" s="84">
        <f t="shared" si="274"/>
        <v>0</v>
      </c>
      <c r="BB143" s="84"/>
      <c r="BC143" s="85">
        <f t="shared" si="253"/>
        <v>53870832.796097845</v>
      </c>
    </row>
    <row r="144" spans="1:55" x14ac:dyDescent="0.2">
      <c r="A144" s="52"/>
      <c r="B144" s="7"/>
      <c r="C144" s="7">
        <f t="shared" si="254"/>
        <v>13</v>
      </c>
      <c r="D144" s="84">
        <f t="shared" ref="D144:AI144" si="275">+D$6*AnnMiles*MaintC2*(EXP((D20+0.75*AnnMiles)*MaintC1)+EXP((D21+0.25*AnnMiles)*MaintC1))/2</f>
        <v>4591026.5221782569</v>
      </c>
      <c r="E144" s="84">
        <f t="shared" si="275"/>
        <v>1219660.4683056283</v>
      </c>
      <c r="F144" s="84">
        <f t="shared" si="275"/>
        <v>8527072.9782884736</v>
      </c>
      <c r="G144" s="84">
        <f t="shared" si="275"/>
        <v>1524336.0261127527</v>
      </c>
      <c r="H144" s="84">
        <f t="shared" si="275"/>
        <v>11082631.401166417</v>
      </c>
      <c r="I144" s="84">
        <f t="shared" si="275"/>
        <v>2230817.2293631393</v>
      </c>
      <c r="J144" s="84">
        <f t="shared" si="275"/>
        <v>3346225.8440447086</v>
      </c>
      <c r="K144" s="84">
        <f t="shared" si="275"/>
        <v>10060617.772344168</v>
      </c>
      <c r="L144" s="84">
        <f t="shared" si="275"/>
        <v>583139.35473360645</v>
      </c>
      <c r="M144" s="84">
        <f t="shared" si="275"/>
        <v>2080176.8195140208</v>
      </c>
      <c r="N144" s="84">
        <f t="shared" si="275"/>
        <v>306068.43481188378</v>
      </c>
      <c r="O144" s="84">
        <f t="shared" si="275"/>
        <v>3346225.8440447086</v>
      </c>
      <c r="P144" s="84">
        <f t="shared" si="275"/>
        <v>2235667.8231947301</v>
      </c>
      <c r="Q144" s="84">
        <f t="shared" si="275"/>
        <v>4607799.0536786085</v>
      </c>
      <c r="R144" s="84">
        <f t="shared" si="275"/>
        <v>0</v>
      </c>
      <c r="S144" s="84">
        <f t="shared" si="275"/>
        <v>0</v>
      </c>
      <c r="T144" s="84">
        <f t="shared" si="275"/>
        <v>0</v>
      </c>
      <c r="U144" s="84">
        <f t="shared" si="275"/>
        <v>0</v>
      </c>
      <c r="V144" s="84">
        <f t="shared" si="275"/>
        <v>0</v>
      </c>
      <c r="W144" s="84">
        <f t="shared" si="275"/>
        <v>0</v>
      </c>
      <c r="X144" s="84">
        <f t="shared" si="275"/>
        <v>0</v>
      </c>
      <c r="Y144" s="84">
        <f t="shared" si="275"/>
        <v>0</v>
      </c>
      <c r="Z144" s="84">
        <f t="shared" si="275"/>
        <v>0</v>
      </c>
      <c r="AA144" s="84">
        <f t="shared" si="275"/>
        <v>0</v>
      </c>
      <c r="AB144" s="84">
        <f t="shared" si="275"/>
        <v>0</v>
      </c>
      <c r="AC144" s="84">
        <f t="shared" si="275"/>
        <v>0</v>
      </c>
      <c r="AD144" s="84">
        <f t="shared" si="275"/>
        <v>0</v>
      </c>
      <c r="AE144" s="84">
        <f t="shared" si="275"/>
        <v>0</v>
      </c>
      <c r="AF144" s="84">
        <f t="shared" si="275"/>
        <v>0</v>
      </c>
      <c r="AG144" s="84">
        <f t="shared" si="275"/>
        <v>0</v>
      </c>
      <c r="AH144" s="84">
        <f t="shared" si="275"/>
        <v>0</v>
      </c>
      <c r="AI144" s="84">
        <f t="shared" si="275"/>
        <v>0</v>
      </c>
      <c r="AJ144" s="84">
        <f t="shared" ref="AJ144:BA144" si="276">+AJ$6*AnnMiles*MaintC2*(EXP((AJ20+0.75*AnnMiles)*MaintC1)+EXP((AJ21+0.25*AnnMiles)*MaintC1))/2</f>
        <v>0</v>
      </c>
      <c r="AK144" s="84">
        <f t="shared" si="276"/>
        <v>0</v>
      </c>
      <c r="AL144" s="84">
        <f t="shared" si="276"/>
        <v>0</v>
      </c>
      <c r="AM144" s="84">
        <f t="shared" si="276"/>
        <v>0</v>
      </c>
      <c r="AN144" s="84">
        <f t="shared" si="276"/>
        <v>0</v>
      </c>
      <c r="AO144" s="84">
        <f t="shared" si="276"/>
        <v>0</v>
      </c>
      <c r="AP144" s="84">
        <f t="shared" si="276"/>
        <v>0</v>
      </c>
      <c r="AQ144" s="84">
        <f t="shared" si="276"/>
        <v>0</v>
      </c>
      <c r="AR144" s="84">
        <f t="shared" si="276"/>
        <v>0</v>
      </c>
      <c r="AS144" s="84">
        <f t="shared" si="276"/>
        <v>0</v>
      </c>
      <c r="AT144" s="84">
        <f t="shared" si="276"/>
        <v>0</v>
      </c>
      <c r="AU144" s="84">
        <f t="shared" si="276"/>
        <v>0</v>
      </c>
      <c r="AV144" s="84">
        <f t="shared" si="276"/>
        <v>0</v>
      </c>
      <c r="AW144" s="84">
        <f t="shared" si="276"/>
        <v>0</v>
      </c>
      <c r="AX144" s="84">
        <f t="shared" si="276"/>
        <v>0</v>
      </c>
      <c r="AY144" s="84">
        <f t="shared" si="276"/>
        <v>0</v>
      </c>
      <c r="AZ144" s="84">
        <f t="shared" si="276"/>
        <v>0</v>
      </c>
      <c r="BA144" s="84">
        <f t="shared" si="276"/>
        <v>0</v>
      </c>
      <c r="BB144" s="84"/>
      <c r="BC144" s="85">
        <f t="shared" si="253"/>
        <v>55741465.571781099</v>
      </c>
    </row>
    <row r="145" spans="1:55" x14ac:dyDescent="0.2">
      <c r="A145" s="52"/>
      <c r="B145" s="7"/>
      <c r="C145" s="7">
        <f t="shared" si="254"/>
        <v>14</v>
      </c>
      <c r="D145" s="84">
        <f t="shared" ref="D145:AI145" si="277">+D$6*AnnMiles*MaintC2*(EXP((D21+0.75*AnnMiles)*MaintC1)+EXP((D22+0.25*AnnMiles)*MaintC1))/2</f>
        <v>4800408.0450323559</v>
      </c>
      <c r="E145" s="84">
        <f t="shared" si="277"/>
        <v>1275285.1450495156</v>
      </c>
      <c r="F145" s="84">
        <f t="shared" si="277"/>
        <v>8915964.551242182</v>
      </c>
      <c r="G145" s="84">
        <f t="shared" si="277"/>
        <v>1593855.9465373079</v>
      </c>
      <c r="H145" s="84">
        <f t="shared" si="277"/>
        <v>11588073.534597158</v>
      </c>
      <c r="I145" s="84">
        <f t="shared" si="277"/>
        <v>2332557.4189344258</v>
      </c>
      <c r="J145" s="84">
        <f t="shared" si="277"/>
        <v>3498836.1284016385</v>
      </c>
      <c r="K145" s="84">
        <f t="shared" si="277"/>
        <v>10519449.247146234</v>
      </c>
      <c r="L145" s="84">
        <f t="shared" si="277"/>
        <v>609734.41044510109</v>
      </c>
      <c r="M145" s="84">
        <f t="shared" si="277"/>
        <v>2175046.7986290609</v>
      </c>
      <c r="N145" s="84">
        <f t="shared" si="277"/>
        <v>320027.20300215704</v>
      </c>
      <c r="O145" s="84">
        <f t="shared" si="277"/>
        <v>3498836.1284016385</v>
      </c>
      <c r="P145" s="84">
        <f t="shared" si="277"/>
        <v>2337629.2322946554</v>
      </c>
      <c r="Q145" s="84">
        <f t="shared" si="277"/>
        <v>4817945.5161754452</v>
      </c>
      <c r="R145" s="84">
        <f t="shared" si="277"/>
        <v>0</v>
      </c>
      <c r="S145" s="84">
        <f t="shared" si="277"/>
        <v>0</v>
      </c>
      <c r="T145" s="84">
        <f t="shared" si="277"/>
        <v>0</v>
      </c>
      <c r="U145" s="84">
        <f t="shared" si="277"/>
        <v>0</v>
      </c>
      <c r="V145" s="84">
        <f t="shared" si="277"/>
        <v>0</v>
      </c>
      <c r="W145" s="84">
        <f t="shared" si="277"/>
        <v>0</v>
      </c>
      <c r="X145" s="84">
        <f t="shared" si="277"/>
        <v>0</v>
      </c>
      <c r="Y145" s="84">
        <f t="shared" si="277"/>
        <v>0</v>
      </c>
      <c r="Z145" s="84">
        <f t="shared" si="277"/>
        <v>0</v>
      </c>
      <c r="AA145" s="84">
        <f t="shared" si="277"/>
        <v>0</v>
      </c>
      <c r="AB145" s="84">
        <f t="shared" si="277"/>
        <v>0</v>
      </c>
      <c r="AC145" s="84">
        <f t="shared" si="277"/>
        <v>0</v>
      </c>
      <c r="AD145" s="84">
        <f t="shared" si="277"/>
        <v>0</v>
      </c>
      <c r="AE145" s="84">
        <f t="shared" si="277"/>
        <v>0</v>
      </c>
      <c r="AF145" s="84">
        <f t="shared" si="277"/>
        <v>0</v>
      </c>
      <c r="AG145" s="84">
        <f t="shared" si="277"/>
        <v>0</v>
      </c>
      <c r="AH145" s="84">
        <f t="shared" si="277"/>
        <v>0</v>
      </c>
      <c r="AI145" s="84">
        <f t="shared" si="277"/>
        <v>0</v>
      </c>
      <c r="AJ145" s="84">
        <f t="shared" ref="AJ145:BA145" si="278">+AJ$6*AnnMiles*MaintC2*(EXP((AJ21+0.75*AnnMiles)*MaintC1)+EXP((AJ22+0.25*AnnMiles)*MaintC1))/2</f>
        <v>0</v>
      </c>
      <c r="AK145" s="84">
        <f t="shared" si="278"/>
        <v>0</v>
      </c>
      <c r="AL145" s="84">
        <f t="shared" si="278"/>
        <v>0</v>
      </c>
      <c r="AM145" s="84">
        <f t="shared" si="278"/>
        <v>0</v>
      </c>
      <c r="AN145" s="84">
        <f t="shared" si="278"/>
        <v>0</v>
      </c>
      <c r="AO145" s="84">
        <f t="shared" si="278"/>
        <v>0</v>
      </c>
      <c r="AP145" s="84">
        <f t="shared" si="278"/>
        <v>0</v>
      </c>
      <c r="AQ145" s="84">
        <f t="shared" si="278"/>
        <v>0</v>
      </c>
      <c r="AR145" s="84">
        <f t="shared" si="278"/>
        <v>0</v>
      </c>
      <c r="AS145" s="84">
        <f t="shared" si="278"/>
        <v>0</v>
      </c>
      <c r="AT145" s="84">
        <f t="shared" si="278"/>
        <v>0</v>
      </c>
      <c r="AU145" s="84">
        <f t="shared" si="278"/>
        <v>0</v>
      </c>
      <c r="AV145" s="84">
        <f t="shared" si="278"/>
        <v>0</v>
      </c>
      <c r="AW145" s="84">
        <f t="shared" si="278"/>
        <v>0</v>
      </c>
      <c r="AX145" s="84">
        <f t="shared" si="278"/>
        <v>0</v>
      </c>
      <c r="AY145" s="84">
        <f t="shared" si="278"/>
        <v>0</v>
      </c>
      <c r="AZ145" s="84">
        <f t="shared" si="278"/>
        <v>0</v>
      </c>
      <c r="BA145" s="84">
        <f t="shared" si="278"/>
        <v>0</v>
      </c>
      <c r="BB145" s="84"/>
      <c r="BC145" s="85">
        <f t="shared" si="253"/>
        <v>58283649.305888876</v>
      </c>
    </row>
    <row r="146" spans="1:55" x14ac:dyDescent="0.2">
      <c r="A146" s="52"/>
      <c r="B146" s="7"/>
      <c r="C146" s="7">
        <f t="shared" si="254"/>
        <v>15</v>
      </c>
      <c r="D146" s="84">
        <f t="shared" ref="D146:AI146" si="279">+D$6*AnnMiles*MaintC2*(EXP((D22+0.75*AnnMiles)*MaintC1)+EXP((D23+0.25*AnnMiles)*MaintC1))/2</f>
        <v>5019338.7660670634</v>
      </c>
      <c r="E146" s="84">
        <f t="shared" si="279"/>
        <v>1333446.6791756542</v>
      </c>
      <c r="F146" s="84">
        <f t="shared" si="279"/>
        <v>9322592.181562759</v>
      </c>
      <c r="G146" s="84">
        <f t="shared" si="279"/>
        <v>1666546.440413546</v>
      </c>
      <c r="H146" s="84">
        <f t="shared" si="279"/>
        <v>12116567.210662454</v>
      </c>
      <c r="I146" s="84">
        <f t="shared" si="279"/>
        <v>2438937.6417804044</v>
      </c>
      <c r="J146" s="84">
        <f t="shared" si="279"/>
        <v>3658406.4626706066</v>
      </c>
      <c r="K146" s="84">
        <f t="shared" si="279"/>
        <v>10999206.506729405</v>
      </c>
      <c r="L146" s="84">
        <f t="shared" si="279"/>
        <v>637542.37861492322</v>
      </c>
      <c r="M146" s="84">
        <f t="shared" si="279"/>
        <v>2274243.4834610652</v>
      </c>
      <c r="N146" s="84">
        <f t="shared" si="279"/>
        <v>334622.58440447086</v>
      </c>
      <c r="O146" s="84">
        <f t="shared" si="279"/>
        <v>3658406.4626706066</v>
      </c>
      <c r="P146" s="84">
        <f t="shared" si="279"/>
        <v>1821817.8278174989</v>
      </c>
      <c r="Q146" s="84">
        <f t="shared" si="279"/>
        <v>3764579.917802094</v>
      </c>
      <c r="R146" s="84">
        <f t="shared" si="279"/>
        <v>0</v>
      </c>
      <c r="S146" s="84">
        <f t="shared" si="279"/>
        <v>0</v>
      </c>
      <c r="T146" s="84">
        <f t="shared" si="279"/>
        <v>0</v>
      </c>
      <c r="U146" s="84">
        <f t="shared" si="279"/>
        <v>0</v>
      </c>
      <c r="V146" s="84">
        <f t="shared" si="279"/>
        <v>0</v>
      </c>
      <c r="W146" s="84">
        <f t="shared" si="279"/>
        <v>0</v>
      </c>
      <c r="X146" s="84">
        <f t="shared" si="279"/>
        <v>0</v>
      </c>
      <c r="Y146" s="84">
        <f t="shared" si="279"/>
        <v>0</v>
      </c>
      <c r="Z146" s="84">
        <f t="shared" si="279"/>
        <v>0</v>
      </c>
      <c r="AA146" s="84">
        <f t="shared" si="279"/>
        <v>0</v>
      </c>
      <c r="AB146" s="84">
        <f t="shared" si="279"/>
        <v>0</v>
      </c>
      <c r="AC146" s="84">
        <f t="shared" si="279"/>
        <v>0</v>
      </c>
      <c r="AD146" s="84">
        <f t="shared" si="279"/>
        <v>0</v>
      </c>
      <c r="AE146" s="84">
        <f t="shared" si="279"/>
        <v>0</v>
      </c>
      <c r="AF146" s="84">
        <f t="shared" si="279"/>
        <v>0</v>
      </c>
      <c r="AG146" s="84">
        <f t="shared" si="279"/>
        <v>0</v>
      </c>
      <c r="AH146" s="84">
        <f t="shared" si="279"/>
        <v>0</v>
      </c>
      <c r="AI146" s="84">
        <f t="shared" si="279"/>
        <v>0</v>
      </c>
      <c r="AJ146" s="84">
        <f t="shared" ref="AJ146:BA146" si="280">+AJ$6*AnnMiles*MaintC2*(EXP((AJ22+0.75*AnnMiles)*MaintC1)+EXP((AJ23+0.25*AnnMiles)*MaintC1))/2</f>
        <v>0</v>
      </c>
      <c r="AK146" s="84">
        <f t="shared" si="280"/>
        <v>0</v>
      </c>
      <c r="AL146" s="84">
        <f t="shared" si="280"/>
        <v>0</v>
      </c>
      <c r="AM146" s="84">
        <f t="shared" si="280"/>
        <v>0</v>
      </c>
      <c r="AN146" s="84">
        <f t="shared" si="280"/>
        <v>0</v>
      </c>
      <c r="AO146" s="84">
        <f t="shared" si="280"/>
        <v>0</v>
      </c>
      <c r="AP146" s="84">
        <f t="shared" si="280"/>
        <v>0</v>
      </c>
      <c r="AQ146" s="84">
        <f t="shared" si="280"/>
        <v>0</v>
      </c>
      <c r="AR146" s="84">
        <f t="shared" si="280"/>
        <v>0</v>
      </c>
      <c r="AS146" s="84">
        <f t="shared" si="280"/>
        <v>0</v>
      </c>
      <c r="AT146" s="84">
        <f t="shared" si="280"/>
        <v>0</v>
      </c>
      <c r="AU146" s="84">
        <f t="shared" si="280"/>
        <v>0</v>
      </c>
      <c r="AV146" s="84">
        <f t="shared" si="280"/>
        <v>0</v>
      </c>
      <c r="AW146" s="84">
        <f t="shared" si="280"/>
        <v>0</v>
      </c>
      <c r="AX146" s="84">
        <f t="shared" si="280"/>
        <v>0</v>
      </c>
      <c r="AY146" s="84">
        <f t="shared" si="280"/>
        <v>0</v>
      </c>
      <c r="AZ146" s="84">
        <f t="shared" si="280"/>
        <v>0</v>
      </c>
      <c r="BA146" s="84">
        <f t="shared" si="280"/>
        <v>0</v>
      </c>
      <c r="BB146" s="84"/>
      <c r="BC146" s="85">
        <f t="shared" si="253"/>
        <v>59046254.543832563</v>
      </c>
    </row>
    <row r="147" spans="1:55" x14ac:dyDescent="0.2">
      <c r="A147" s="52"/>
      <c r="B147" s="7"/>
      <c r="C147" s="7">
        <f t="shared" si="254"/>
        <v>16</v>
      </c>
      <c r="D147" s="84">
        <f t="shared" ref="D147:AI147" si="281">+D$6*AnnMiles*MaintC2*(EXP((D23+0.75*AnnMiles)*MaintC1)+EXP((D24+0.25*AnnMiles)*MaintC1))/2</f>
        <v>5248254.1926024584</v>
      </c>
      <c r="E147" s="84">
        <f t="shared" si="281"/>
        <v>1394260.7683519619</v>
      </c>
      <c r="F147" s="84">
        <f t="shared" si="281"/>
        <v>9747764.7521183323</v>
      </c>
      <c r="G147" s="84">
        <f t="shared" si="281"/>
        <v>1742552.1071016379</v>
      </c>
      <c r="H147" s="84">
        <f t="shared" si="281"/>
        <v>12669163.733918624</v>
      </c>
      <c r="I147" s="84">
        <f t="shared" si="281"/>
        <v>2550169.5144596929</v>
      </c>
      <c r="J147" s="84">
        <f t="shared" si="281"/>
        <v>3825254.2716895393</v>
      </c>
      <c r="K147" s="84">
        <f t="shared" si="281"/>
        <v>11500843.90687081</v>
      </c>
      <c r="L147" s="84">
        <f t="shared" si="281"/>
        <v>666618.57616541849</v>
      </c>
      <c r="M147" s="84">
        <f t="shared" si="281"/>
        <v>2377964.200735894</v>
      </c>
      <c r="N147" s="84">
        <f t="shared" si="281"/>
        <v>349883.61284016387</v>
      </c>
      <c r="O147" s="84">
        <f t="shared" si="281"/>
        <v>3825254.2716895393</v>
      </c>
      <c r="P147" s="84">
        <f t="shared" si="281"/>
        <v>1268446.8870378535</v>
      </c>
      <c r="Q147" s="84">
        <f t="shared" si="281"/>
        <v>2634466.6115401569</v>
      </c>
      <c r="R147" s="84">
        <f t="shared" si="281"/>
        <v>0</v>
      </c>
      <c r="S147" s="84">
        <f t="shared" si="281"/>
        <v>0</v>
      </c>
      <c r="T147" s="84">
        <f t="shared" si="281"/>
        <v>0</v>
      </c>
      <c r="U147" s="84">
        <f t="shared" si="281"/>
        <v>0</v>
      </c>
      <c r="V147" s="84">
        <f t="shared" si="281"/>
        <v>0</v>
      </c>
      <c r="W147" s="84">
        <f t="shared" si="281"/>
        <v>0</v>
      </c>
      <c r="X147" s="84">
        <f t="shared" si="281"/>
        <v>0</v>
      </c>
      <c r="Y147" s="84">
        <f t="shared" si="281"/>
        <v>0</v>
      </c>
      <c r="Z147" s="84">
        <f t="shared" si="281"/>
        <v>0</v>
      </c>
      <c r="AA147" s="84">
        <f t="shared" si="281"/>
        <v>0</v>
      </c>
      <c r="AB147" s="84">
        <f t="shared" si="281"/>
        <v>0</v>
      </c>
      <c r="AC147" s="84">
        <f t="shared" si="281"/>
        <v>0</v>
      </c>
      <c r="AD147" s="84">
        <f t="shared" si="281"/>
        <v>0</v>
      </c>
      <c r="AE147" s="84">
        <f t="shared" si="281"/>
        <v>0</v>
      </c>
      <c r="AF147" s="84">
        <f t="shared" si="281"/>
        <v>0</v>
      </c>
      <c r="AG147" s="84">
        <f t="shared" si="281"/>
        <v>0</v>
      </c>
      <c r="AH147" s="84">
        <f t="shared" si="281"/>
        <v>0</v>
      </c>
      <c r="AI147" s="84">
        <f t="shared" si="281"/>
        <v>0</v>
      </c>
      <c r="AJ147" s="84">
        <f t="shared" ref="AJ147:BA147" si="282">+AJ$6*AnnMiles*MaintC2*(EXP((AJ23+0.75*AnnMiles)*MaintC1)+EXP((AJ24+0.25*AnnMiles)*MaintC1))/2</f>
        <v>0</v>
      </c>
      <c r="AK147" s="84">
        <f t="shared" si="282"/>
        <v>0</v>
      </c>
      <c r="AL147" s="84">
        <f t="shared" si="282"/>
        <v>0</v>
      </c>
      <c r="AM147" s="84">
        <f t="shared" si="282"/>
        <v>0</v>
      </c>
      <c r="AN147" s="84">
        <f t="shared" si="282"/>
        <v>0</v>
      </c>
      <c r="AO147" s="84">
        <f t="shared" si="282"/>
        <v>0</v>
      </c>
      <c r="AP147" s="84">
        <f t="shared" si="282"/>
        <v>0</v>
      </c>
      <c r="AQ147" s="84">
        <f t="shared" si="282"/>
        <v>0</v>
      </c>
      <c r="AR147" s="84">
        <f t="shared" si="282"/>
        <v>0</v>
      </c>
      <c r="AS147" s="84">
        <f t="shared" si="282"/>
        <v>0</v>
      </c>
      <c r="AT147" s="84">
        <f t="shared" si="282"/>
        <v>0</v>
      </c>
      <c r="AU147" s="84">
        <f t="shared" si="282"/>
        <v>0</v>
      </c>
      <c r="AV147" s="84">
        <f t="shared" si="282"/>
        <v>0</v>
      </c>
      <c r="AW147" s="84">
        <f t="shared" si="282"/>
        <v>0</v>
      </c>
      <c r="AX147" s="84">
        <f t="shared" si="282"/>
        <v>0</v>
      </c>
      <c r="AY147" s="84">
        <f t="shared" si="282"/>
        <v>0</v>
      </c>
      <c r="AZ147" s="84">
        <f t="shared" si="282"/>
        <v>0</v>
      </c>
      <c r="BA147" s="84">
        <f t="shared" si="282"/>
        <v>0</v>
      </c>
      <c r="BB147" s="84"/>
      <c r="BC147" s="85">
        <f t="shared" si="253"/>
        <v>59800897.407122076</v>
      </c>
    </row>
    <row r="148" spans="1:55" x14ac:dyDescent="0.2">
      <c r="A148" s="52"/>
      <c r="B148" s="7"/>
      <c r="C148" s="7">
        <f t="shared" si="254"/>
        <v>17</v>
      </c>
      <c r="D148" s="84">
        <f t="shared" ref="D148:AI148" si="283">+D$6*AnnMiles*MaintC2*(EXP((D24+0.75*AnnMiles)*MaintC1)+EXP((D25+0.25*AnnMiles)*MaintC1))/2</f>
        <v>5487609.6940059103</v>
      </c>
      <c r="E148" s="84">
        <f t="shared" si="283"/>
        <v>1457848.3868340161</v>
      </c>
      <c r="F148" s="84">
        <f t="shared" si="283"/>
        <v>10192328.036247147</v>
      </c>
      <c r="G148" s="84">
        <f t="shared" si="283"/>
        <v>1822024.1406599304</v>
      </c>
      <c r="H148" s="84">
        <f t="shared" si="283"/>
        <v>13246962.355442863</v>
      </c>
      <c r="I148" s="84">
        <f t="shared" si="283"/>
        <v>2666474.304661674</v>
      </c>
      <c r="J148" s="84">
        <f t="shared" si="283"/>
        <v>3999711.4569925107</v>
      </c>
      <c r="K148" s="84">
        <f t="shared" si="283"/>
        <v>12025359.328355541</v>
      </c>
      <c r="L148" s="84">
        <f t="shared" si="283"/>
        <v>697020.84284065512</v>
      </c>
      <c r="M148" s="84">
        <f t="shared" si="283"/>
        <v>2486415.2765982007</v>
      </c>
      <c r="N148" s="84">
        <f t="shared" si="283"/>
        <v>365840.64626706066</v>
      </c>
      <c r="O148" s="84">
        <f t="shared" si="283"/>
        <v>3999711.4569925107</v>
      </c>
      <c r="P148" s="84">
        <f t="shared" si="283"/>
        <v>1326296.5508514964</v>
      </c>
      <c r="Q148" s="84">
        <f t="shared" si="283"/>
        <v>2754615.9133069534</v>
      </c>
      <c r="R148" s="84">
        <f t="shared" si="283"/>
        <v>0</v>
      </c>
      <c r="S148" s="84">
        <f t="shared" si="283"/>
        <v>0</v>
      </c>
      <c r="T148" s="84">
        <f t="shared" si="283"/>
        <v>0</v>
      </c>
      <c r="U148" s="84">
        <f t="shared" si="283"/>
        <v>0</v>
      </c>
      <c r="V148" s="84">
        <f t="shared" si="283"/>
        <v>0</v>
      </c>
      <c r="W148" s="84">
        <f t="shared" si="283"/>
        <v>0</v>
      </c>
      <c r="X148" s="84">
        <f t="shared" si="283"/>
        <v>0</v>
      </c>
      <c r="Y148" s="84">
        <f t="shared" si="283"/>
        <v>0</v>
      </c>
      <c r="Z148" s="84">
        <f t="shared" si="283"/>
        <v>0</v>
      </c>
      <c r="AA148" s="84">
        <f t="shared" si="283"/>
        <v>0</v>
      </c>
      <c r="AB148" s="84">
        <f t="shared" si="283"/>
        <v>0</v>
      </c>
      <c r="AC148" s="84">
        <f t="shared" si="283"/>
        <v>0</v>
      </c>
      <c r="AD148" s="84">
        <f t="shared" si="283"/>
        <v>0</v>
      </c>
      <c r="AE148" s="84">
        <f t="shared" si="283"/>
        <v>0</v>
      </c>
      <c r="AF148" s="84">
        <f t="shared" si="283"/>
        <v>0</v>
      </c>
      <c r="AG148" s="84">
        <f t="shared" si="283"/>
        <v>0</v>
      </c>
      <c r="AH148" s="84">
        <f t="shared" si="283"/>
        <v>0</v>
      </c>
      <c r="AI148" s="84">
        <f t="shared" si="283"/>
        <v>0</v>
      </c>
      <c r="AJ148" s="84">
        <f t="shared" ref="AJ148:BA148" si="284">+AJ$6*AnnMiles*MaintC2*(EXP((AJ24+0.75*AnnMiles)*MaintC1)+EXP((AJ25+0.25*AnnMiles)*MaintC1))/2</f>
        <v>0</v>
      </c>
      <c r="AK148" s="84">
        <f t="shared" si="284"/>
        <v>0</v>
      </c>
      <c r="AL148" s="84">
        <f t="shared" si="284"/>
        <v>0</v>
      </c>
      <c r="AM148" s="84">
        <f t="shared" si="284"/>
        <v>0</v>
      </c>
      <c r="AN148" s="84">
        <f t="shared" si="284"/>
        <v>0</v>
      </c>
      <c r="AO148" s="84">
        <f t="shared" si="284"/>
        <v>0</v>
      </c>
      <c r="AP148" s="84">
        <f t="shared" si="284"/>
        <v>0</v>
      </c>
      <c r="AQ148" s="84">
        <f t="shared" si="284"/>
        <v>0</v>
      </c>
      <c r="AR148" s="84">
        <f t="shared" si="284"/>
        <v>0</v>
      </c>
      <c r="AS148" s="84">
        <f t="shared" si="284"/>
        <v>0</v>
      </c>
      <c r="AT148" s="84">
        <f t="shared" si="284"/>
        <v>0</v>
      </c>
      <c r="AU148" s="84">
        <f t="shared" si="284"/>
        <v>0</v>
      </c>
      <c r="AV148" s="84">
        <f t="shared" si="284"/>
        <v>0</v>
      </c>
      <c r="AW148" s="84">
        <f t="shared" si="284"/>
        <v>0</v>
      </c>
      <c r="AX148" s="84">
        <f t="shared" si="284"/>
        <v>0</v>
      </c>
      <c r="AY148" s="84">
        <f t="shared" si="284"/>
        <v>0</v>
      </c>
      <c r="AZ148" s="84">
        <f t="shared" si="284"/>
        <v>0</v>
      </c>
      <c r="BA148" s="84">
        <f t="shared" si="284"/>
        <v>0</v>
      </c>
      <c r="BB148" s="84"/>
      <c r="BC148" s="85">
        <f t="shared" si="253"/>
        <v>62528218.390056476</v>
      </c>
    </row>
    <row r="149" spans="1:55" x14ac:dyDescent="0.2">
      <c r="A149" s="52"/>
      <c r="B149" s="7"/>
      <c r="C149" s="7">
        <f t="shared" si="254"/>
        <v>18</v>
      </c>
      <c r="D149" s="84">
        <f t="shared" ref="D149:AI149" si="285">+D$6*AnnMiles*MaintC2*(EXP((D25+0.75*AnnMiles)*MaintC1)+EXP((D26+0.25*AnnMiles)*MaintC1))/2</f>
        <v>5737881.4075343097</v>
      </c>
      <c r="E149" s="84">
        <f t="shared" si="285"/>
        <v>1524336.0261127527</v>
      </c>
      <c r="F149" s="84">
        <f t="shared" si="285"/>
        <v>8029127.6892494923</v>
      </c>
      <c r="G149" s="84">
        <f t="shared" si="285"/>
        <v>1905120.6306073039</v>
      </c>
      <c r="H149" s="84">
        <f t="shared" si="285"/>
        <v>13851112.459515357</v>
      </c>
      <c r="I149" s="84">
        <f t="shared" si="285"/>
        <v>2788083.3713626205</v>
      </c>
      <c r="J149" s="84">
        <f t="shared" si="285"/>
        <v>4182125.057043931</v>
      </c>
      <c r="K149" s="84">
        <f t="shared" si="285"/>
        <v>12573796.162008207</v>
      </c>
      <c r="L149" s="84">
        <f t="shared" si="285"/>
        <v>728809.65626397217</v>
      </c>
      <c r="M149" s="84">
        <f t="shared" si="285"/>
        <v>2599812.4470451321</v>
      </c>
      <c r="N149" s="84">
        <f t="shared" si="285"/>
        <v>382525.42716895393</v>
      </c>
      <c r="O149" s="84">
        <f t="shared" si="285"/>
        <v>4182125.057043931</v>
      </c>
      <c r="P149" s="84">
        <f t="shared" si="285"/>
        <v>1386784.5463426807</v>
      </c>
      <c r="Q149" s="84">
        <f t="shared" si="285"/>
        <v>2880244.827019413</v>
      </c>
      <c r="R149" s="84">
        <f t="shared" si="285"/>
        <v>0</v>
      </c>
      <c r="S149" s="84">
        <f t="shared" si="285"/>
        <v>0</v>
      </c>
      <c r="T149" s="84">
        <f t="shared" si="285"/>
        <v>0</v>
      </c>
      <c r="U149" s="84">
        <f t="shared" si="285"/>
        <v>0</v>
      </c>
      <c r="V149" s="84">
        <f t="shared" si="285"/>
        <v>0</v>
      </c>
      <c r="W149" s="84">
        <f t="shared" si="285"/>
        <v>0</v>
      </c>
      <c r="X149" s="84">
        <f t="shared" si="285"/>
        <v>0</v>
      </c>
      <c r="Y149" s="84">
        <f t="shared" si="285"/>
        <v>0</v>
      </c>
      <c r="Z149" s="84">
        <f t="shared" si="285"/>
        <v>0</v>
      </c>
      <c r="AA149" s="84">
        <f t="shared" si="285"/>
        <v>0</v>
      </c>
      <c r="AB149" s="84">
        <f t="shared" si="285"/>
        <v>0</v>
      </c>
      <c r="AC149" s="84">
        <f t="shared" si="285"/>
        <v>0</v>
      </c>
      <c r="AD149" s="84">
        <f t="shared" si="285"/>
        <v>0</v>
      </c>
      <c r="AE149" s="84">
        <f t="shared" si="285"/>
        <v>0</v>
      </c>
      <c r="AF149" s="84">
        <f t="shared" si="285"/>
        <v>0</v>
      </c>
      <c r="AG149" s="84">
        <f t="shared" si="285"/>
        <v>0</v>
      </c>
      <c r="AH149" s="84">
        <f t="shared" si="285"/>
        <v>0</v>
      </c>
      <c r="AI149" s="84">
        <f t="shared" si="285"/>
        <v>0</v>
      </c>
      <c r="AJ149" s="84">
        <f t="shared" ref="AJ149:BA149" si="286">+AJ$6*AnnMiles*MaintC2*(EXP((AJ25+0.75*AnnMiles)*MaintC1)+EXP((AJ26+0.25*AnnMiles)*MaintC1))/2</f>
        <v>0</v>
      </c>
      <c r="AK149" s="84">
        <f t="shared" si="286"/>
        <v>0</v>
      </c>
      <c r="AL149" s="84">
        <f t="shared" si="286"/>
        <v>0</v>
      </c>
      <c r="AM149" s="84">
        <f t="shared" si="286"/>
        <v>0</v>
      </c>
      <c r="AN149" s="84">
        <f t="shared" si="286"/>
        <v>0</v>
      </c>
      <c r="AO149" s="84">
        <f t="shared" si="286"/>
        <v>0</v>
      </c>
      <c r="AP149" s="84">
        <f t="shared" si="286"/>
        <v>0</v>
      </c>
      <c r="AQ149" s="84">
        <f t="shared" si="286"/>
        <v>0</v>
      </c>
      <c r="AR149" s="84">
        <f t="shared" si="286"/>
        <v>0</v>
      </c>
      <c r="AS149" s="84">
        <f t="shared" si="286"/>
        <v>0</v>
      </c>
      <c r="AT149" s="84">
        <f t="shared" si="286"/>
        <v>0</v>
      </c>
      <c r="AU149" s="84">
        <f t="shared" si="286"/>
        <v>0</v>
      </c>
      <c r="AV149" s="84">
        <f t="shared" si="286"/>
        <v>0</v>
      </c>
      <c r="AW149" s="84">
        <f t="shared" si="286"/>
        <v>0</v>
      </c>
      <c r="AX149" s="84">
        <f t="shared" si="286"/>
        <v>0</v>
      </c>
      <c r="AY149" s="84">
        <f t="shared" si="286"/>
        <v>0</v>
      </c>
      <c r="AZ149" s="84">
        <f t="shared" si="286"/>
        <v>0</v>
      </c>
      <c r="BA149" s="84">
        <f t="shared" si="286"/>
        <v>0</v>
      </c>
      <c r="BB149" s="84"/>
      <c r="BC149" s="85">
        <f t="shared" si="253"/>
        <v>62751884.764318049</v>
      </c>
    </row>
    <row r="150" spans="1:55" x14ac:dyDescent="0.2">
      <c r="A150" s="52"/>
      <c r="B150" s="7"/>
      <c r="C150" s="7">
        <f t="shared" si="254"/>
        <v>19</v>
      </c>
      <c r="D150" s="84">
        <f t="shared" ref="D150:AI150" si="287">+D$6*AnnMiles*MaintC2*(EXP((D26+0.75*AnnMiles)*MaintC1)+EXP((D27+0.25*AnnMiles)*MaintC1))/2</f>
        <v>5999567.185488767</v>
      </c>
      <c r="E150" s="84">
        <f t="shared" si="287"/>
        <v>1593855.9465373079</v>
      </c>
      <c r="F150" s="84">
        <f t="shared" si="287"/>
        <v>5708010.9916703403</v>
      </c>
      <c r="G150" s="84">
        <f t="shared" si="287"/>
        <v>1992006.8764022992</v>
      </c>
      <c r="H150" s="84">
        <f t="shared" si="287"/>
        <v>10911378.654621108</v>
      </c>
      <c r="I150" s="84">
        <f t="shared" si="287"/>
        <v>2915238.6250558887</v>
      </c>
      <c r="J150" s="84">
        <f t="shared" si="287"/>
        <v>4372857.937583833</v>
      </c>
      <c r="K150" s="84">
        <f t="shared" si="287"/>
        <v>13147245.384255175</v>
      </c>
      <c r="L150" s="84">
        <f t="shared" si="287"/>
        <v>762048.25224292162</v>
      </c>
      <c r="M150" s="84">
        <f t="shared" si="287"/>
        <v>2718381.2870785552</v>
      </c>
      <c r="N150" s="84">
        <f t="shared" si="287"/>
        <v>399971.14569925109</v>
      </c>
      <c r="O150" s="84">
        <f t="shared" si="287"/>
        <v>4372857.937583833</v>
      </c>
      <c r="P150" s="84">
        <f t="shared" si="287"/>
        <v>1450031.1990860407</v>
      </c>
      <c r="Q150" s="84">
        <f t="shared" si="287"/>
        <v>3011603.2596402373</v>
      </c>
      <c r="R150" s="84">
        <f t="shared" si="287"/>
        <v>0</v>
      </c>
      <c r="S150" s="84">
        <f t="shared" si="287"/>
        <v>0</v>
      </c>
      <c r="T150" s="84">
        <f t="shared" si="287"/>
        <v>0</v>
      </c>
      <c r="U150" s="84">
        <f t="shared" si="287"/>
        <v>0</v>
      </c>
      <c r="V150" s="84">
        <f t="shared" si="287"/>
        <v>0</v>
      </c>
      <c r="W150" s="84">
        <f t="shared" si="287"/>
        <v>0</v>
      </c>
      <c r="X150" s="84">
        <f t="shared" si="287"/>
        <v>0</v>
      </c>
      <c r="Y150" s="84">
        <f t="shared" si="287"/>
        <v>0</v>
      </c>
      <c r="Z150" s="84">
        <f t="shared" si="287"/>
        <v>0</v>
      </c>
      <c r="AA150" s="84">
        <f t="shared" si="287"/>
        <v>0</v>
      </c>
      <c r="AB150" s="84">
        <f t="shared" si="287"/>
        <v>0</v>
      </c>
      <c r="AC150" s="84">
        <f t="shared" si="287"/>
        <v>0</v>
      </c>
      <c r="AD150" s="84">
        <f t="shared" si="287"/>
        <v>0</v>
      </c>
      <c r="AE150" s="84">
        <f t="shared" si="287"/>
        <v>0</v>
      </c>
      <c r="AF150" s="84">
        <f t="shared" si="287"/>
        <v>0</v>
      </c>
      <c r="AG150" s="84">
        <f t="shared" si="287"/>
        <v>0</v>
      </c>
      <c r="AH150" s="84">
        <f t="shared" si="287"/>
        <v>0</v>
      </c>
      <c r="AI150" s="84">
        <f t="shared" si="287"/>
        <v>0</v>
      </c>
      <c r="AJ150" s="84">
        <f t="shared" ref="AJ150:BA150" si="288">+AJ$6*AnnMiles*MaintC2*(EXP((AJ26+0.75*AnnMiles)*MaintC1)+EXP((AJ27+0.25*AnnMiles)*MaintC1))/2</f>
        <v>0</v>
      </c>
      <c r="AK150" s="84">
        <f t="shared" si="288"/>
        <v>0</v>
      </c>
      <c r="AL150" s="84">
        <f t="shared" si="288"/>
        <v>0</v>
      </c>
      <c r="AM150" s="84">
        <f t="shared" si="288"/>
        <v>0</v>
      </c>
      <c r="AN150" s="84">
        <f t="shared" si="288"/>
        <v>0</v>
      </c>
      <c r="AO150" s="84">
        <f t="shared" si="288"/>
        <v>0</v>
      </c>
      <c r="AP150" s="84">
        <f t="shared" si="288"/>
        <v>0</v>
      </c>
      <c r="AQ150" s="84">
        <f t="shared" si="288"/>
        <v>0</v>
      </c>
      <c r="AR150" s="84">
        <f t="shared" si="288"/>
        <v>0</v>
      </c>
      <c r="AS150" s="84">
        <f t="shared" si="288"/>
        <v>0</v>
      </c>
      <c r="AT150" s="84">
        <f t="shared" si="288"/>
        <v>0</v>
      </c>
      <c r="AU150" s="84">
        <f t="shared" si="288"/>
        <v>0</v>
      </c>
      <c r="AV150" s="84">
        <f t="shared" si="288"/>
        <v>0</v>
      </c>
      <c r="AW150" s="84">
        <f t="shared" si="288"/>
        <v>0</v>
      </c>
      <c r="AX150" s="84">
        <f t="shared" si="288"/>
        <v>0</v>
      </c>
      <c r="AY150" s="84">
        <f t="shared" si="288"/>
        <v>0</v>
      </c>
      <c r="AZ150" s="84">
        <f t="shared" si="288"/>
        <v>0</v>
      </c>
      <c r="BA150" s="84">
        <f t="shared" si="288"/>
        <v>0</v>
      </c>
      <c r="BB150" s="84"/>
      <c r="BC150" s="85">
        <f t="shared" si="253"/>
        <v>59355054.682945549</v>
      </c>
    </row>
    <row r="151" spans="1:55" x14ac:dyDescent="0.2">
      <c r="A151" s="52"/>
      <c r="B151" s="7"/>
      <c r="C151" s="7">
        <f t="shared" si="254"/>
        <v>20</v>
      </c>
      <c r="D151" s="84">
        <f t="shared" ref="D151:AI151" si="289">+D$6*AnnMiles*MaintC2*(EXP((D27+0.75*AnnMiles)*MaintC1)+EXP((D28+0.25*AnnMiles)*MaintC1))/2</f>
        <v>6273187.5855658967</v>
      </c>
      <c r="E151" s="84">
        <f t="shared" si="289"/>
        <v>1666546.440413546</v>
      </c>
      <c r="F151" s="84">
        <f t="shared" si="289"/>
        <v>5968334.4788317326</v>
      </c>
      <c r="G151" s="84">
        <f t="shared" si="289"/>
        <v>2082855.7162646011</v>
      </c>
      <c r="H151" s="84">
        <f t="shared" si="289"/>
        <v>7757040.5784237962</v>
      </c>
      <c r="I151" s="84">
        <f t="shared" si="289"/>
        <v>3048193.0089716865</v>
      </c>
      <c r="J151" s="84">
        <f t="shared" si="289"/>
        <v>4572289.5134575292</v>
      </c>
      <c r="K151" s="84">
        <f t="shared" si="289"/>
        <v>13746847.727346368</v>
      </c>
      <c r="L151" s="84">
        <f t="shared" si="289"/>
        <v>796802.75056091964</v>
      </c>
      <c r="M151" s="84">
        <f t="shared" si="289"/>
        <v>2842357.6594294915</v>
      </c>
      <c r="N151" s="84">
        <f t="shared" si="289"/>
        <v>418212.50570439309</v>
      </c>
      <c r="O151" s="84">
        <f t="shared" si="289"/>
        <v>4572289.5134575292</v>
      </c>
      <c r="P151" s="84">
        <f t="shared" si="289"/>
        <v>1516162.3223073769</v>
      </c>
      <c r="Q151" s="84">
        <f t="shared" si="289"/>
        <v>3148952.5155614745</v>
      </c>
      <c r="R151" s="84">
        <f t="shared" si="289"/>
        <v>0</v>
      </c>
      <c r="S151" s="84">
        <f t="shared" si="289"/>
        <v>0</v>
      </c>
      <c r="T151" s="84">
        <f t="shared" si="289"/>
        <v>0</v>
      </c>
      <c r="U151" s="84">
        <f t="shared" si="289"/>
        <v>0</v>
      </c>
      <c r="V151" s="84">
        <f t="shared" si="289"/>
        <v>0</v>
      </c>
      <c r="W151" s="84">
        <f t="shared" si="289"/>
        <v>0</v>
      </c>
      <c r="X151" s="84">
        <f t="shared" si="289"/>
        <v>0</v>
      </c>
      <c r="Y151" s="84">
        <f t="shared" si="289"/>
        <v>0</v>
      </c>
      <c r="Z151" s="84">
        <f t="shared" si="289"/>
        <v>0</v>
      </c>
      <c r="AA151" s="84">
        <f t="shared" si="289"/>
        <v>0</v>
      </c>
      <c r="AB151" s="84">
        <f t="shared" si="289"/>
        <v>0</v>
      </c>
      <c r="AC151" s="84">
        <f t="shared" si="289"/>
        <v>0</v>
      </c>
      <c r="AD151" s="84">
        <f t="shared" si="289"/>
        <v>0</v>
      </c>
      <c r="AE151" s="84">
        <f t="shared" si="289"/>
        <v>0</v>
      </c>
      <c r="AF151" s="84">
        <f t="shared" si="289"/>
        <v>0</v>
      </c>
      <c r="AG151" s="84">
        <f t="shared" si="289"/>
        <v>0</v>
      </c>
      <c r="AH151" s="84">
        <f t="shared" si="289"/>
        <v>0</v>
      </c>
      <c r="AI151" s="84">
        <f t="shared" si="289"/>
        <v>0</v>
      </c>
      <c r="AJ151" s="84">
        <f t="shared" ref="AJ151:BA151" si="290">+AJ$6*AnnMiles*MaintC2*(EXP((AJ27+0.75*AnnMiles)*MaintC1)+EXP((AJ28+0.25*AnnMiles)*MaintC1))/2</f>
        <v>0</v>
      </c>
      <c r="AK151" s="84">
        <f t="shared" si="290"/>
        <v>0</v>
      </c>
      <c r="AL151" s="84">
        <f t="shared" si="290"/>
        <v>0</v>
      </c>
      <c r="AM151" s="84">
        <f t="shared" si="290"/>
        <v>0</v>
      </c>
      <c r="AN151" s="84">
        <f t="shared" si="290"/>
        <v>0</v>
      </c>
      <c r="AO151" s="84">
        <f t="shared" si="290"/>
        <v>0</v>
      </c>
      <c r="AP151" s="84">
        <f t="shared" si="290"/>
        <v>0</v>
      </c>
      <c r="AQ151" s="84">
        <f t="shared" si="290"/>
        <v>0</v>
      </c>
      <c r="AR151" s="84">
        <f t="shared" si="290"/>
        <v>0</v>
      </c>
      <c r="AS151" s="84">
        <f t="shared" si="290"/>
        <v>0</v>
      </c>
      <c r="AT151" s="84">
        <f t="shared" si="290"/>
        <v>0</v>
      </c>
      <c r="AU151" s="84">
        <f t="shared" si="290"/>
        <v>0</v>
      </c>
      <c r="AV151" s="84">
        <f t="shared" si="290"/>
        <v>0</v>
      </c>
      <c r="AW151" s="84">
        <f t="shared" si="290"/>
        <v>0</v>
      </c>
      <c r="AX151" s="84">
        <f t="shared" si="290"/>
        <v>0</v>
      </c>
      <c r="AY151" s="84">
        <f t="shared" si="290"/>
        <v>0</v>
      </c>
      <c r="AZ151" s="84">
        <f t="shared" si="290"/>
        <v>0</v>
      </c>
      <c r="BA151" s="84">
        <f t="shared" si="290"/>
        <v>0</v>
      </c>
      <c r="BB151" s="84"/>
      <c r="BC151" s="85">
        <f t="shared" si="253"/>
        <v>58410072.316296346</v>
      </c>
    </row>
    <row r="152" spans="1:55" x14ac:dyDescent="0.2">
      <c r="A152" s="52"/>
      <c r="B152" s="7"/>
      <c r="C152" s="7">
        <f t="shared" si="254"/>
        <v>21</v>
      </c>
      <c r="D152" s="84">
        <f t="shared" ref="D152:AI152" si="291">+D$6*AnnMiles*MaintC2*(EXP((D28+0.75*AnnMiles)*MaintC1)+EXP((D29+0.25*AnnMiles)*MaintC1))/2</f>
        <v>6559286.9063757509</v>
      </c>
      <c r="E152" s="84">
        <f t="shared" si="291"/>
        <v>1742552.1071016379</v>
      </c>
      <c r="F152" s="84">
        <f t="shared" si="291"/>
        <v>6240530.458542062</v>
      </c>
      <c r="G152" s="84">
        <f t="shared" si="291"/>
        <v>2177847.8709929804</v>
      </c>
      <c r="H152" s="84">
        <f t="shared" si="291"/>
        <v>8110813.5225149198</v>
      </c>
      <c r="I152" s="84">
        <f t="shared" si="291"/>
        <v>3187211.0022436786</v>
      </c>
      <c r="J152" s="84">
        <f t="shared" si="291"/>
        <v>4780816.5033655176</v>
      </c>
      <c r="K152" s="84">
        <f t="shared" si="291"/>
        <v>14373795.948553672</v>
      </c>
      <c r="L152" s="84">
        <f t="shared" si="291"/>
        <v>833142.28650584037</v>
      </c>
      <c r="M152" s="84">
        <f t="shared" si="291"/>
        <v>2971988.183747394</v>
      </c>
      <c r="N152" s="84">
        <f t="shared" si="291"/>
        <v>437285.79375838331</v>
      </c>
      <c r="O152" s="84">
        <f t="shared" si="291"/>
        <v>4780816.5033655176</v>
      </c>
      <c r="P152" s="84">
        <f t="shared" si="291"/>
        <v>1585309.4671572631</v>
      </c>
      <c r="Q152" s="84">
        <f t="shared" si="291"/>
        <v>3292565.8164035454</v>
      </c>
      <c r="R152" s="84">
        <f t="shared" si="291"/>
        <v>0</v>
      </c>
      <c r="S152" s="84">
        <f t="shared" si="291"/>
        <v>0</v>
      </c>
      <c r="T152" s="84">
        <f t="shared" si="291"/>
        <v>0</v>
      </c>
      <c r="U152" s="84">
        <f t="shared" si="291"/>
        <v>0</v>
      </c>
      <c r="V152" s="84">
        <f t="shared" si="291"/>
        <v>0</v>
      </c>
      <c r="W152" s="84">
        <f t="shared" si="291"/>
        <v>0</v>
      </c>
      <c r="X152" s="84">
        <f t="shared" si="291"/>
        <v>0</v>
      </c>
      <c r="Y152" s="84">
        <f t="shared" si="291"/>
        <v>0</v>
      </c>
      <c r="Z152" s="84">
        <f t="shared" si="291"/>
        <v>0</v>
      </c>
      <c r="AA152" s="84">
        <f t="shared" si="291"/>
        <v>0</v>
      </c>
      <c r="AB152" s="84">
        <f t="shared" si="291"/>
        <v>0</v>
      </c>
      <c r="AC152" s="84">
        <f t="shared" si="291"/>
        <v>0</v>
      </c>
      <c r="AD152" s="84">
        <f t="shared" si="291"/>
        <v>0</v>
      </c>
      <c r="AE152" s="84">
        <f t="shared" si="291"/>
        <v>0</v>
      </c>
      <c r="AF152" s="84">
        <f t="shared" si="291"/>
        <v>0</v>
      </c>
      <c r="AG152" s="84">
        <f t="shared" si="291"/>
        <v>0</v>
      </c>
      <c r="AH152" s="84">
        <f t="shared" si="291"/>
        <v>0</v>
      </c>
      <c r="AI152" s="84">
        <f t="shared" si="291"/>
        <v>0</v>
      </c>
      <c r="AJ152" s="84">
        <f t="shared" ref="AJ152:BA152" si="292">+AJ$6*AnnMiles*MaintC2*(EXP((AJ28+0.75*AnnMiles)*MaintC1)+EXP((AJ29+0.25*AnnMiles)*MaintC1))/2</f>
        <v>0</v>
      </c>
      <c r="AK152" s="84">
        <f t="shared" si="292"/>
        <v>0</v>
      </c>
      <c r="AL152" s="84">
        <f t="shared" si="292"/>
        <v>0</v>
      </c>
      <c r="AM152" s="84">
        <f t="shared" si="292"/>
        <v>0</v>
      </c>
      <c r="AN152" s="84">
        <f t="shared" si="292"/>
        <v>0</v>
      </c>
      <c r="AO152" s="84">
        <f t="shared" si="292"/>
        <v>0</v>
      </c>
      <c r="AP152" s="84">
        <f t="shared" si="292"/>
        <v>0</v>
      </c>
      <c r="AQ152" s="84">
        <f t="shared" si="292"/>
        <v>0</v>
      </c>
      <c r="AR152" s="84">
        <f t="shared" si="292"/>
        <v>0</v>
      </c>
      <c r="AS152" s="84">
        <f t="shared" si="292"/>
        <v>0</v>
      </c>
      <c r="AT152" s="84">
        <f t="shared" si="292"/>
        <v>0</v>
      </c>
      <c r="AU152" s="84">
        <f t="shared" si="292"/>
        <v>0</v>
      </c>
      <c r="AV152" s="84">
        <f t="shared" si="292"/>
        <v>0</v>
      </c>
      <c r="AW152" s="84">
        <f t="shared" si="292"/>
        <v>0</v>
      </c>
      <c r="AX152" s="84">
        <f t="shared" si="292"/>
        <v>0</v>
      </c>
      <c r="AY152" s="84">
        <f t="shared" si="292"/>
        <v>0</v>
      </c>
      <c r="AZ152" s="84">
        <f t="shared" si="292"/>
        <v>0</v>
      </c>
      <c r="BA152" s="84">
        <f t="shared" si="292"/>
        <v>0</v>
      </c>
      <c r="BB152" s="84"/>
      <c r="BC152" s="85">
        <f t="shared" si="253"/>
        <v>61073962.370628163</v>
      </c>
    </row>
    <row r="153" spans="1:55" x14ac:dyDescent="0.2">
      <c r="A153" s="52"/>
      <c r="B153" s="7"/>
      <c r="C153" s="7">
        <f t="shared" si="254"/>
        <v>22</v>
      </c>
      <c r="D153" s="84">
        <f t="shared" ref="D153:AI153" si="293">+D$6*AnnMiles*MaintC2*(EXP((D29+0.75*AnnMiles)*MaintC1)+EXP((D30+0.25*AnnMiles)*MaintC1))/2</f>
        <v>6858434.2701862948</v>
      </c>
      <c r="E153" s="84">
        <f t="shared" si="293"/>
        <v>1822024.1406599304</v>
      </c>
      <c r="F153" s="84">
        <f t="shared" si="293"/>
        <v>6525140.3958871812</v>
      </c>
      <c r="G153" s="84">
        <f t="shared" si="293"/>
        <v>1715625.5746259601</v>
      </c>
      <c r="H153" s="84">
        <f t="shared" si="293"/>
        <v>8480720.8795571625</v>
      </c>
      <c r="I153" s="84">
        <f t="shared" si="293"/>
        <v>3332569.1460233615</v>
      </c>
      <c r="J153" s="84">
        <f t="shared" si="293"/>
        <v>4998853.7190350424</v>
      </c>
      <c r="K153" s="84">
        <f t="shared" si="293"/>
        <v>11323128.792531338</v>
      </c>
      <c r="L153" s="84">
        <f t="shared" si="293"/>
        <v>871139.14839719224</v>
      </c>
      <c r="M153" s="84">
        <f t="shared" si="293"/>
        <v>3107530.7271875869</v>
      </c>
      <c r="N153" s="84">
        <f t="shared" si="293"/>
        <v>457228.95134575298</v>
      </c>
      <c r="O153" s="84">
        <f t="shared" si="293"/>
        <v>4998853.7190350424</v>
      </c>
      <c r="P153" s="84">
        <f t="shared" si="293"/>
        <v>1657610.1843988006</v>
      </c>
      <c r="Q153" s="84">
        <f t="shared" si="293"/>
        <v>3442728.8445205851</v>
      </c>
      <c r="R153" s="84">
        <f t="shared" si="293"/>
        <v>0</v>
      </c>
      <c r="S153" s="84">
        <f t="shared" si="293"/>
        <v>0</v>
      </c>
      <c r="T153" s="84">
        <f t="shared" si="293"/>
        <v>0</v>
      </c>
      <c r="U153" s="84">
        <f t="shared" si="293"/>
        <v>0</v>
      </c>
      <c r="V153" s="84">
        <f t="shared" si="293"/>
        <v>0</v>
      </c>
      <c r="W153" s="84">
        <f t="shared" si="293"/>
        <v>0</v>
      </c>
      <c r="X153" s="84">
        <f t="shared" si="293"/>
        <v>0</v>
      </c>
      <c r="Y153" s="84">
        <f t="shared" si="293"/>
        <v>0</v>
      </c>
      <c r="Z153" s="84">
        <f t="shared" si="293"/>
        <v>0</v>
      </c>
      <c r="AA153" s="84">
        <f t="shared" si="293"/>
        <v>0</v>
      </c>
      <c r="AB153" s="84">
        <f t="shared" si="293"/>
        <v>0</v>
      </c>
      <c r="AC153" s="84">
        <f t="shared" si="293"/>
        <v>0</v>
      </c>
      <c r="AD153" s="84">
        <f t="shared" si="293"/>
        <v>0</v>
      </c>
      <c r="AE153" s="84">
        <f t="shared" si="293"/>
        <v>0</v>
      </c>
      <c r="AF153" s="84">
        <f t="shared" si="293"/>
        <v>0</v>
      </c>
      <c r="AG153" s="84">
        <f t="shared" si="293"/>
        <v>0</v>
      </c>
      <c r="AH153" s="84">
        <f t="shared" si="293"/>
        <v>0</v>
      </c>
      <c r="AI153" s="84">
        <f t="shared" si="293"/>
        <v>0</v>
      </c>
      <c r="AJ153" s="84">
        <f t="shared" ref="AJ153:BA153" si="294">+AJ$6*AnnMiles*MaintC2*(EXP((AJ29+0.75*AnnMiles)*MaintC1)+EXP((AJ30+0.25*AnnMiles)*MaintC1))/2</f>
        <v>0</v>
      </c>
      <c r="AK153" s="84">
        <f t="shared" si="294"/>
        <v>0</v>
      </c>
      <c r="AL153" s="84">
        <f t="shared" si="294"/>
        <v>0</v>
      </c>
      <c r="AM153" s="84">
        <f t="shared" si="294"/>
        <v>0</v>
      </c>
      <c r="AN153" s="84">
        <f t="shared" si="294"/>
        <v>0</v>
      </c>
      <c r="AO153" s="84">
        <f t="shared" si="294"/>
        <v>0</v>
      </c>
      <c r="AP153" s="84">
        <f t="shared" si="294"/>
        <v>0</v>
      </c>
      <c r="AQ153" s="84">
        <f t="shared" si="294"/>
        <v>0</v>
      </c>
      <c r="AR153" s="84">
        <f t="shared" si="294"/>
        <v>0</v>
      </c>
      <c r="AS153" s="84">
        <f t="shared" si="294"/>
        <v>0</v>
      </c>
      <c r="AT153" s="84">
        <f t="shared" si="294"/>
        <v>0</v>
      </c>
      <c r="AU153" s="84">
        <f t="shared" si="294"/>
        <v>0</v>
      </c>
      <c r="AV153" s="84">
        <f t="shared" si="294"/>
        <v>0</v>
      </c>
      <c r="AW153" s="84">
        <f t="shared" si="294"/>
        <v>0</v>
      </c>
      <c r="AX153" s="84">
        <f t="shared" si="294"/>
        <v>0</v>
      </c>
      <c r="AY153" s="84">
        <f t="shared" si="294"/>
        <v>0</v>
      </c>
      <c r="AZ153" s="84">
        <f t="shared" si="294"/>
        <v>0</v>
      </c>
      <c r="BA153" s="84">
        <f t="shared" si="294"/>
        <v>0</v>
      </c>
      <c r="BB153" s="84"/>
      <c r="BC153" s="85">
        <f t="shared" si="253"/>
        <v>59591588.493391246</v>
      </c>
    </row>
    <row r="154" spans="1:55" x14ac:dyDescent="0.2">
      <c r="A154" s="52"/>
      <c r="B154" s="7"/>
      <c r="C154" s="7">
        <f t="shared" si="254"/>
        <v>23</v>
      </c>
      <c r="D154" s="84">
        <f t="shared" ref="D154:AI154" si="295">+D$6*AnnMiles*MaintC2*(EXP((D30+0.75*AnnMiles)*MaintC1)+EXP((D31+0.25*AnnMiles)*MaintC1))/2</f>
        <v>7171224.7550482778</v>
      </c>
      <c r="E154" s="84">
        <f t="shared" si="295"/>
        <v>1905120.6306073039</v>
      </c>
      <c r="F154" s="84">
        <f t="shared" si="295"/>
        <v>6822730.4503831947</v>
      </c>
      <c r="G154" s="84">
        <f t="shared" si="295"/>
        <v>1219660.4683056283</v>
      </c>
      <c r="H154" s="84">
        <f t="shared" si="295"/>
        <v>8867498.4867184777</v>
      </c>
      <c r="I154" s="84">
        <f t="shared" si="295"/>
        <v>3484556.593588769</v>
      </c>
      <c r="J154" s="84">
        <f t="shared" si="295"/>
        <v>5226834.8903831532</v>
      </c>
      <c r="K154" s="84">
        <f t="shared" si="295"/>
        <v>8049759.0908171469</v>
      </c>
      <c r="L154" s="84">
        <f t="shared" si="295"/>
        <v>686250.22985038406</v>
      </c>
      <c r="M154" s="84">
        <f t="shared" si="295"/>
        <v>3249254.9173727776</v>
      </c>
      <c r="N154" s="84">
        <f t="shared" si="295"/>
        <v>478081.65033655183</v>
      </c>
      <c r="O154" s="84">
        <f t="shared" si="295"/>
        <v>5226834.8903831532</v>
      </c>
      <c r="P154" s="84">
        <f t="shared" si="295"/>
        <v>1733208.2980300882</v>
      </c>
      <c r="Q154" s="84">
        <f t="shared" si="295"/>
        <v>3599740.3112932593</v>
      </c>
      <c r="R154" s="84">
        <f t="shared" si="295"/>
        <v>0</v>
      </c>
      <c r="S154" s="84">
        <f t="shared" si="295"/>
        <v>0</v>
      </c>
      <c r="T154" s="84">
        <f t="shared" si="295"/>
        <v>0</v>
      </c>
      <c r="U154" s="84">
        <f t="shared" si="295"/>
        <v>0</v>
      </c>
      <c r="V154" s="84">
        <f t="shared" si="295"/>
        <v>0</v>
      </c>
      <c r="W154" s="84">
        <f t="shared" si="295"/>
        <v>0</v>
      </c>
      <c r="X154" s="84">
        <f t="shared" si="295"/>
        <v>0</v>
      </c>
      <c r="Y154" s="84">
        <f t="shared" si="295"/>
        <v>0</v>
      </c>
      <c r="Z154" s="84">
        <f t="shared" si="295"/>
        <v>0</v>
      </c>
      <c r="AA154" s="84">
        <f t="shared" si="295"/>
        <v>0</v>
      </c>
      <c r="AB154" s="84">
        <f t="shared" si="295"/>
        <v>0</v>
      </c>
      <c r="AC154" s="84">
        <f t="shared" si="295"/>
        <v>0</v>
      </c>
      <c r="AD154" s="84">
        <f t="shared" si="295"/>
        <v>0</v>
      </c>
      <c r="AE154" s="84">
        <f t="shared" si="295"/>
        <v>0</v>
      </c>
      <c r="AF154" s="84">
        <f t="shared" si="295"/>
        <v>0</v>
      </c>
      <c r="AG154" s="84">
        <f t="shared" si="295"/>
        <v>0</v>
      </c>
      <c r="AH154" s="84">
        <f t="shared" si="295"/>
        <v>0</v>
      </c>
      <c r="AI154" s="84">
        <f t="shared" si="295"/>
        <v>0</v>
      </c>
      <c r="AJ154" s="84">
        <f t="shared" ref="AJ154:BA154" si="296">+AJ$6*AnnMiles*MaintC2*(EXP((AJ30+0.75*AnnMiles)*MaintC1)+EXP((AJ31+0.25*AnnMiles)*MaintC1))/2</f>
        <v>0</v>
      </c>
      <c r="AK154" s="84">
        <f t="shared" si="296"/>
        <v>0</v>
      </c>
      <c r="AL154" s="84">
        <f t="shared" si="296"/>
        <v>0</v>
      </c>
      <c r="AM154" s="84">
        <f t="shared" si="296"/>
        <v>0</v>
      </c>
      <c r="AN154" s="84">
        <f t="shared" si="296"/>
        <v>0</v>
      </c>
      <c r="AO154" s="84">
        <f t="shared" si="296"/>
        <v>0</v>
      </c>
      <c r="AP154" s="84">
        <f t="shared" si="296"/>
        <v>0</v>
      </c>
      <c r="AQ154" s="84">
        <f t="shared" si="296"/>
        <v>0</v>
      </c>
      <c r="AR154" s="84">
        <f t="shared" si="296"/>
        <v>0</v>
      </c>
      <c r="AS154" s="84">
        <f t="shared" si="296"/>
        <v>0</v>
      </c>
      <c r="AT154" s="84">
        <f t="shared" si="296"/>
        <v>0</v>
      </c>
      <c r="AU154" s="84">
        <f t="shared" si="296"/>
        <v>0</v>
      </c>
      <c r="AV154" s="84">
        <f t="shared" si="296"/>
        <v>0</v>
      </c>
      <c r="AW154" s="84">
        <f t="shared" si="296"/>
        <v>0</v>
      </c>
      <c r="AX154" s="84">
        <f t="shared" si="296"/>
        <v>0</v>
      </c>
      <c r="AY154" s="84">
        <f t="shared" si="296"/>
        <v>0</v>
      </c>
      <c r="AZ154" s="84">
        <f t="shared" si="296"/>
        <v>0</v>
      </c>
      <c r="BA154" s="84">
        <f t="shared" si="296"/>
        <v>0</v>
      </c>
      <c r="BB154" s="84"/>
      <c r="BC154" s="85">
        <f t="shared" si="253"/>
        <v>57720755.663118161</v>
      </c>
    </row>
    <row r="155" spans="1:55" x14ac:dyDescent="0.2">
      <c r="A155" s="52"/>
      <c r="B155" s="7"/>
      <c r="C155" s="7">
        <f t="shared" si="254"/>
        <v>24</v>
      </c>
      <c r="D155" s="84">
        <f t="shared" ref="D155:AI155" si="297">+D$6*AnnMiles*MaintC2*(EXP((D31+0.75*AnnMiles)*MaintC1)+EXP((D32+0.25*AnnMiles)*MaintC1))/2</f>
        <v>7498280.5785525646</v>
      </c>
      <c r="E155" s="84">
        <f t="shared" si="297"/>
        <v>1992006.8764022992</v>
      </c>
      <c r="F155" s="84">
        <f t="shared" si="297"/>
        <v>7133892.6022076821</v>
      </c>
      <c r="G155" s="84">
        <f t="shared" si="297"/>
        <v>1275285.1450495156</v>
      </c>
      <c r="H155" s="84">
        <f t="shared" si="297"/>
        <v>9271915.7402643431</v>
      </c>
      <c r="I155" s="84">
        <f t="shared" si="297"/>
        <v>2745000.9194015362</v>
      </c>
      <c r="J155" s="84">
        <f t="shared" si="297"/>
        <v>4117501.3791023041</v>
      </c>
      <c r="K155" s="84">
        <f t="shared" si="297"/>
        <v>8416881.9573268034</v>
      </c>
      <c r="L155" s="84">
        <f t="shared" si="297"/>
        <v>487864.18732225132</v>
      </c>
      <c r="M155" s="84">
        <f t="shared" si="297"/>
        <v>3397442.6787490495</v>
      </c>
      <c r="N155" s="84">
        <f t="shared" si="297"/>
        <v>499885.37190350424</v>
      </c>
      <c r="O155" s="84">
        <f t="shared" si="297"/>
        <v>4117501.3791023041</v>
      </c>
      <c r="P155" s="84">
        <f t="shared" si="297"/>
        <v>1812254.1913857036</v>
      </c>
      <c r="Q155" s="84">
        <f t="shared" si="297"/>
        <v>3763912.5513395374</v>
      </c>
      <c r="R155" s="84">
        <f t="shared" si="297"/>
        <v>0</v>
      </c>
      <c r="S155" s="84">
        <f t="shared" si="297"/>
        <v>0</v>
      </c>
      <c r="T155" s="84">
        <f t="shared" si="297"/>
        <v>0</v>
      </c>
      <c r="U155" s="84">
        <f t="shared" si="297"/>
        <v>0</v>
      </c>
      <c r="V155" s="84">
        <f t="shared" si="297"/>
        <v>0</v>
      </c>
      <c r="W155" s="84">
        <f t="shared" si="297"/>
        <v>0</v>
      </c>
      <c r="X155" s="84">
        <f t="shared" si="297"/>
        <v>0</v>
      </c>
      <c r="Y155" s="84">
        <f t="shared" si="297"/>
        <v>0</v>
      </c>
      <c r="Z155" s="84">
        <f t="shared" si="297"/>
        <v>0</v>
      </c>
      <c r="AA155" s="84">
        <f t="shared" si="297"/>
        <v>0</v>
      </c>
      <c r="AB155" s="84">
        <f t="shared" si="297"/>
        <v>0</v>
      </c>
      <c r="AC155" s="84">
        <f t="shared" si="297"/>
        <v>0</v>
      </c>
      <c r="AD155" s="84">
        <f t="shared" si="297"/>
        <v>0</v>
      </c>
      <c r="AE155" s="84">
        <f t="shared" si="297"/>
        <v>0</v>
      </c>
      <c r="AF155" s="84">
        <f t="shared" si="297"/>
        <v>0</v>
      </c>
      <c r="AG155" s="84">
        <f t="shared" si="297"/>
        <v>0</v>
      </c>
      <c r="AH155" s="84">
        <f t="shared" si="297"/>
        <v>0</v>
      </c>
      <c r="AI155" s="84">
        <f t="shared" si="297"/>
        <v>0</v>
      </c>
      <c r="AJ155" s="84">
        <f t="shared" ref="AJ155:BA155" si="298">+AJ$6*AnnMiles*MaintC2*(EXP((AJ31+0.75*AnnMiles)*MaintC1)+EXP((AJ32+0.25*AnnMiles)*MaintC1))/2</f>
        <v>0</v>
      </c>
      <c r="AK155" s="84">
        <f t="shared" si="298"/>
        <v>0</v>
      </c>
      <c r="AL155" s="84">
        <f t="shared" si="298"/>
        <v>0</v>
      </c>
      <c r="AM155" s="84">
        <f t="shared" si="298"/>
        <v>0</v>
      </c>
      <c r="AN155" s="84">
        <f t="shared" si="298"/>
        <v>0</v>
      </c>
      <c r="AO155" s="84">
        <f t="shared" si="298"/>
        <v>0</v>
      </c>
      <c r="AP155" s="84">
        <f t="shared" si="298"/>
        <v>0</v>
      </c>
      <c r="AQ155" s="84">
        <f t="shared" si="298"/>
        <v>0</v>
      </c>
      <c r="AR155" s="84">
        <f t="shared" si="298"/>
        <v>0</v>
      </c>
      <c r="AS155" s="84">
        <f t="shared" si="298"/>
        <v>0</v>
      </c>
      <c r="AT155" s="84">
        <f t="shared" si="298"/>
        <v>0</v>
      </c>
      <c r="AU155" s="84">
        <f t="shared" si="298"/>
        <v>0</v>
      </c>
      <c r="AV155" s="84">
        <f t="shared" si="298"/>
        <v>0</v>
      </c>
      <c r="AW155" s="84">
        <f t="shared" si="298"/>
        <v>0</v>
      </c>
      <c r="AX155" s="84">
        <f t="shared" si="298"/>
        <v>0</v>
      </c>
      <c r="AY155" s="84">
        <f t="shared" si="298"/>
        <v>0</v>
      </c>
      <c r="AZ155" s="84">
        <f t="shared" si="298"/>
        <v>0</v>
      </c>
      <c r="BA155" s="84">
        <f t="shared" si="298"/>
        <v>0</v>
      </c>
      <c r="BB155" s="84"/>
      <c r="BC155" s="85">
        <f t="shared" si="253"/>
        <v>56529625.558109395</v>
      </c>
    </row>
    <row r="156" spans="1:55" x14ac:dyDescent="0.2">
      <c r="A156" s="52"/>
      <c r="B156" s="7"/>
      <c r="C156" s="7">
        <f t="shared" si="254"/>
        <v>25</v>
      </c>
      <c r="D156" s="84">
        <f t="shared" ref="D156:AI156" si="299">+D$6*AnnMiles*MaintC2*(EXP((D32+0.75*AnnMiles)*MaintC1)+EXP((D33+0.25*AnnMiles)*MaintC1))/2</f>
        <v>7840252.3355747303</v>
      </c>
      <c r="E156" s="84">
        <f t="shared" si="299"/>
        <v>2082855.7162646011</v>
      </c>
      <c r="F156" s="84">
        <f t="shared" si="299"/>
        <v>7459245.8297946006</v>
      </c>
      <c r="G156" s="84">
        <f t="shared" si="299"/>
        <v>1333446.6791756542</v>
      </c>
      <c r="H156" s="84">
        <f t="shared" si="299"/>
        <v>9694777.1260771081</v>
      </c>
      <c r="I156" s="84">
        <f t="shared" si="299"/>
        <v>1951456.7492890053</v>
      </c>
      <c r="J156" s="84">
        <f t="shared" si="299"/>
        <v>2927185.1239335076</v>
      </c>
      <c r="K156" s="84">
        <f t="shared" si="299"/>
        <v>8800748.0825593192</v>
      </c>
      <c r="L156" s="84">
        <f t="shared" si="299"/>
        <v>510114.05801980622</v>
      </c>
      <c r="M156" s="84">
        <f t="shared" si="299"/>
        <v>2676375.8964164979</v>
      </c>
      <c r="N156" s="84">
        <f t="shared" si="299"/>
        <v>522683.48903831531</v>
      </c>
      <c r="O156" s="84">
        <f t="shared" si="299"/>
        <v>2927185.1239335076</v>
      </c>
      <c r="P156" s="84">
        <f t="shared" si="299"/>
        <v>1894905.1062863281</v>
      </c>
      <c r="Q156" s="84">
        <f t="shared" si="299"/>
        <v>3935572.1438254495</v>
      </c>
      <c r="R156" s="84">
        <f t="shared" si="299"/>
        <v>0</v>
      </c>
      <c r="S156" s="84">
        <f t="shared" si="299"/>
        <v>0</v>
      </c>
      <c r="T156" s="84">
        <f t="shared" si="299"/>
        <v>0</v>
      </c>
      <c r="U156" s="84">
        <f t="shared" si="299"/>
        <v>0</v>
      </c>
      <c r="V156" s="84">
        <f t="shared" si="299"/>
        <v>0</v>
      </c>
      <c r="W156" s="84">
        <f t="shared" si="299"/>
        <v>0</v>
      </c>
      <c r="X156" s="84">
        <f t="shared" si="299"/>
        <v>0</v>
      </c>
      <c r="Y156" s="84">
        <f t="shared" si="299"/>
        <v>0</v>
      </c>
      <c r="Z156" s="84">
        <f t="shared" si="299"/>
        <v>0</v>
      </c>
      <c r="AA156" s="84">
        <f t="shared" si="299"/>
        <v>0</v>
      </c>
      <c r="AB156" s="84">
        <f t="shared" si="299"/>
        <v>0</v>
      </c>
      <c r="AC156" s="84">
        <f t="shared" si="299"/>
        <v>0</v>
      </c>
      <c r="AD156" s="84">
        <f t="shared" si="299"/>
        <v>0</v>
      </c>
      <c r="AE156" s="84">
        <f t="shared" si="299"/>
        <v>0</v>
      </c>
      <c r="AF156" s="84">
        <f t="shared" si="299"/>
        <v>0</v>
      </c>
      <c r="AG156" s="84">
        <f t="shared" si="299"/>
        <v>0</v>
      </c>
      <c r="AH156" s="84">
        <f t="shared" si="299"/>
        <v>0</v>
      </c>
      <c r="AI156" s="84">
        <f t="shared" si="299"/>
        <v>0</v>
      </c>
      <c r="AJ156" s="84">
        <f t="shared" ref="AJ156:BA156" si="300">+AJ$6*AnnMiles*MaintC2*(EXP((AJ32+0.75*AnnMiles)*MaintC1)+EXP((AJ33+0.25*AnnMiles)*MaintC1))/2</f>
        <v>0</v>
      </c>
      <c r="AK156" s="84">
        <f t="shared" si="300"/>
        <v>0</v>
      </c>
      <c r="AL156" s="84">
        <f t="shared" si="300"/>
        <v>0</v>
      </c>
      <c r="AM156" s="84">
        <f t="shared" si="300"/>
        <v>0</v>
      </c>
      <c r="AN156" s="84">
        <f t="shared" si="300"/>
        <v>0</v>
      </c>
      <c r="AO156" s="84">
        <f t="shared" si="300"/>
        <v>0</v>
      </c>
      <c r="AP156" s="84">
        <f t="shared" si="300"/>
        <v>0</v>
      </c>
      <c r="AQ156" s="84">
        <f t="shared" si="300"/>
        <v>0</v>
      </c>
      <c r="AR156" s="84">
        <f t="shared" si="300"/>
        <v>0</v>
      </c>
      <c r="AS156" s="84">
        <f t="shared" si="300"/>
        <v>0</v>
      </c>
      <c r="AT156" s="84">
        <f t="shared" si="300"/>
        <v>0</v>
      </c>
      <c r="AU156" s="84">
        <f t="shared" si="300"/>
        <v>0</v>
      </c>
      <c r="AV156" s="84">
        <f t="shared" si="300"/>
        <v>0</v>
      </c>
      <c r="AW156" s="84">
        <f t="shared" si="300"/>
        <v>0</v>
      </c>
      <c r="AX156" s="84">
        <f t="shared" si="300"/>
        <v>0</v>
      </c>
      <c r="AY156" s="84">
        <f t="shared" si="300"/>
        <v>0</v>
      </c>
      <c r="AZ156" s="84">
        <f t="shared" si="300"/>
        <v>0</v>
      </c>
      <c r="BA156" s="84">
        <f t="shared" si="300"/>
        <v>0</v>
      </c>
      <c r="BB156" s="84"/>
      <c r="BC156" s="85">
        <f t="shared" si="253"/>
        <v>54556803.460188434</v>
      </c>
    </row>
    <row r="157" spans="1:55" x14ac:dyDescent="0.2">
      <c r="A157" s="52"/>
      <c r="B157" s="7"/>
      <c r="C157" s="7">
        <f t="shared" si="254"/>
        <v>26</v>
      </c>
      <c r="D157" s="84">
        <f t="shared" ref="D157:AI157" si="301">+D$6*AnnMiles*MaintC2*(EXP((D33+0.75*AnnMiles)*MaintC1)+EXP((D34+0.25*AnnMiles)*MaintC1))/2</f>
        <v>6176252.0686534569</v>
      </c>
      <c r="E157" s="84">
        <f t="shared" si="301"/>
        <v>2177847.8709929804</v>
      </c>
      <c r="F157" s="84">
        <f t="shared" si="301"/>
        <v>7799437.3411353957</v>
      </c>
      <c r="G157" s="84">
        <f t="shared" si="301"/>
        <v>1394260.7683519619</v>
      </c>
      <c r="H157" s="84">
        <f t="shared" si="301"/>
        <v>10136923.81997728</v>
      </c>
      <c r="I157" s="84">
        <f t="shared" si="301"/>
        <v>2040456.2320792249</v>
      </c>
      <c r="J157" s="84">
        <f t="shared" si="301"/>
        <v>3060684.3481188375</v>
      </c>
      <c r="K157" s="84">
        <f t="shared" si="301"/>
        <v>9202121.0711229481</v>
      </c>
      <c r="L157" s="84">
        <f t="shared" si="301"/>
        <v>533378.67167026165</v>
      </c>
      <c r="M157" s="84">
        <f t="shared" si="301"/>
        <v>1902670.3305567801</v>
      </c>
      <c r="N157" s="84">
        <f t="shared" si="301"/>
        <v>411750.13791023043</v>
      </c>
      <c r="O157" s="84">
        <f t="shared" si="301"/>
        <v>3060684.3481188375</v>
      </c>
      <c r="P157" s="84">
        <f t="shared" si="301"/>
        <v>1981325.4558315964</v>
      </c>
      <c r="Q157" s="84">
        <f t="shared" si="301"/>
        <v>4115060.5621117763</v>
      </c>
      <c r="R157" s="84">
        <f t="shared" si="301"/>
        <v>0</v>
      </c>
      <c r="S157" s="84">
        <f t="shared" si="301"/>
        <v>0</v>
      </c>
      <c r="T157" s="84">
        <f t="shared" si="301"/>
        <v>0</v>
      </c>
      <c r="U157" s="84">
        <f t="shared" si="301"/>
        <v>0</v>
      </c>
      <c r="V157" s="84">
        <f t="shared" si="301"/>
        <v>0</v>
      </c>
      <c r="W157" s="84">
        <f t="shared" si="301"/>
        <v>0</v>
      </c>
      <c r="X157" s="84">
        <f t="shared" si="301"/>
        <v>0</v>
      </c>
      <c r="Y157" s="84">
        <f t="shared" si="301"/>
        <v>0</v>
      </c>
      <c r="Z157" s="84">
        <f t="shared" si="301"/>
        <v>0</v>
      </c>
      <c r="AA157" s="84">
        <f t="shared" si="301"/>
        <v>0</v>
      </c>
      <c r="AB157" s="84">
        <f t="shared" si="301"/>
        <v>0</v>
      </c>
      <c r="AC157" s="84">
        <f t="shared" si="301"/>
        <v>0</v>
      </c>
      <c r="AD157" s="84">
        <f t="shared" si="301"/>
        <v>0</v>
      </c>
      <c r="AE157" s="84">
        <f t="shared" si="301"/>
        <v>0</v>
      </c>
      <c r="AF157" s="84">
        <f t="shared" si="301"/>
        <v>0</v>
      </c>
      <c r="AG157" s="84">
        <f t="shared" si="301"/>
        <v>0</v>
      </c>
      <c r="AH157" s="84">
        <f t="shared" si="301"/>
        <v>0</v>
      </c>
      <c r="AI157" s="84">
        <f t="shared" si="301"/>
        <v>0</v>
      </c>
      <c r="AJ157" s="84">
        <f t="shared" ref="AJ157:BA157" si="302">+AJ$6*AnnMiles*MaintC2*(EXP((AJ33+0.75*AnnMiles)*MaintC1)+EXP((AJ34+0.25*AnnMiles)*MaintC1))/2</f>
        <v>0</v>
      </c>
      <c r="AK157" s="84">
        <f t="shared" si="302"/>
        <v>0</v>
      </c>
      <c r="AL157" s="84">
        <f t="shared" si="302"/>
        <v>0</v>
      </c>
      <c r="AM157" s="84">
        <f t="shared" si="302"/>
        <v>0</v>
      </c>
      <c r="AN157" s="84">
        <f t="shared" si="302"/>
        <v>0</v>
      </c>
      <c r="AO157" s="84">
        <f t="shared" si="302"/>
        <v>0</v>
      </c>
      <c r="AP157" s="84">
        <f t="shared" si="302"/>
        <v>0</v>
      </c>
      <c r="AQ157" s="84">
        <f t="shared" si="302"/>
        <v>0</v>
      </c>
      <c r="AR157" s="84">
        <f t="shared" si="302"/>
        <v>0</v>
      </c>
      <c r="AS157" s="84">
        <f t="shared" si="302"/>
        <v>0</v>
      </c>
      <c r="AT157" s="84">
        <f t="shared" si="302"/>
        <v>0</v>
      </c>
      <c r="AU157" s="84">
        <f t="shared" si="302"/>
        <v>0</v>
      </c>
      <c r="AV157" s="84">
        <f t="shared" si="302"/>
        <v>0</v>
      </c>
      <c r="AW157" s="84">
        <f t="shared" si="302"/>
        <v>0</v>
      </c>
      <c r="AX157" s="84">
        <f t="shared" si="302"/>
        <v>0</v>
      </c>
      <c r="AY157" s="84">
        <f t="shared" si="302"/>
        <v>0</v>
      </c>
      <c r="AZ157" s="84">
        <f t="shared" si="302"/>
        <v>0</v>
      </c>
      <c r="BA157" s="84">
        <f t="shared" si="302"/>
        <v>0</v>
      </c>
      <c r="BB157" s="84"/>
      <c r="BC157" s="85">
        <f t="shared" si="253"/>
        <v>53992853.026631564</v>
      </c>
    </row>
    <row r="158" spans="1:55" x14ac:dyDescent="0.2">
      <c r="A158" s="52"/>
      <c r="B158" s="7"/>
      <c r="C158" s="7">
        <f t="shared" si="254"/>
        <v>27</v>
      </c>
      <c r="D158" s="84">
        <f t="shared" ref="D158:AI158" si="303">+D$6*AnnMiles*MaintC2*(EXP((D34+0.75*AnnMiles)*MaintC1)+EXP((D35+0.25*AnnMiles)*MaintC1))/2</f>
        <v>4390777.6859002626</v>
      </c>
      <c r="E158" s="84">
        <f t="shared" si="303"/>
        <v>1715625.5746259601</v>
      </c>
      <c r="F158" s="84">
        <f t="shared" si="303"/>
        <v>8155143.8612356642</v>
      </c>
      <c r="G158" s="84">
        <f t="shared" si="303"/>
        <v>1457848.3868340161</v>
      </c>
      <c r="H158" s="84">
        <f t="shared" si="303"/>
        <v>10599235.361030154</v>
      </c>
      <c r="I158" s="84">
        <f t="shared" si="303"/>
        <v>2133514.6866810466</v>
      </c>
      <c r="J158" s="84">
        <f t="shared" si="303"/>
        <v>3200272.0300215702</v>
      </c>
      <c r="K158" s="84">
        <f t="shared" si="303"/>
        <v>9621799.3531045057</v>
      </c>
      <c r="L158" s="84">
        <f t="shared" si="303"/>
        <v>557704.30734078481</v>
      </c>
      <c r="M158" s="84">
        <f t="shared" si="303"/>
        <v>1989444.8262772444</v>
      </c>
      <c r="N158" s="84">
        <f t="shared" si="303"/>
        <v>292718.51239335077</v>
      </c>
      <c r="O158" s="84">
        <f t="shared" si="303"/>
        <v>3200272.0300215702</v>
      </c>
      <c r="P158" s="84">
        <f t="shared" si="303"/>
        <v>2071687.1514583915</v>
      </c>
      <c r="Q158" s="84">
        <f t="shared" si="303"/>
        <v>4302734.8530289661</v>
      </c>
      <c r="R158" s="84">
        <f t="shared" si="303"/>
        <v>0</v>
      </c>
      <c r="S158" s="84">
        <f t="shared" si="303"/>
        <v>0</v>
      </c>
      <c r="T158" s="84">
        <f t="shared" si="303"/>
        <v>0</v>
      </c>
      <c r="U158" s="84">
        <f t="shared" si="303"/>
        <v>0</v>
      </c>
      <c r="V158" s="84">
        <f t="shared" si="303"/>
        <v>0</v>
      </c>
      <c r="W158" s="84">
        <f t="shared" si="303"/>
        <v>0</v>
      </c>
      <c r="X158" s="84">
        <f t="shared" si="303"/>
        <v>0</v>
      </c>
      <c r="Y158" s="84">
        <f t="shared" si="303"/>
        <v>0</v>
      </c>
      <c r="Z158" s="84">
        <f t="shared" si="303"/>
        <v>0</v>
      </c>
      <c r="AA158" s="84">
        <f t="shared" si="303"/>
        <v>0</v>
      </c>
      <c r="AB158" s="84">
        <f t="shared" si="303"/>
        <v>0</v>
      </c>
      <c r="AC158" s="84">
        <f t="shared" si="303"/>
        <v>0</v>
      </c>
      <c r="AD158" s="84">
        <f t="shared" si="303"/>
        <v>0</v>
      </c>
      <c r="AE158" s="84">
        <f t="shared" si="303"/>
        <v>0</v>
      </c>
      <c r="AF158" s="84">
        <f t="shared" si="303"/>
        <v>0</v>
      </c>
      <c r="AG158" s="84">
        <f t="shared" si="303"/>
        <v>0</v>
      </c>
      <c r="AH158" s="84">
        <f t="shared" si="303"/>
        <v>0</v>
      </c>
      <c r="AI158" s="84">
        <f t="shared" si="303"/>
        <v>0</v>
      </c>
      <c r="AJ158" s="84">
        <f t="shared" ref="AJ158:BA158" si="304">+AJ$6*AnnMiles*MaintC2*(EXP((AJ34+0.75*AnnMiles)*MaintC1)+EXP((AJ35+0.25*AnnMiles)*MaintC1))/2</f>
        <v>0</v>
      </c>
      <c r="AK158" s="84">
        <f t="shared" si="304"/>
        <v>0</v>
      </c>
      <c r="AL158" s="84">
        <f t="shared" si="304"/>
        <v>0</v>
      </c>
      <c r="AM158" s="84">
        <f t="shared" si="304"/>
        <v>0</v>
      </c>
      <c r="AN158" s="84">
        <f t="shared" si="304"/>
        <v>0</v>
      </c>
      <c r="AO158" s="84">
        <f t="shared" si="304"/>
        <v>0</v>
      </c>
      <c r="AP158" s="84">
        <f t="shared" si="304"/>
        <v>0</v>
      </c>
      <c r="AQ158" s="84">
        <f t="shared" si="304"/>
        <v>0</v>
      </c>
      <c r="AR158" s="84">
        <f t="shared" si="304"/>
        <v>0</v>
      </c>
      <c r="AS158" s="84">
        <f t="shared" si="304"/>
        <v>0</v>
      </c>
      <c r="AT158" s="84">
        <f t="shared" si="304"/>
        <v>0</v>
      </c>
      <c r="AU158" s="84">
        <f t="shared" si="304"/>
        <v>0</v>
      </c>
      <c r="AV158" s="84">
        <f t="shared" si="304"/>
        <v>0</v>
      </c>
      <c r="AW158" s="84">
        <f t="shared" si="304"/>
        <v>0</v>
      </c>
      <c r="AX158" s="84">
        <f t="shared" si="304"/>
        <v>0</v>
      </c>
      <c r="AY158" s="84">
        <f t="shared" si="304"/>
        <v>0</v>
      </c>
      <c r="AZ158" s="84">
        <f t="shared" si="304"/>
        <v>0</v>
      </c>
      <c r="BA158" s="84">
        <f t="shared" si="304"/>
        <v>0</v>
      </c>
      <c r="BB158" s="84"/>
      <c r="BC158" s="85">
        <f t="shared" si="253"/>
        <v>53688778.619953491</v>
      </c>
    </row>
    <row r="159" spans="1:55" x14ac:dyDescent="0.2">
      <c r="A159" s="52"/>
      <c r="B159" s="7"/>
      <c r="C159" s="7">
        <f t="shared" si="254"/>
        <v>28</v>
      </c>
      <c r="D159" s="84">
        <f t="shared" ref="D159:AI159" si="305">+D$6*AnnMiles*MaintC2*(EXP((D35+0.75*AnnMiles)*MaintC1)+EXP((D36+0.25*AnnMiles)*MaintC1))/2</f>
        <v>4591026.5221782569</v>
      </c>
      <c r="E159" s="84">
        <f t="shared" si="305"/>
        <v>1219660.4683056283</v>
      </c>
      <c r="F159" s="84">
        <f t="shared" si="305"/>
        <v>8527072.9782884736</v>
      </c>
      <c r="G159" s="84">
        <f t="shared" si="305"/>
        <v>1524336.0261127527</v>
      </c>
      <c r="H159" s="84">
        <f t="shared" si="305"/>
        <v>11082631.401166417</v>
      </c>
      <c r="I159" s="84">
        <f t="shared" si="305"/>
        <v>2230817.2293631393</v>
      </c>
      <c r="J159" s="84">
        <f t="shared" si="305"/>
        <v>3346225.8440447086</v>
      </c>
      <c r="K159" s="84">
        <f t="shared" si="305"/>
        <v>10060617.772344168</v>
      </c>
      <c r="L159" s="84">
        <f t="shared" si="305"/>
        <v>583139.35473360645</v>
      </c>
      <c r="M159" s="84">
        <f t="shared" si="305"/>
        <v>2080176.8195140208</v>
      </c>
      <c r="N159" s="84">
        <f t="shared" si="305"/>
        <v>306068.43481188378</v>
      </c>
      <c r="O159" s="84">
        <f t="shared" si="305"/>
        <v>3346225.8440447086</v>
      </c>
      <c r="P159" s="84">
        <f t="shared" si="305"/>
        <v>2166169.9449151852</v>
      </c>
      <c r="Q159" s="84">
        <f t="shared" si="305"/>
        <v>4498968.3471315382</v>
      </c>
      <c r="R159" s="84">
        <f t="shared" si="305"/>
        <v>0</v>
      </c>
      <c r="S159" s="84">
        <f t="shared" si="305"/>
        <v>0</v>
      </c>
      <c r="T159" s="84">
        <f t="shared" si="305"/>
        <v>0</v>
      </c>
      <c r="U159" s="84">
        <f t="shared" si="305"/>
        <v>0</v>
      </c>
      <c r="V159" s="84">
        <f t="shared" si="305"/>
        <v>0</v>
      </c>
      <c r="W159" s="84">
        <f t="shared" si="305"/>
        <v>0</v>
      </c>
      <c r="X159" s="84">
        <f t="shared" si="305"/>
        <v>0</v>
      </c>
      <c r="Y159" s="84">
        <f t="shared" si="305"/>
        <v>0</v>
      </c>
      <c r="Z159" s="84">
        <f t="shared" si="305"/>
        <v>0</v>
      </c>
      <c r="AA159" s="84">
        <f t="shared" si="305"/>
        <v>0</v>
      </c>
      <c r="AB159" s="84">
        <f t="shared" si="305"/>
        <v>0</v>
      </c>
      <c r="AC159" s="84">
        <f t="shared" si="305"/>
        <v>0</v>
      </c>
      <c r="AD159" s="84">
        <f t="shared" si="305"/>
        <v>0</v>
      </c>
      <c r="AE159" s="84">
        <f t="shared" si="305"/>
        <v>0</v>
      </c>
      <c r="AF159" s="84">
        <f t="shared" si="305"/>
        <v>0</v>
      </c>
      <c r="AG159" s="84">
        <f t="shared" si="305"/>
        <v>0</v>
      </c>
      <c r="AH159" s="84">
        <f t="shared" si="305"/>
        <v>0</v>
      </c>
      <c r="AI159" s="84">
        <f t="shared" si="305"/>
        <v>0</v>
      </c>
      <c r="AJ159" s="84">
        <f t="shared" ref="AJ159:BA159" si="306">+AJ$6*AnnMiles*MaintC2*(EXP((AJ35+0.75*AnnMiles)*MaintC1)+EXP((AJ36+0.25*AnnMiles)*MaintC1))/2</f>
        <v>0</v>
      </c>
      <c r="AK159" s="84">
        <f t="shared" si="306"/>
        <v>0</v>
      </c>
      <c r="AL159" s="84">
        <f t="shared" si="306"/>
        <v>0</v>
      </c>
      <c r="AM159" s="84">
        <f t="shared" si="306"/>
        <v>0</v>
      </c>
      <c r="AN159" s="84">
        <f t="shared" si="306"/>
        <v>0</v>
      </c>
      <c r="AO159" s="84">
        <f t="shared" si="306"/>
        <v>0</v>
      </c>
      <c r="AP159" s="84">
        <f t="shared" si="306"/>
        <v>0</v>
      </c>
      <c r="AQ159" s="84">
        <f t="shared" si="306"/>
        <v>0</v>
      </c>
      <c r="AR159" s="84">
        <f t="shared" si="306"/>
        <v>0</v>
      </c>
      <c r="AS159" s="84">
        <f t="shared" si="306"/>
        <v>0</v>
      </c>
      <c r="AT159" s="84">
        <f t="shared" si="306"/>
        <v>0</v>
      </c>
      <c r="AU159" s="84">
        <f t="shared" si="306"/>
        <v>0</v>
      </c>
      <c r="AV159" s="84">
        <f t="shared" si="306"/>
        <v>0</v>
      </c>
      <c r="AW159" s="84">
        <f t="shared" si="306"/>
        <v>0</v>
      </c>
      <c r="AX159" s="84">
        <f t="shared" si="306"/>
        <v>0</v>
      </c>
      <c r="AY159" s="84">
        <f t="shared" si="306"/>
        <v>0</v>
      </c>
      <c r="AZ159" s="84">
        <f t="shared" si="306"/>
        <v>0</v>
      </c>
      <c r="BA159" s="84">
        <f t="shared" si="306"/>
        <v>0</v>
      </c>
      <c r="BB159" s="84"/>
      <c r="BC159" s="85">
        <f t="shared" si="253"/>
        <v>55563136.98695448</v>
      </c>
    </row>
    <row r="160" spans="1:55" x14ac:dyDescent="0.2">
      <c r="A160" s="52"/>
      <c r="B160" s="7"/>
      <c r="C160" s="7">
        <f t="shared" si="254"/>
        <v>29</v>
      </c>
      <c r="D160" s="84">
        <f t="shared" ref="D160:AI160" si="307">+D$6*AnnMiles*MaintC2*(EXP((D36+0.75*AnnMiles)*MaintC1)+EXP((D37+0.25*AnnMiles)*MaintC1))/2</f>
        <v>4800408.0450323559</v>
      </c>
      <c r="E160" s="84">
        <f t="shared" si="307"/>
        <v>1275285.1450495156</v>
      </c>
      <c r="F160" s="84">
        <f t="shared" si="307"/>
        <v>8915964.551242182</v>
      </c>
      <c r="G160" s="84">
        <f t="shared" si="307"/>
        <v>1593855.9465373079</v>
      </c>
      <c r="H160" s="84">
        <f t="shared" si="307"/>
        <v>11588073.534597158</v>
      </c>
      <c r="I160" s="84">
        <f t="shared" si="307"/>
        <v>2332557.4189344258</v>
      </c>
      <c r="J160" s="84">
        <f t="shared" si="307"/>
        <v>3498836.1284016385</v>
      </c>
      <c r="K160" s="84">
        <f t="shared" si="307"/>
        <v>10519449.247146234</v>
      </c>
      <c r="L160" s="84">
        <f t="shared" si="307"/>
        <v>609734.41044510109</v>
      </c>
      <c r="M160" s="84">
        <f t="shared" si="307"/>
        <v>2175046.7986290609</v>
      </c>
      <c r="N160" s="84">
        <f t="shared" si="307"/>
        <v>320027.20300215704</v>
      </c>
      <c r="O160" s="84">
        <f t="shared" si="307"/>
        <v>3498836.1284016385</v>
      </c>
      <c r="P160" s="84">
        <f t="shared" si="307"/>
        <v>2264961.7858326999</v>
      </c>
      <c r="Q160" s="84">
        <f t="shared" si="307"/>
        <v>4704151.4013448376</v>
      </c>
      <c r="R160" s="84">
        <f t="shared" si="307"/>
        <v>0</v>
      </c>
      <c r="S160" s="84">
        <f t="shared" si="307"/>
        <v>0</v>
      </c>
      <c r="T160" s="84">
        <f t="shared" si="307"/>
        <v>0</v>
      </c>
      <c r="U160" s="84">
        <f t="shared" si="307"/>
        <v>0</v>
      </c>
      <c r="V160" s="84">
        <f t="shared" si="307"/>
        <v>0</v>
      </c>
      <c r="W160" s="84">
        <f t="shared" si="307"/>
        <v>0</v>
      </c>
      <c r="X160" s="84">
        <f t="shared" si="307"/>
        <v>0</v>
      </c>
      <c r="Y160" s="84">
        <f t="shared" si="307"/>
        <v>0</v>
      </c>
      <c r="Z160" s="84">
        <f t="shared" si="307"/>
        <v>0</v>
      </c>
      <c r="AA160" s="84">
        <f t="shared" si="307"/>
        <v>0</v>
      </c>
      <c r="AB160" s="84">
        <f t="shared" si="307"/>
        <v>0</v>
      </c>
      <c r="AC160" s="84">
        <f t="shared" si="307"/>
        <v>0</v>
      </c>
      <c r="AD160" s="84">
        <f t="shared" si="307"/>
        <v>0</v>
      </c>
      <c r="AE160" s="84">
        <f t="shared" si="307"/>
        <v>0</v>
      </c>
      <c r="AF160" s="84">
        <f t="shared" si="307"/>
        <v>0</v>
      </c>
      <c r="AG160" s="84">
        <f t="shared" si="307"/>
        <v>0</v>
      </c>
      <c r="AH160" s="84">
        <f t="shared" si="307"/>
        <v>0</v>
      </c>
      <c r="AI160" s="84">
        <f t="shared" si="307"/>
        <v>0</v>
      </c>
      <c r="AJ160" s="84">
        <f t="shared" ref="AJ160:BA160" si="308">+AJ$6*AnnMiles*MaintC2*(EXP((AJ36+0.75*AnnMiles)*MaintC1)+EXP((AJ37+0.25*AnnMiles)*MaintC1))/2</f>
        <v>0</v>
      </c>
      <c r="AK160" s="84">
        <f t="shared" si="308"/>
        <v>0</v>
      </c>
      <c r="AL160" s="84">
        <f t="shared" si="308"/>
        <v>0</v>
      </c>
      <c r="AM160" s="84">
        <f t="shared" si="308"/>
        <v>0</v>
      </c>
      <c r="AN160" s="84">
        <f t="shared" si="308"/>
        <v>0</v>
      </c>
      <c r="AO160" s="84">
        <f t="shared" si="308"/>
        <v>0</v>
      </c>
      <c r="AP160" s="84">
        <f t="shared" si="308"/>
        <v>0</v>
      </c>
      <c r="AQ160" s="84">
        <f t="shared" si="308"/>
        <v>0</v>
      </c>
      <c r="AR160" s="84">
        <f t="shared" si="308"/>
        <v>0</v>
      </c>
      <c r="AS160" s="84">
        <f t="shared" si="308"/>
        <v>0</v>
      </c>
      <c r="AT160" s="84">
        <f t="shared" si="308"/>
        <v>0</v>
      </c>
      <c r="AU160" s="84">
        <f t="shared" si="308"/>
        <v>0</v>
      </c>
      <c r="AV160" s="84">
        <f t="shared" si="308"/>
        <v>0</v>
      </c>
      <c r="AW160" s="84">
        <f t="shared" si="308"/>
        <v>0</v>
      </c>
      <c r="AX160" s="84">
        <f t="shared" si="308"/>
        <v>0</v>
      </c>
      <c r="AY160" s="84">
        <f t="shared" si="308"/>
        <v>0</v>
      </c>
      <c r="AZ160" s="84">
        <f t="shared" si="308"/>
        <v>0</v>
      </c>
      <c r="BA160" s="84">
        <f t="shared" si="308"/>
        <v>0</v>
      </c>
      <c r="BB160" s="84"/>
      <c r="BC160" s="85">
        <f t="shared" si="253"/>
        <v>58097187.74459631</v>
      </c>
    </row>
    <row r="161" spans="1:55" x14ac:dyDescent="0.2">
      <c r="A161" s="88"/>
      <c r="B161" s="67"/>
      <c r="C161" s="67">
        <f t="shared" si="254"/>
        <v>30</v>
      </c>
      <c r="D161" s="89">
        <f t="shared" ref="D161:AI161" si="309">+D$6*AnnMiles*MaintC2*(EXP((D37+0.75*AnnMiles)*MaintC1)+EXP((D38+0.25*AnnMiles)*MaintC1))/2</f>
        <v>5019338.7660670634</v>
      </c>
      <c r="E161" s="89">
        <f t="shared" si="309"/>
        <v>1333446.6791756542</v>
      </c>
      <c r="F161" s="89">
        <f t="shared" si="309"/>
        <v>9322592.181562759</v>
      </c>
      <c r="G161" s="89">
        <f t="shared" si="309"/>
        <v>1666546.440413546</v>
      </c>
      <c r="H161" s="89">
        <f t="shared" si="309"/>
        <v>12116567.210662454</v>
      </c>
      <c r="I161" s="89">
        <f t="shared" si="309"/>
        <v>2438937.6417804044</v>
      </c>
      <c r="J161" s="89">
        <f t="shared" si="309"/>
        <v>3658406.4626706066</v>
      </c>
      <c r="K161" s="89">
        <f t="shared" si="309"/>
        <v>10999206.506729405</v>
      </c>
      <c r="L161" s="89">
        <f t="shared" si="309"/>
        <v>637542.37861492322</v>
      </c>
      <c r="M161" s="89">
        <f t="shared" si="309"/>
        <v>2274243.4834610652</v>
      </c>
      <c r="N161" s="89">
        <f t="shared" si="309"/>
        <v>334622.58440447086</v>
      </c>
      <c r="O161" s="89">
        <f t="shared" si="309"/>
        <v>3658406.4626706066</v>
      </c>
      <c r="P161" s="89">
        <f t="shared" si="309"/>
        <v>1784250.5976109987</v>
      </c>
      <c r="Q161" s="89">
        <f t="shared" si="309"/>
        <v>3705751.2411920736</v>
      </c>
      <c r="R161" s="89">
        <f t="shared" si="309"/>
        <v>0</v>
      </c>
      <c r="S161" s="89">
        <f t="shared" si="309"/>
        <v>0</v>
      </c>
      <c r="T161" s="89">
        <f t="shared" si="309"/>
        <v>0</v>
      </c>
      <c r="U161" s="89">
        <f t="shared" si="309"/>
        <v>0</v>
      </c>
      <c r="V161" s="89">
        <f t="shared" si="309"/>
        <v>0</v>
      </c>
      <c r="W161" s="89">
        <f t="shared" si="309"/>
        <v>0</v>
      </c>
      <c r="X161" s="89">
        <f t="shared" si="309"/>
        <v>0</v>
      </c>
      <c r="Y161" s="89">
        <f t="shared" si="309"/>
        <v>0</v>
      </c>
      <c r="Z161" s="89">
        <f t="shared" si="309"/>
        <v>0</v>
      </c>
      <c r="AA161" s="89">
        <f t="shared" si="309"/>
        <v>0</v>
      </c>
      <c r="AB161" s="89">
        <f t="shared" si="309"/>
        <v>0</v>
      </c>
      <c r="AC161" s="89">
        <f t="shared" si="309"/>
        <v>0</v>
      </c>
      <c r="AD161" s="89">
        <f t="shared" si="309"/>
        <v>0</v>
      </c>
      <c r="AE161" s="89">
        <f t="shared" si="309"/>
        <v>0</v>
      </c>
      <c r="AF161" s="89">
        <f t="shared" si="309"/>
        <v>0</v>
      </c>
      <c r="AG161" s="89">
        <f t="shared" si="309"/>
        <v>0</v>
      </c>
      <c r="AH161" s="89">
        <f t="shared" si="309"/>
        <v>0</v>
      </c>
      <c r="AI161" s="89">
        <f t="shared" si="309"/>
        <v>0</v>
      </c>
      <c r="AJ161" s="89">
        <f t="shared" ref="AJ161:BA161" si="310">+AJ$6*AnnMiles*MaintC2*(EXP((AJ37+0.75*AnnMiles)*MaintC1)+EXP((AJ38+0.25*AnnMiles)*MaintC1))/2</f>
        <v>0</v>
      </c>
      <c r="AK161" s="89">
        <f t="shared" si="310"/>
        <v>0</v>
      </c>
      <c r="AL161" s="89">
        <f t="shared" si="310"/>
        <v>0</v>
      </c>
      <c r="AM161" s="89">
        <f t="shared" si="310"/>
        <v>0</v>
      </c>
      <c r="AN161" s="89">
        <f t="shared" si="310"/>
        <v>0</v>
      </c>
      <c r="AO161" s="89">
        <f t="shared" si="310"/>
        <v>0</v>
      </c>
      <c r="AP161" s="89">
        <f t="shared" si="310"/>
        <v>0</v>
      </c>
      <c r="AQ161" s="89">
        <f t="shared" si="310"/>
        <v>0</v>
      </c>
      <c r="AR161" s="89">
        <f t="shared" si="310"/>
        <v>0</v>
      </c>
      <c r="AS161" s="89">
        <f t="shared" si="310"/>
        <v>0</v>
      </c>
      <c r="AT161" s="89">
        <f t="shared" si="310"/>
        <v>0</v>
      </c>
      <c r="AU161" s="89">
        <f t="shared" si="310"/>
        <v>0</v>
      </c>
      <c r="AV161" s="89">
        <f t="shared" si="310"/>
        <v>0</v>
      </c>
      <c r="AW161" s="89">
        <f t="shared" si="310"/>
        <v>0</v>
      </c>
      <c r="AX161" s="89">
        <f t="shared" si="310"/>
        <v>0</v>
      </c>
      <c r="AY161" s="89">
        <f t="shared" si="310"/>
        <v>0</v>
      </c>
      <c r="AZ161" s="89">
        <f t="shared" si="310"/>
        <v>0</v>
      </c>
      <c r="BA161" s="89">
        <f t="shared" si="310"/>
        <v>0</v>
      </c>
      <c r="BB161" s="89"/>
      <c r="BC161" s="90">
        <f t="shared" si="253"/>
        <v>58949858.637016036</v>
      </c>
    </row>
    <row r="162" spans="1:55" x14ac:dyDescent="0.2">
      <c r="A162" s="52" t="s">
        <v>25</v>
      </c>
      <c r="B162" s="7"/>
      <c r="C162" s="7">
        <v>1</v>
      </c>
      <c r="D162" s="84">
        <f t="shared" ref="D162:AI162" si="311">D$6*AnnMiles*DelayC2*(EXP(DelayC1*(D7+0.75*AnnMiles))+EXP(DelayC1*(D9+0.25*AnnMiles)))/2</f>
        <v>383065.23098837642</v>
      </c>
      <c r="E162" s="84">
        <f t="shared" si="311"/>
        <v>99552.39068241576</v>
      </c>
      <c r="F162" s="84">
        <f t="shared" si="311"/>
        <v>917213.39494056522</v>
      </c>
      <c r="G162" s="84">
        <f t="shared" si="311"/>
        <v>142777.23309871633</v>
      </c>
      <c r="H162" s="84">
        <f t="shared" si="311"/>
        <v>1156378.274134245</v>
      </c>
      <c r="I162" s="84">
        <f t="shared" si="311"/>
        <v>206917.65544899728</v>
      </c>
      <c r="J162" s="84">
        <f t="shared" si="311"/>
        <v>309885.23599462863</v>
      </c>
      <c r="K162" s="84">
        <f t="shared" si="311"/>
        <v>922637.64563582442</v>
      </c>
      <c r="L162" s="84">
        <f t="shared" si="311"/>
        <v>54438.571265751161</v>
      </c>
      <c r="M162" s="84">
        <f t="shared" si="311"/>
        <v>181126.21095754986</v>
      </c>
      <c r="N162" s="84">
        <f t="shared" si="311"/>
        <v>26278.529303461408</v>
      </c>
      <c r="O162" s="84">
        <f t="shared" si="311"/>
        <v>290362.83684565738</v>
      </c>
      <c r="P162" s="84">
        <f t="shared" si="311"/>
        <v>86774.303765181743</v>
      </c>
      <c r="Q162" s="84">
        <f t="shared" si="311"/>
        <v>178062.3743860258</v>
      </c>
      <c r="R162" s="84">
        <f t="shared" si="311"/>
        <v>0</v>
      </c>
      <c r="S162" s="84">
        <f t="shared" si="311"/>
        <v>0</v>
      </c>
      <c r="T162" s="84">
        <f t="shared" si="311"/>
        <v>0</v>
      </c>
      <c r="U162" s="84">
        <f t="shared" si="311"/>
        <v>0</v>
      </c>
      <c r="V162" s="84">
        <f t="shared" si="311"/>
        <v>0</v>
      </c>
      <c r="W162" s="84">
        <f t="shared" si="311"/>
        <v>0</v>
      </c>
      <c r="X162" s="84">
        <f t="shared" si="311"/>
        <v>0</v>
      </c>
      <c r="Y162" s="84">
        <f t="shared" si="311"/>
        <v>0</v>
      </c>
      <c r="Z162" s="84">
        <f t="shared" si="311"/>
        <v>0</v>
      </c>
      <c r="AA162" s="84">
        <f t="shared" si="311"/>
        <v>0</v>
      </c>
      <c r="AB162" s="84">
        <f t="shared" si="311"/>
        <v>0</v>
      </c>
      <c r="AC162" s="84">
        <f t="shared" si="311"/>
        <v>0</v>
      </c>
      <c r="AD162" s="84">
        <f t="shared" si="311"/>
        <v>0</v>
      </c>
      <c r="AE162" s="84">
        <f t="shared" si="311"/>
        <v>0</v>
      </c>
      <c r="AF162" s="84">
        <f t="shared" si="311"/>
        <v>0</v>
      </c>
      <c r="AG162" s="84">
        <f t="shared" si="311"/>
        <v>0</v>
      </c>
      <c r="AH162" s="84">
        <f t="shared" si="311"/>
        <v>0</v>
      </c>
      <c r="AI162" s="84">
        <f t="shared" si="311"/>
        <v>0</v>
      </c>
      <c r="AJ162" s="84">
        <f t="shared" ref="AJ162:BA162" si="312">AJ$6*AnnMiles*DelayC2*(EXP(DelayC1*(AJ7+0.75*AnnMiles))+EXP(DelayC1*(AJ9+0.25*AnnMiles)))/2</f>
        <v>0</v>
      </c>
      <c r="AK162" s="84">
        <f t="shared" si="312"/>
        <v>0</v>
      </c>
      <c r="AL162" s="84">
        <f t="shared" si="312"/>
        <v>0</v>
      </c>
      <c r="AM162" s="84">
        <f t="shared" si="312"/>
        <v>0</v>
      </c>
      <c r="AN162" s="84">
        <f t="shared" si="312"/>
        <v>0</v>
      </c>
      <c r="AO162" s="84">
        <f t="shared" si="312"/>
        <v>0</v>
      </c>
      <c r="AP162" s="84">
        <f t="shared" si="312"/>
        <v>0</v>
      </c>
      <c r="AQ162" s="84">
        <f t="shared" si="312"/>
        <v>0</v>
      </c>
      <c r="AR162" s="84">
        <f t="shared" si="312"/>
        <v>0</v>
      </c>
      <c r="AS162" s="84">
        <f t="shared" si="312"/>
        <v>0</v>
      </c>
      <c r="AT162" s="84">
        <f t="shared" si="312"/>
        <v>0</v>
      </c>
      <c r="AU162" s="84">
        <f t="shared" si="312"/>
        <v>0</v>
      </c>
      <c r="AV162" s="84">
        <f t="shared" si="312"/>
        <v>0</v>
      </c>
      <c r="AW162" s="84">
        <f t="shared" si="312"/>
        <v>0</v>
      </c>
      <c r="AX162" s="84">
        <f t="shared" si="312"/>
        <v>0</v>
      </c>
      <c r="AY162" s="84">
        <f t="shared" si="312"/>
        <v>0</v>
      </c>
      <c r="AZ162" s="84">
        <f t="shared" si="312"/>
        <v>0</v>
      </c>
      <c r="BA162" s="84">
        <f t="shared" si="312"/>
        <v>0</v>
      </c>
      <c r="BB162" s="84"/>
      <c r="BC162" s="85">
        <f t="shared" ref="BC162:BC191" si="313">SUM(D162:BB162)</f>
        <v>4955469.8874473963</v>
      </c>
    </row>
    <row r="163" spans="1:55" x14ac:dyDescent="0.2">
      <c r="A163" s="52"/>
      <c r="B163" s="7"/>
      <c r="C163" s="7">
        <f>1+C162</f>
        <v>2</v>
      </c>
      <c r="D163" s="84">
        <f t="shared" ref="D163:AI163" si="314">D$6*AnnMiles*DelayC2*(EXP(DelayC1*(D9+0.75*AnnMiles))+EXP(DelayC1*(D10+0.25*AnnMiles)))/2</f>
        <v>410874.05533823022</v>
      </c>
      <c r="E163" s="84">
        <f t="shared" si="314"/>
        <v>106779.44947590707</v>
      </c>
      <c r="F163" s="84">
        <f t="shared" si="314"/>
        <v>983798.98958047491</v>
      </c>
      <c r="G163" s="84">
        <f t="shared" si="314"/>
        <v>153142.22233607373</v>
      </c>
      <c r="H163" s="84">
        <f t="shared" si="314"/>
        <v>1240326.1704870784</v>
      </c>
      <c r="I163" s="84">
        <f t="shared" si="314"/>
        <v>221938.95278892567</v>
      </c>
      <c r="J163" s="84">
        <f t="shared" si="314"/>
        <v>332381.51965407969</v>
      </c>
      <c r="K163" s="84">
        <f t="shared" si="314"/>
        <v>989617.01664229378</v>
      </c>
      <c r="L163" s="84">
        <f t="shared" si="314"/>
        <v>58390.56832452942</v>
      </c>
      <c r="M163" s="84">
        <f t="shared" si="314"/>
        <v>194275.16465579325</v>
      </c>
      <c r="N163" s="84">
        <f t="shared" si="314"/>
        <v>28186.233126350573</v>
      </c>
      <c r="O163" s="84">
        <f t="shared" si="314"/>
        <v>311441.88154708361</v>
      </c>
      <c r="P163" s="84">
        <f t="shared" si="314"/>
        <v>93073.730537119773</v>
      </c>
      <c r="Q163" s="84">
        <f t="shared" si="314"/>
        <v>190988.90723747417</v>
      </c>
      <c r="R163" s="84">
        <f t="shared" si="314"/>
        <v>0</v>
      </c>
      <c r="S163" s="84">
        <f t="shared" si="314"/>
        <v>0</v>
      </c>
      <c r="T163" s="84">
        <f t="shared" si="314"/>
        <v>0</v>
      </c>
      <c r="U163" s="84">
        <f t="shared" si="314"/>
        <v>0</v>
      </c>
      <c r="V163" s="84">
        <f t="shared" si="314"/>
        <v>0</v>
      </c>
      <c r="W163" s="84">
        <f t="shared" si="314"/>
        <v>0</v>
      </c>
      <c r="X163" s="84">
        <f t="shared" si="314"/>
        <v>0</v>
      </c>
      <c r="Y163" s="84">
        <f t="shared" si="314"/>
        <v>0</v>
      </c>
      <c r="Z163" s="84">
        <f t="shared" si="314"/>
        <v>0</v>
      </c>
      <c r="AA163" s="84">
        <f t="shared" si="314"/>
        <v>0</v>
      </c>
      <c r="AB163" s="84">
        <f t="shared" si="314"/>
        <v>0</v>
      </c>
      <c r="AC163" s="84">
        <f t="shared" si="314"/>
        <v>0</v>
      </c>
      <c r="AD163" s="84">
        <f t="shared" si="314"/>
        <v>0</v>
      </c>
      <c r="AE163" s="84">
        <f t="shared" si="314"/>
        <v>0</v>
      </c>
      <c r="AF163" s="84">
        <f t="shared" si="314"/>
        <v>0</v>
      </c>
      <c r="AG163" s="84">
        <f t="shared" si="314"/>
        <v>0</v>
      </c>
      <c r="AH163" s="84">
        <f t="shared" si="314"/>
        <v>0</v>
      </c>
      <c r="AI163" s="84">
        <f t="shared" si="314"/>
        <v>0</v>
      </c>
      <c r="AJ163" s="84">
        <f t="shared" ref="AJ163:BA163" si="315">AJ$6*AnnMiles*DelayC2*(EXP(DelayC1*(AJ9+0.75*AnnMiles))+EXP(DelayC1*(AJ10+0.25*AnnMiles)))/2</f>
        <v>0</v>
      </c>
      <c r="AK163" s="84">
        <f t="shared" si="315"/>
        <v>0</v>
      </c>
      <c r="AL163" s="84">
        <f t="shared" si="315"/>
        <v>0</v>
      </c>
      <c r="AM163" s="84">
        <f t="shared" si="315"/>
        <v>0</v>
      </c>
      <c r="AN163" s="84">
        <f t="shared" si="315"/>
        <v>0</v>
      </c>
      <c r="AO163" s="84">
        <f t="shared" si="315"/>
        <v>0</v>
      </c>
      <c r="AP163" s="84">
        <f t="shared" si="315"/>
        <v>0</v>
      </c>
      <c r="AQ163" s="84">
        <f t="shared" si="315"/>
        <v>0</v>
      </c>
      <c r="AR163" s="84">
        <f t="shared" si="315"/>
        <v>0</v>
      </c>
      <c r="AS163" s="84">
        <f t="shared" si="315"/>
        <v>0</v>
      </c>
      <c r="AT163" s="84">
        <f t="shared" si="315"/>
        <v>0</v>
      </c>
      <c r="AU163" s="84">
        <f t="shared" si="315"/>
        <v>0</v>
      </c>
      <c r="AV163" s="84">
        <f t="shared" si="315"/>
        <v>0</v>
      </c>
      <c r="AW163" s="84">
        <f t="shared" si="315"/>
        <v>0</v>
      </c>
      <c r="AX163" s="84">
        <f t="shared" si="315"/>
        <v>0</v>
      </c>
      <c r="AY163" s="84">
        <f t="shared" si="315"/>
        <v>0</v>
      </c>
      <c r="AZ163" s="84">
        <f t="shared" si="315"/>
        <v>0</v>
      </c>
      <c r="BA163" s="84">
        <f t="shared" si="315"/>
        <v>0</v>
      </c>
      <c r="BB163" s="84"/>
      <c r="BC163" s="85">
        <f t="shared" si="313"/>
        <v>5315214.8617314147</v>
      </c>
    </row>
    <row r="164" spans="1:55" x14ac:dyDescent="0.2">
      <c r="A164" s="52"/>
      <c r="B164" s="7"/>
      <c r="C164" s="7">
        <f t="shared" ref="C164:C191" si="316">1+C163</f>
        <v>3</v>
      </c>
      <c r="D164" s="84">
        <f t="shared" ref="D164:AI164" si="317">D$6*AnnMiles*DelayC2*(EXP(DelayC1*(D10+0.75*AnnMiles))+EXP(DelayC1*(D11+0.25*AnnMiles)))/2</f>
        <v>440701.6760944447</v>
      </c>
      <c r="E164" s="84">
        <f t="shared" si="317"/>
        <v>114531.16044948719</v>
      </c>
      <c r="F164" s="84">
        <f t="shared" si="317"/>
        <v>694615.89332576387</v>
      </c>
      <c r="G164" s="84">
        <f t="shared" si="317"/>
        <v>164259.66348441795</v>
      </c>
      <c r="H164" s="84">
        <f t="shared" si="317"/>
        <v>1330368.3090612495</v>
      </c>
      <c r="I164" s="84">
        <f t="shared" si="317"/>
        <v>238050.72920510746</v>
      </c>
      <c r="J164" s="84">
        <f t="shared" si="317"/>
        <v>356510.9330005974</v>
      </c>
      <c r="K164" s="84">
        <f t="shared" si="317"/>
        <v>1061458.7907402075</v>
      </c>
      <c r="L164" s="84">
        <f t="shared" si="317"/>
        <v>62629.462713444234</v>
      </c>
      <c r="M164" s="84">
        <f t="shared" si="317"/>
        <v>208378.67364697036</v>
      </c>
      <c r="N164" s="84">
        <f t="shared" si="317"/>
        <v>30232.427723736258</v>
      </c>
      <c r="O164" s="84">
        <f t="shared" si="317"/>
        <v>334051.17071902013</v>
      </c>
      <c r="P164" s="84">
        <f t="shared" si="317"/>
        <v>99830.467548761866</v>
      </c>
      <c r="Q164" s="84">
        <f t="shared" si="317"/>
        <v>204853.84862208815</v>
      </c>
      <c r="R164" s="84">
        <f t="shared" si="317"/>
        <v>0</v>
      </c>
      <c r="S164" s="84">
        <f t="shared" si="317"/>
        <v>0</v>
      </c>
      <c r="T164" s="84">
        <f t="shared" si="317"/>
        <v>0</v>
      </c>
      <c r="U164" s="84">
        <f t="shared" si="317"/>
        <v>0</v>
      </c>
      <c r="V164" s="84">
        <f t="shared" si="317"/>
        <v>0</v>
      </c>
      <c r="W164" s="84">
        <f t="shared" si="317"/>
        <v>0</v>
      </c>
      <c r="X164" s="84">
        <f t="shared" si="317"/>
        <v>0</v>
      </c>
      <c r="Y164" s="84">
        <f t="shared" si="317"/>
        <v>0</v>
      </c>
      <c r="Z164" s="84">
        <f t="shared" si="317"/>
        <v>0</v>
      </c>
      <c r="AA164" s="84">
        <f t="shared" si="317"/>
        <v>0</v>
      </c>
      <c r="AB164" s="84">
        <f t="shared" si="317"/>
        <v>0</v>
      </c>
      <c r="AC164" s="84">
        <f t="shared" si="317"/>
        <v>0</v>
      </c>
      <c r="AD164" s="84">
        <f t="shared" si="317"/>
        <v>0</v>
      </c>
      <c r="AE164" s="84">
        <f t="shared" si="317"/>
        <v>0</v>
      </c>
      <c r="AF164" s="84">
        <f t="shared" si="317"/>
        <v>0</v>
      </c>
      <c r="AG164" s="84">
        <f t="shared" si="317"/>
        <v>0</v>
      </c>
      <c r="AH164" s="84">
        <f t="shared" si="317"/>
        <v>0</v>
      </c>
      <c r="AI164" s="84">
        <f t="shared" si="317"/>
        <v>0</v>
      </c>
      <c r="AJ164" s="84">
        <f t="shared" ref="AJ164:BA164" si="318">AJ$6*AnnMiles*DelayC2*(EXP(DelayC1*(AJ10+0.75*AnnMiles))+EXP(DelayC1*(AJ11+0.25*AnnMiles)))/2</f>
        <v>0</v>
      </c>
      <c r="AK164" s="84">
        <f t="shared" si="318"/>
        <v>0</v>
      </c>
      <c r="AL164" s="84">
        <f t="shared" si="318"/>
        <v>0</v>
      </c>
      <c r="AM164" s="84">
        <f t="shared" si="318"/>
        <v>0</v>
      </c>
      <c r="AN164" s="84">
        <f t="shared" si="318"/>
        <v>0</v>
      </c>
      <c r="AO164" s="84">
        <f t="shared" si="318"/>
        <v>0</v>
      </c>
      <c r="AP164" s="84">
        <f t="shared" si="318"/>
        <v>0</v>
      </c>
      <c r="AQ164" s="84">
        <f t="shared" si="318"/>
        <v>0</v>
      </c>
      <c r="AR164" s="84">
        <f t="shared" si="318"/>
        <v>0</v>
      </c>
      <c r="AS164" s="84">
        <f t="shared" si="318"/>
        <v>0</v>
      </c>
      <c r="AT164" s="84">
        <f t="shared" si="318"/>
        <v>0</v>
      </c>
      <c r="AU164" s="84">
        <f t="shared" si="318"/>
        <v>0</v>
      </c>
      <c r="AV164" s="84">
        <f t="shared" si="318"/>
        <v>0</v>
      </c>
      <c r="AW164" s="84">
        <f t="shared" si="318"/>
        <v>0</v>
      </c>
      <c r="AX164" s="84">
        <f t="shared" si="318"/>
        <v>0</v>
      </c>
      <c r="AY164" s="84">
        <f t="shared" si="318"/>
        <v>0</v>
      </c>
      <c r="AZ164" s="84">
        <f t="shared" si="318"/>
        <v>0</v>
      </c>
      <c r="BA164" s="84">
        <f t="shared" si="318"/>
        <v>0</v>
      </c>
      <c r="BB164" s="84"/>
      <c r="BC164" s="85">
        <f t="shared" si="313"/>
        <v>5340473.2063352969</v>
      </c>
    </row>
    <row r="165" spans="1:55" x14ac:dyDescent="0.2">
      <c r="A165" s="52"/>
      <c r="B165" s="7"/>
      <c r="C165" s="7">
        <f t="shared" si="316"/>
        <v>4</v>
      </c>
      <c r="D165" s="84">
        <f t="shared" ref="D165:AI165" si="319">D$6*AnnMiles*DelayC2*(EXP(DelayC1*(D11+0.75*AnnMiles))+EXP(DelayC1*(D12+0.25*AnnMiles)))/2</f>
        <v>472694.64885674819</v>
      </c>
      <c r="E165" s="84">
        <f t="shared" si="319"/>
        <v>122845.61100744283</v>
      </c>
      <c r="F165" s="84">
        <f t="shared" si="319"/>
        <v>371579.63245723158</v>
      </c>
      <c r="G165" s="84">
        <f t="shared" si="319"/>
        <v>176184.18119075833</v>
      </c>
      <c r="H165" s="84">
        <f t="shared" si="319"/>
        <v>940493.27321098559</v>
      </c>
      <c r="I165" s="84">
        <f t="shared" si="319"/>
        <v>255332.14860654704</v>
      </c>
      <c r="J165" s="84">
        <f t="shared" si="319"/>
        <v>382392.03395313205</v>
      </c>
      <c r="K165" s="84">
        <f t="shared" si="319"/>
        <v>1138515.9566702535</v>
      </c>
      <c r="L165" s="84">
        <f t="shared" si="319"/>
        <v>67176.081896892763</v>
      </c>
      <c r="M165" s="84">
        <f t="shared" si="319"/>
        <v>223506.03438068298</v>
      </c>
      <c r="N165" s="84">
        <f t="shared" si="319"/>
        <v>32427.166907111907</v>
      </c>
      <c r="O165" s="84">
        <f t="shared" si="319"/>
        <v>358301.79327335511</v>
      </c>
      <c r="P165" s="84">
        <f t="shared" si="319"/>
        <v>107077.71348038637</v>
      </c>
      <c r="Q165" s="84">
        <f t="shared" si="319"/>
        <v>219725.32280684929</v>
      </c>
      <c r="R165" s="84">
        <f t="shared" si="319"/>
        <v>0</v>
      </c>
      <c r="S165" s="84">
        <f t="shared" si="319"/>
        <v>0</v>
      </c>
      <c r="T165" s="84">
        <f t="shared" si="319"/>
        <v>0</v>
      </c>
      <c r="U165" s="84">
        <f t="shared" si="319"/>
        <v>0</v>
      </c>
      <c r="V165" s="84">
        <f t="shared" si="319"/>
        <v>0</v>
      </c>
      <c r="W165" s="84">
        <f t="shared" si="319"/>
        <v>0</v>
      </c>
      <c r="X165" s="84">
        <f t="shared" si="319"/>
        <v>0</v>
      </c>
      <c r="Y165" s="84">
        <f t="shared" si="319"/>
        <v>0</v>
      </c>
      <c r="Z165" s="84">
        <f t="shared" si="319"/>
        <v>0</v>
      </c>
      <c r="AA165" s="84">
        <f t="shared" si="319"/>
        <v>0</v>
      </c>
      <c r="AB165" s="84">
        <f t="shared" si="319"/>
        <v>0</v>
      </c>
      <c r="AC165" s="84">
        <f t="shared" si="319"/>
        <v>0</v>
      </c>
      <c r="AD165" s="84">
        <f t="shared" si="319"/>
        <v>0</v>
      </c>
      <c r="AE165" s="84">
        <f t="shared" si="319"/>
        <v>0</v>
      </c>
      <c r="AF165" s="84">
        <f t="shared" si="319"/>
        <v>0</v>
      </c>
      <c r="AG165" s="84">
        <f t="shared" si="319"/>
        <v>0</v>
      </c>
      <c r="AH165" s="84">
        <f t="shared" si="319"/>
        <v>0</v>
      </c>
      <c r="AI165" s="84">
        <f t="shared" si="319"/>
        <v>0</v>
      </c>
      <c r="AJ165" s="84">
        <f t="shared" ref="AJ165:BA165" si="320">AJ$6*AnnMiles*DelayC2*(EXP(DelayC1*(AJ11+0.75*AnnMiles))+EXP(DelayC1*(AJ12+0.25*AnnMiles)))/2</f>
        <v>0</v>
      </c>
      <c r="AK165" s="84">
        <f t="shared" si="320"/>
        <v>0</v>
      </c>
      <c r="AL165" s="84">
        <f t="shared" si="320"/>
        <v>0</v>
      </c>
      <c r="AM165" s="84">
        <f t="shared" si="320"/>
        <v>0</v>
      </c>
      <c r="AN165" s="84">
        <f t="shared" si="320"/>
        <v>0</v>
      </c>
      <c r="AO165" s="84">
        <f t="shared" si="320"/>
        <v>0</v>
      </c>
      <c r="AP165" s="84">
        <f t="shared" si="320"/>
        <v>0</v>
      </c>
      <c r="AQ165" s="84">
        <f t="shared" si="320"/>
        <v>0</v>
      </c>
      <c r="AR165" s="84">
        <f t="shared" si="320"/>
        <v>0</v>
      </c>
      <c r="AS165" s="84">
        <f t="shared" si="320"/>
        <v>0</v>
      </c>
      <c r="AT165" s="84">
        <f t="shared" si="320"/>
        <v>0</v>
      </c>
      <c r="AU165" s="84">
        <f t="shared" si="320"/>
        <v>0</v>
      </c>
      <c r="AV165" s="84">
        <f t="shared" si="320"/>
        <v>0</v>
      </c>
      <c r="AW165" s="84">
        <f t="shared" si="320"/>
        <v>0</v>
      </c>
      <c r="AX165" s="84">
        <f t="shared" si="320"/>
        <v>0</v>
      </c>
      <c r="AY165" s="84">
        <f t="shared" si="320"/>
        <v>0</v>
      </c>
      <c r="AZ165" s="84">
        <f t="shared" si="320"/>
        <v>0</v>
      </c>
      <c r="BA165" s="84">
        <f t="shared" si="320"/>
        <v>0</v>
      </c>
      <c r="BB165" s="84"/>
      <c r="BC165" s="85">
        <f t="shared" si="313"/>
        <v>4868251.5986983767</v>
      </c>
    </row>
    <row r="166" spans="1:55" x14ac:dyDescent="0.2">
      <c r="A166" s="52"/>
      <c r="B166" s="7"/>
      <c r="C166" s="7">
        <f t="shared" si="316"/>
        <v>5</v>
      </c>
      <c r="D166" s="84">
        <f t="shared" ref="D166:AI166" si="321">D$6*AnnMiles*DelayC2*(EXP(DelayC1*(D12+0.75*AnnMiles))+EXP(DelayC1*(D13+0.25*AnnMiles)))/2</f>
        <v>507010.16850664304</v>
      </c>
      <c r="E166" s="84">
        <f t="shared" si="321"/>
        <v>131763.65352944899</v>
      </c>
      <c r="F166" s="84">
        <f t="shared" si="321"/>
        <v>398554.65366791404</v>
      </c>
      <c r="G166" s="84">
        <f t="shared" si="321"/>
        <v>188974.36560743098</v>
      </c>
      <c r="H166" s="84">
        <f t="shared" si="321"/>
        <v>504967.19282649423</v>
      </c>
      <c r="I166" s="84">
        <f t="shared" si="321"/>
        <v>273868.12184836209</v>
      </c>
      <c r="J166" s="84">
        <f t="shared" si="321"/>
        <v>410151.98720586841</v>
      </c>
      <c r="K166" s="84">
        <f t="shared" si="321"/>
        <v>1221167.1285786475</v>
      </c>
      <c r="L166" s="84">
        <f t="shared" si="321"/>
        <v>72052.765320136619</v>
      </c>
      <c r="M166" s="84">
        <f t="shared" si="321"/>
        <v>239731.57391917851</v>
      </c>
      <c r="N166" s="84">
        <f t="shared" si="321"/>
        <v>34781.23434976799</v>
      </c>
      <c r="O166" s="84">
        <f t="shared" si="321"/>
        <v>384312.9026806684</v>
      </c>
      <c r="P166" s="84">
        <f t="shared" si="321"/>
        <v>114851.07708813804</v>
      </c>
      <c r="Q166" s="84">
        <f t="shared" si="321"/>
        <v>235676.39957616336</v>
      </c>
      <c r="R166" s="84">
        <f t="shared" si="321"/>
        <v>0</v>
      </c>
      <c r="S166" s="84">
        <f t="shared" si="321"/>
        <v>0</v>
      </c>
      <c r="T166" s="84">
        <f t="shared" si="321"/>
        <v>0</v>
      </c>
      <c r="U166" s="84">
        <f t="shared" si="321"/>
        <v>0</v>
      </c>
      <c r="V166" s="84">
        <f t="shared" si="321"/>
        <v>0</v>
      </c>
      <c r="W166" s="84">
        <f t="shared" si="321"/>
        <v>0</v>
      </c>
      <c r="X166" s="84">
        <f t="shared" si="321"/>
        <v>0</v>
      </c>
      <c r="Y166" s="84">
        <f t="shared" si="321"/>
        <v>0</v>
      </c>
      <c r="Z166" s="84">
        <f t="shared" si="321"/>
        <v>0</v>
      </c>
      <c r="AA166" s="84">
        <f t="shared" si="321"/>
        <v>0</v>
      </c>
      <c r="AB166" s="84">
        <f t="shared" si="321"/>
        <v>0</v>
      </c>
      <c r="AC166" s="84">
        <f t="shared" si="321"/>
        <v>0</v>
      </c>
      <c r="AD166" s="84">
        <f t="shared" si="321"/>
        <v>0</v>
      </c>
      <c r="AE166" s="84">
        <f t="shared" si="321"/>
        <v>0</v>
      </c>
      <c r="AF166" s="84">
        <f t="shared" si="321"/>
        <v>0</v>
      </c>
      <c r="AG166" s="84">
        <f t="shared" si="321"/>
        <v>0</v>
      </c>
      <c r="AH166" s="84">
        <f t="shared" si="321"/>
        <v>0</v>
      </c>
      <c r="AI166" s="84">
        <f t="shared" si="321"/>
        <v>0</v>
      </c>
      <c r="AJ166" s="84">
        <f t="shared" ref="AJ166:BA166" si="322">AJ$6*AnnMiles*DelayC2*(EXP(DelayC1*(AJ12+0.75*AnnMiles))+EXP(DelayC1*(AJ13+0.25*AnnMiles)))/2</f>
        <v>0</v>
      </c>
      <c r="AK166" s="84">
        <f t="shared" si="322"/>
        <v>0</v>
      </c>
      <c r="AL166" s="84">
        <f t="shared" si="322"/>
        <v>0</v>
      </c>
      <c r="AM166" s="84">
        <f t="shared" si="322"/>
        <v>0</v>
      </c>
      <c r="AN166" s="84">
        <f t="shared" si="322"/>
        <v>0</v>
      </c>
      <c r="AO166" s="84">
        <f t="shared" si="322"/>
        <v>0</v>
      </c>
      <c r="AP166" s="84">
        <f t="shared" si="322"/>
        <v>0</v>
      </c>
      <c r="AQ166" s="84">
        <f t="shared" si="322"/>
        <v>0</v>
      </c>
      <c r="AR166" s="84">
        <f t="shared" si="322"/>
        <v>0</v>
      </c>
      <c r="AS166" s="84">
        <f t="shared" si="322"/>
        <v>0</v>
      </c>
      <c r="AT166" s="84">
        <f t="shared" si="322"/>
        <v>0</v>
      </c>
      <c r="AU166" s="84">
        <f t="shared" si="322"/>
        <v>0</v>
      </c>
      <c r="AV166" s="84">
        <f t="shared" si="322"/>
        <v>0</v>
      </c>
      <c r="AW166" s="84">
        <f t="shared" si="322"/>
        <v>0</v>
      </c>
      <c r="AX166" s="84">
        <f t="shared" si="322"/>
        <v>0</v>
      </c>
      <c r="AY166" s="84">
        <f t="shared" si="322"/>
        <v>0</v>
      </c>
      <c r="AZ166" s="84">
        <f t="shared" si="322"/>
        <v>0</v>
      </c>
      <c r="BA166" s="84">
        <f t="shared" si="322"/>
        <v>0</v>
      </c>
      <c r="BB166" s="84"/>
      <c r="BC166" s="85">
        <f t="shared" si="313"/>
        <v>4717863.2247048616</v>
      </c>
    </row>
    <row r="167" spans="1:55" x14ac:dyDescent="0.2">
      <c r="A167" s="52"/>
      <c r="B167" s="7"/>
      <c r="C167" s="7">
        <f t="shared" si="316"/>
        <v>6</v>
      </c>
      <c r="D167" s="84">
        <f t="shared" ref="D167:AI167" si="323">D$6*AnnMiles*DelayC2*(EXP(DelayC1*(D13+0.75*AnnMiles))+EXP(DelayC1*(D14+0.25*AnnMiles)))/2</f>
        <v>543816.84157172986</v>
      </c>
      <c r="E167" s="84">
        <f t="shared" si="323"/>
        <v>141329.1060954289</v>
      </c>
      <c r="F167" s="84">
        <f t="shared" si="323"/>
        <v>427487.94090223411</v>
      </c>
      <c r="G167" s="84">
        <f t="shared" si="323"/>
        <v>202693.06027006815</v>
      </c>
      <c r="H167" s="84">
        <f t="shared" si="323"/>
        <v>541625.5549846011</v>
      </c>
      <c r="I167" s="84">
        <f t="shared" si="323"/>
        <v>293749.72393439588</v>
      </c>
      <c r="J167" s="84">
        <f t="shared" si="323"/>
        <v>439927.18904165609</v>
      </c>
      <c r="K167" s="84">
        <f t="shared" si="323"/>
        <v>1309818.4063070863</v>
      </c>
      <c r="L167" s="84">
        <f t="shared" si="323"/>
        <v>77283.474172357455</v>
      </c>
      <c r="M167" s="84">
        <f t="shared" si="323"/>
        <v>257135.01513735252</v>
      </c>
      <c r="N167" s="84">
        <f t="shared" si="323"/>
        <v>37306.196571497676</v>
      </c>
      <c r="O167" s="84">
        <f t="shared" si="323"/>
        <v>412212.30242116196</v>
      </c>
      <c r="P167" s="84">
        <f t="shared" si="323"/>
        <v>123188.75216476874</v>
      </c>
      <c r="Q167" s="84">
        <f t="shared" si="323"/>
        <v>252785.45325433018</v>
      </c>
      <c r="R167" s="84">
        <f t="shared" si="323"/>
        <v>0</v>
      </c>
      <c r="S167" s="84">
        <f t="shared" si="323"/>
        <v>0</v>
      </c>
      <c r="T167" s="84">
        <f t="shared" si="323"/>
        <v>0</v>
      </c>
      <c r="U167" s="84">
        <f t="shared" si="323"/>
        <v>0</v>
      </c>
      <c r="V167" s="84">
        <f t="shared" si="323"/>
        <v>0</v>
      </c>
      <c r="W167" s="84">
        <f t="shared" si="323"/>
        <v>0</v>
      </c>
      <c r="X167" s="84">
        <f t="shared" si="323"/>
        <v>0</v>
      </c>
      <c r="Y167" s="84">
        <f t="shared" si="323"/>
        <v>0</v>
      </c>
      <c r="Z167" s="84">
        <f t="shared" si="323"/>
        <v>0</v>
      </c>
      <c r="AA167" s="84">
        <f t="shared" si="323"/>
        <v>0</v>
      </c>
      <c r="AB167" s="84">
        <f t="shared" si="323"/>
        <v>0</v>
      </c>
      <c r="AC167" s="84">
        <f t="shared" si="323"/>
        <v>0</v>
      </c>
      <c r="AD167" s="84">
        <f t="shared" si="323"/>
        <v>0</v>
      </c>
      <c r="AE167" s="84">
        <f t="shared" si="323"/>
        <v>0</v>
      </c>
      <c r="AF167" s="84">
        <f t="shared" si="323"/>
        <v>0</v>
      </c>
      <c r="AG167" s="84">
        <f t="shared" si="323"/>
        <v>0</v>
      </c>
      <c r="AH167" s="84">
        <f t="shared" si="323"/>
        <v>0</v>
      </c>
      <c r="AI167" s="84">
        <f t="shared" si="323"/>
        <v>0</v>
      </c>
      <c r="AJ167" s="84">
        <f t="shared" ref="AJ167:BA167" si="324">AJ$6*AnnMiles*DelayC2*(EXP(DelayC1*(AJ13+0.75*AnnMiles))+EXP(DelayC1*(AJ14+0.25*AnnMiles)))/2</f>
        <v>0</v>
      </c>
      <c r="AK167" s="84">
        <f t="shared" si="324"/>
        <v>0</v>
      </c>
      <c r="AL167" s="84">
        <f t="shared" si="324"/>
        <v>0</v>
      </c>
      <c r="AM167" s="84">
        <f t="shared" si="324"/>
        <v>0</v>
      </c>
      <c r="AN167" s="84">
        <f t="shared" si="324"/>
        <v>0</v>
      </c>
      <c r="AO167" s="84">
        <f t="shared" si="324"/>
        <v>0</v>
      </c>
      <c r="AP167" s="84">
        <f t="shared" si="324"/>
        <v>0</v>
      </c>
      <c r="AQ167" s="84">
        <f t="shared" si="324"/>
        <v>0</v>
      </c>
      <c r="AR167" s="84">
        <f t="shared" si="324"/>
        <v>0</v>
      </c>
      <c r="AS167" s="84">
        <f t="shared" si="324"/>
        <v>0</v>
      </c>
      <c r="AT167" s="84">
        <f t="shared" si="324"/>
        <v>0</v>
      </c>
      <c r="AU167" s="84">
        <f t="shared" si="324"/>
        <v>0</v>
      </c>
      <c r="AV167" s="84">
        <f t="shared" si="324"/>
        <v>0</v>
      </c>
      <c r="AW167" s="84">
        <f t="shared" si="324"/>
        <v>0</v>
      </c>
      <c r="AX167" s="84">
        <f t="shared" si="324"/>
        <v>0</v>
      </c>
      <c r="AY167" s="84">
        <f t="shared" si="324"/>
        <v>0</v>
      </c>
      <c r="AZ167" s="84">
        <f t="shared" si="324"/>
        <v>0</v>
      </c>
      <c r="BA167" s="84">
        <f t="shared" si="324"/>
        <v>0</v>
      </c>
      <c r="BB167" s="84"/>
      <c r="BC167" s="85">
        <f t="shared" si="313"/>
        <v>5060359.0168286683</v>
      </c>
    </row>
    <row r="168" spans="1:55" x14ac:dyDescent="0.2">
      <c r="A168" s="52"/>
      <c r="B168" s="7"/>
      <c r="C168" s="7">
        <f t="shared" si="316"/>
        <v>7</v>
      </c>
      <c r="D168" s="84">
        <f t="shared" ref="D168:AI168" si="325">D$6*AnnMiles*DelayC2*(EXP(DelayC1*(D14+0.75*AnnMiles))+EXP(DelayC1*(D15+0.25*AnnMiles)))/2</f>
        <v>583295.51466022898</v>
      </c>
      <c r="E168" s="84">
        <f t="shared" si="325"/>
        <v>151588.96778214228</v>
      </c>
      <c r="F168" s="84">
        <f t="shared" si="325"/>
        <v>458521.65552456601</v>
      </c>
      <c r="G168" s="84">
        <f t="shared" si="325"/>
        <v>144459.68164121339</v>
      </c>
      <c r="H168" s="84">
        <f t="shared" si="325"/>
        <v>580945.1504568822</v>
      </c>
      <c r="I168" s="84">
        <f t="shared" si="325"/>
        <v>315074.6415068747</v>
      </c>
      <c r="J168" s="84">
        <f t="shared" si="325"/>
        <v>471863.9375041016</v>
      </c>
      <c r="K168" s="84">
        <f t="shared" si="325"/>
        <v>938703.91969626665</v>
      </c>
      <c r="L168" s="84">
        <f t="shared" si="325"/>
        <v>82893.909118020209</v>
      </c>
      <c r="M168" s="84">
        <f t="shared" si="325"/>
        <v>275801.86843464023</v>
      </c>
      <c r="N168" s="84">
        <f t="shared" si="325"/>
        <v>40014.459769755355</v>
      </c>
      <c r="O168" s="84">
        <f t="shared" si="325"/>
        <v>442137.07393671304</v>
      </c>
      <c r="P168" s="84">
        <f t="shared" si="325"/>
        <v>132131.70520174556</v>
      </c>
      <c r="Q168" s="84">
        <f t="shared" si="325"/>
        <v>271136.54779144091</v>
      </c>
      <c r="R168" s="84">
        <f t="shared" si="325"/>
        <v>0</v>
      </c>
      <c r="S168" s="84">
        <f t="shared" si="325"/>
        <v>0</v>
      </c>
      <c r="T168" s="84">
        <f t="shared" si="325"/>
        <v>0</v>
      </c>
      <c r="U168" s="84">
        <f t="shared" si="325"/>
        <v>0</v>
      </c>
      <c r="V168" s="84">
        <f t="shared" si="325"/>
        <v>0</v>
      </c>
      <c r="W168" s="84">
        <f t="shared" si="325"/>
        <v>0</v>
      </c>
      <c r="X168" s="84">
        <f t="shared" si="325"/>
        <v>0</v>
      </c>
      <c r="Y168" s="84">
        <f t="shared" si="325"/>
        <v>0</v>
      </c>
      <c r="Z168" s="84">
        <f t="shared" si="325"/>
        <v>0</v>
      </c>
      <c r="AA168" s="84">
        <f t="shared" si="325"/>
        <v>0</v>
      </c>
      <c r="AB168" s="84">
        <f t="shared" si="325"/>
        <v>0</v>
      </c>
      <c r="AC168" s="84">
        <f t="shared" si="325"/>
        <v>0</v>
      </c>
      <c r="AD168" s="84">
        <f t="shared" si="325"/>
        <v>0</v>
      </c>
      <c r="AE168" s="84">
        <f t="shared" si="325"/>
        <v>0</v>
      </c>
      <c r="AF168" s="84">
        <f t="shared" si="325"/>
        <v>0</v>
      </c>
      <c r="AG168" s="84">
        <f t="shared" si="325"/>
        <v>0</v>
      </c>
      <c r="AH168" s="84">
        <f t="shared" si="325"/>
        <v>0</v>
      </c>
      <c r="AI168" s="84">
        <f t="shared" si="325"/>
        <v>0</v>
      </c>
      <c r="AJ168" s="84">
        <f t="shared" ref="AJ168:BA168" si="326">AJ$6*AnnMiles*DelayC2*(EXP(DelayC1*(AJ14+0.75*AnnMiles))+EXP(DelayC1*(AJ15+0.25*AnnMiles)))/2</f>
        <v>0</v>
      </c>
      <c r="AK168" s="84">
        <f t="shared" si="326"/>
        <v>0</v>
      </c>
      <c r="AL168" s="84">
        <f t="shared" si="326"/>
        <v>0</v>
      </c>
      <c r="AM168" s="84">
        <f t="shared" si="326"/>
        <v>0</v>
      </c>
      <c r="AN168" s="84">
        <f t="shared" si="326"/>
        <v>0</v>
      </c>
      <c r="AO168" s="84">
        <f t="shared" si="326"/>
        <v>0</v>
      </c>
      <c r="AP168" s="84">
        <f t="shared" si="326"/>
        <v>0</v>
      </c>
      <c r="AQ168" s="84">
        <f t="shared" si="326"/>
        <v>0</v>
      </c>
      <c r="AR168" s="84">
        <f t="shared" si="326"/>
        <v>0</v>
      </c>
      <c r="AS168" s="84">
        <f t="shared" si="326"/>
        <v>0</v>
      </c>
      <c r="AT168" s="84">
        <f t="shared" si="326"/>
        <v>0</v>
      </c>
      <c r="AU168" s="84">
        <f t="shared" si="326"/>
        <v>0</v>
      </c>
      <c r="AV168" s="84">
        <f t="shared" si="326"/>
        <v>0</v>
      </c>
      <c r="AW168" s="84">
        <f t="shared" si="326"/>
        <v>0</v>
      </c>
      <c r="AX168" s="84">
        <f t="shared" si="326"/>
        <v>0</v>
      </c>
      <c r="AY168" s="84">
        <f t="shared" si="326"/>
        <v>0</v>
      </c>
      <c r="AZ168" s="84">
        <f t="shared" si="326"/>
        <v>0</v>
      </c>
      <c r="BA168" s="84">
        <f t="shared" si="326"/>
        <v>0</v>
      </c>
      <c r="BB168" s="84"/>
      <c r="BC168" s="85">
        <f t="shared" si="313"/>
        <v>4888569.0330245914</v>
      </c>
    </row>
    <row r="169" spans="1:55" x14ac:dyDescent="0.2">
      <c r="A169" s="52"/>
      <c r="B169" s="7"/>
      <c r="C169" s="7">
        <f t="shared" si="316"/>
        <v>8</v>
      </c>
      <c r="D169" s="84">
        <f t="shared" ref="D169:AI169" si="327">D$6*AnnMiles*DelayC2*(EXP(DelayC1*(D15+0.75*AnnMiles))+EXP(DelayC1*(D16+0.25*AnnMiles)))/2</f>
        <v>625640.16303615051</v>
      </c>
      <c r="E169" s="84">
        <f t="shared" si="327"/>
        <v>162593.64958934387</v>
      </c>
      <c r="F169" s="84">
        <f t="shared" si="327"/>
        <v>491808.2791792035</v>
      </c>
      <c r="G169" s="84">
        <f t="shared" si="327"/>
        <v>79397.35736265633</v>
      </c>
      <c r="H169" s="84">
        <f t="shared" si="327"/>
        <v>623119.17289235897</v>
      </c>
      <c r="I169" s="84">
        <f t="shared" si="327"/>
        <v>337947.65282181639</v>
      </c>
      <c r="J169" s="84">
        <f t="shared" si="327"/>
        <v>506119.15122116223</v>
      </c>
      <c r="K169" s="84">
        <f t="shared" si="327"/>
        <v>524022.55859353178</v>
      </c>
      <c r="L169" s="84">
        <f t="shared" si="327"/>
        <v>58741.088706583338</v>
      </c>
      <c r="M169" s="84">
        <f t="shared" si="327"/>
        <v>295823.85188344133</v>
      </c>
      <c r="N169" s="84">
        <f t="shared" si="327"/>
        <v>42919.330776503521</v>
      </c>
      <c r="O169" s="84">
        <f t="shared" si="327"/>
        <v>474234.25016944058</v>
      </c>
      <c r="P169" s="84">
        <f t="shared" si="327"/>
        <v>141723.87667479034</v>
      </c>
      <c r="Q169" s="84">
        <f t="shared" si="327"/>
        <v>290819.84980479104</v>
      </c>
      <c r="R169" s="84">
        <f t="shared" si="327"/>
        <v>0</v>
      </c>
      <c r="S169" s="84">
        <f t="shared" si="327"/>
        <v>0</v>
      </c>
      <c r="T169" s="84">
        <f t="shared" si="327"/>
        <v>0</v>
      </c>
      <c r="U169" s="84">
        <f t="shared" si="327"/>
        <v>0</v>
      </c>
      <c r="V169" s="84">
        <f t="shared" si="327"/>
        <v>0</v>
      </c>
      <c r="W169" s="84">
        <f t="shared" si="327"/>
        <v>0</v>
      </c>
      <c r="X169" s="84">
        <f t="shared" si="327"/>
        <v>0</v>
      </c>
      <c r="Y169" s="84">
        <f t="shared" si="327"/>
        <v>0</v>
      </c>
      <c r="Z169" s="84">
        <f t="shared" si="327"/>
        <v>0</v>
      </c>
      <c r="AA169" s="84">
        <f t="shared" si="327"/>
        <v>0</v>
      </c>
      <c r="AB169" s="84">
        <f t="shared" si="327"/>
        <v>0</v>
      </c>
      <c r="AC169" s="84">
        <f t="shared" si="327"/>
        <v>0</v>
      </c>
      <c r="AD169" s="84">
        <f t="shared" si="327"/>
        <v>0</v>
      </c>
      <c r="AE169" s="84">
        <f t="shared" si="327"/>
        <v>0</v>
      </c>
      <c r="AF169" s="84">
        <f t="shared" si="327"/>
        <v>0</v>
      </c>
      <c r="AG169" s="84">
        <f t="shared" si="327"/>
        <v>0</v>
      </c>
      <c r="AH169" s="84">
        <f t="shared" si="327"/>
        <v>0</v>
      </c>
      <c r="AI169" s="84">
        <f t="shared" si="327"/>
        <v>0</v>
      </c>
      <c r="AJ169" s="84">
        <f t="shared" ref="AJ169:BA169" si="328">AJ$6*AnnMiles*DelayC2*(EXP(DelayC1*(AJ15+0.75*AnnMiles))+EXP(DelayC1*(AJ16+0.25*AnnMiles)))/2</f>
        <v>0</v>
      </c>
      <c r="AK169" s="84">
        <f t="shared" si="328"/>
        <v>0</v>
      </c>
      <c r="AL169" s="84">
        <f t="shared" si="328"/>
        <v>0</v>
      </c>
      <c r="AM169" s="84">
        <f t="shared" si="328"/>
        <v>0</v>
      </c>
      <c r="AN169" s="84">
        <f t="shared" si="328"/>
        <v>0</v>
      </c>
      <c r="AO169" s="84">
        <f t="shared" si="328"/>
        <v>0</v>
      </c>
      <c r="AP169" s="84">
        <f t="shared" si="328"/>
        <v>0</v>
      </c>
      <c r="AQ169" s="84">
        <f t="shared" si="328"/>
        <v>0</v>
      </c>
      <c r="AR169" s="84">
        <f t="shared" si="328"/>
        <v>0</v>
      </c>
      <c r="AS169" s="84">
        <f t="shared" si="328"/>
        <v>0</v>
      </c>
      <c r="AT169" s="84">
        <f t="shared" si="328"/>
        <v>0</v>
      </c>
      <c r="AU169" s="84">
        <f t="shared" si="328"/>
        <v>0</v>
      </c>
      <c r="AV169" s="84">
        <f t="shared" si="328"/>
        <v>0</v>
      </c>
      <c r="AW169" s="84">
        <f t="shared" si="328"/>
        <v>0</v>
      </c>
      <c r="AX169" s="84">
        <f t="shared" si="328"/>
        <v>0</v>
      </c>
      <c r="AY169" s="84">
        <f t="shared" si="328"/>
        <v>0</v>
      </c>
      <c r="AZ169" s="84">
        <f t="shared" si="328"/>
        <v>0</v>
      </c>
      <c r="BA169" s="84">
        <f t="shared" si="328"/>
        <v>0</v>
      </c>
      <c r="BB169" s="84"/>
      <c r="BC169" s="85">
        <f t="shared" si="313"/>
        <v>4654910.2327117724</v>
      </c>
    </row>
    <row r="170" spans="1:55" x14ac:dyDescent="0.2">
      <c r="A170" s="52"/>
      <c r="B170" s="7"/>
      <c r="C170" s="7">
        <f t="shared" si="316"/>
        <v>9</v>
      </c>
      <c r="D170" s="84">
        <f t="shared" ref="D170:AI170" si="329">D$6*AnnMiles*DelayC2*(EXP(DelayC1*(D16+0.75*AnnMiles))+EXP(DelayC1*(D17+0.25*AnnMiles)))/2</f>
        <v>671058.84370104794</v>
      </c>
      <c r="E170" s="84">
        <f t="shared" si="329"/>
        <v>174397.22213014946</v>
      </c>
      <c r="F170" s="84">
        <f t="shared" si="329"/>
        <v>527511.36299657391</v>
      </c>
      <c r="G170" s="84">
        <f t="shared" si="329"/>
        <v>85161.250783742318</v>
      </c>
      <c r="H170" s="84">
        <f t="shared" si="329"/>
        <v>668354.84093584062</v>
      </c>
      <c r="I170" s="84">
        <f t="shared" si="329"/>
        <v>238321.78679054455</v>
      </c>
      <c r="J170" s="84">
        <f t="shared" si="329"/>
        <v>357059.93147270125</v>
      </c>
      <c r="K170" s="84">
        <f t="shared" si="329"/>
        <v>562064.25517269934</v>
      </c>
      <c r="L170" s="84">
        <f t="shared" si="329"/>
        <v>31758.942945062528</v>
      </c>
      <c r="M170" s="84">
        <f t="shared" si="329"/>
        <v>317299.34187844273</v>
      </c>
      <c r="N170" s="84">
        <f t="shared" si="329"/>
        <v>46035.082440254184</v>
      </c>
      <c r="O170" s="84">
        <f t="shared" si="329"/>
        <v>340259.69429641031</v>
      </c>
      <c r="P170" s="84">
        <f t="shared" si="329"/>
        <v>152012.3969418495</v>
      </c>
      <c r="Q170" s="84">
        <f t="shared" si="329"/>
        <v>311932.07160525443</v>
      </c>
      <c r="R170" s="84">
        <f t="shared" si="329"/>
        <v>0</v>
      </c>
      <c r="S170" s="84">
        <f t="shared" si="329"/>
        <v>0</v>
      </c>
      <c r="T170" s="84">
        <f t="shared" si="329"/>
        <v>0</v>
      </c>
      <c r="U170" s="84">
        <f t="shared" si="329"/>
        <v>0</v>
      </c>
      <c r="V170" s="84">
        <f t="shared" si="329"/>
        <v>0</v>
      </c>
      <c r="W170" s="84">
        <f t="shared" si="329"/>
        <v>0</v>
      </c>
      <c r="X170" s="84">
        <f t="shared" si="329"/>
        <v>0</v>
      </c>
      <c r="Y170" s="84">
        <f t="shared" si="329"/>
        <v>0</v>
      </c>
      <c r="Z170" s="84">
        <f t="shared" si="329"/>
        <v>0</v>
      </c>
      <c r="AA170" s="84">
        <f t="shared" si="329"/>
        <v>0</v>
      </c>
      <c r="AB170" s="84">
        <f t="shared" si="329"/>
        <v>0</v>
      </c>
      <c r="AC170" s="84">
        <f t="shared" si="329"/>
        <v>0</v>
      </c>
      <c r="AD170" s="84">
        <f t="shared" si="329"/>
        <v>0</v>
      </c>
      <c r="AE170" s="84">
        <f t="shared" si="329"/>
        <v>0</v>
      </c>
      <c r="AF170" s="84">
        <f t="shared" si="329"/>
        <v>0</v>
      </c>
      <c r="AG170" s="84">
        <f t="shared" si="329"/>
        <v>0</v>
      </c>
      <c r="AH170" s="84">
        <f t="shared" si="329"/>
        <v>0</v>
      </c>
      <c r="AI170" s="84">
        <f t="shared" si="329"/>
        <v>0</v>
      </c>
      <c r="AJ170" s="84">
        <f t="shared" ref="AJ170:BA170" si="330">AJ$6*AnnMiles*DelayC2*(EXP(DelayC1*(AJ16+0.75*AnnMiles))+EXP(DelayC1*(AJ17+0.25*AnnMiles)))/2</f>
        <v>0</v>
      </c>
      <c r="AK170" s="84">
        <f t="shared" si="330"/>
        <v>0</v>
      </c>
      <c r="AL170" s="84">
        <f t="shared" si="330"/>
        <v>0</v>
      </c>
      <c r="AM170" s="84">
        <f t="shared" si="330"/>
        <v>0</v>
      </c>
      <c r="AN170" s="84">
        <f t="shared" si="330"/>
        <v>0</v>
      </c>
      <c r="AO170" s="84">
        <f t="shared" si="330"/>
        <v>0</v>
      </c>
      <c r="AP170" s="84">
        <f t="shared" si="330"/>
        <v>0</v>
      </c>
      <c r="AQ170" s="84">
        <f t="shared" si="330"/>
        <v>0</v>
      </c>
      <c r="AR170" s="84">
        <f t="shared" si="330"/>
        <v>0</v>
      </c>
      <c r="AS170" s="84">
        <f t="shared" si="330"/>
        <v>0</v>
      </c>
      <c r="AT170" s="84">
        <f t="shared" si="330"/>
        <v>0</v>
      </c>
      <c r="AU170" s="84">
        <f t="shared" si="330"/>
        <v>0</v>
      </c>
      <c r="AV170" s="84">
        <f t="shared" si="330"/>
        <v>0</v>
      </c>
      <c r="AW170" s="84">
        <f t="shared" si="330"/>
        <v>0</v>
      </c>
      <c r="AX170" s="84">
        <f t="shared" si="330"/>
        <v>0</v>
      </c>
      <c r="AY170" s="84">
        <f t="shared" si="330"/>
        <v>0</v>
      </c>
      <c r="AZ170" s="84">
        <f t="shared" si="330"/>
        <v>0</v>
      </c>
      <c r="BA170" s="84">
        <f t="shared" si="330"/>
        <v>0</v>
      </c>
      <c r="BB170" s="84"/>
      <c r="BC170" s="85">
        <f t="shared" si="313"/>
        <v>4483227.0240905732</v>
      </c>
    </row>
    <row r="171" spans="1:55" x14ac:dyDescent="0.2">
      <c r="A171" s="52"/>
      <c r="B171" s="7"/>
      <c r="C171" s="7">
        <f t="shared" si="316"/>
        <v>10</v>
      </c>
      <c r="D171" s="84">
        <f t="shared" ref="D171:AI171" si="331">D$6*AnnMiles*DelayC2*(EXP(DelayC1*(D17+0.75*AnnMiles))+EXP(DelayC1*(D18+0.25*AnnMiles)))/2</f>
        <v>719774.71766525216</v>
      </c>
      <c r="E171" s="84">
        <f t="shared" si="331"/>
        <v>187057.68130261594</v>
      </c>
      <c r="F171" s="84">
        <f t="shared" si="331"/>
        <v>565806.33118847664</v>
      </c>
      <c r="G171" s="84">
        <f t="shared" si="331"/>
        <v>91343.577115862005</v>
      </c>
      <c r="H171" s="84">
        <f t="shared" si="331"/>
        <v>716874.41637995944</v>
      </c>
      <c r="I171" s="84">
        <f t="shared" si="331"/>
        <v>127035.77178025011</v>
      </c>
      <c r="J171" s="84">
        <f t="shared" si="331"/>
        <v>190553.65767037516</v>
      </c>
      <c r="K171" s="84">
        <f t="shared" si="331"/>
        <v>602867.60896468919</v>
      </c>
      <c r="L171" s="84">
        <f t="shared" si="331"/>
        <v>34064.500313496923</v>
      </c>
      <c r="M171" s="84">
        <f t="shared" si="331"/>
        <v>225935.73085640286</v>
      </c>
      <c r="N171" s="84">
        <f t="shared" si="331"/>
        <v>49377.023754554568</v>
      </c>
      <c r="O171" s="84">
        <f t="shared" si="331"/>
        <v>190553.65767037516</v>
      </c>
      <c r="P171" s="84">
        <f t="shared" si="331"/>
        <v>163047.81781429207</v>
      </c>
      <c r="Q171" s="84">
        <f t="shared" si="331"/>
        <v>334576.94638539274</v>
      </c>
      <c r="R171" s="84">
        <f t="shared" si="331"/>
        <v>0</v>
      </c>
      <c r="S171" s="84">
        <f t="shared" si="331"/>
        <v>0</v>
      </c>
      <c r="T171" s="84">
        <f t="shared" si="331"/>
        <v>0</v>
      </c>
      <c r="U171" s="84">
        <f t="shared" si="331"/>
        <v>0</v>
      </c>
      <c r="V171" s="84">
        <f t="shared" si="331"/>
        <v>0</v>
      </c>
      <c r="W171" s="84">
        <f t="shared" si="331"/>
        <v>0</v>
      </c>
      <c r="X171" s="84">
        <f t="shared" si="331"/>
        <v>0</v>
      </c>
      <c r="Y171" s="84">
        <f t="shared" si="331"/>
        <v>0</v>
      </c>
      <c r="Z171" s="84">
        <f t="shared" si="331"/>
        <v>0</v>
      </c>
      <c r="AA171" s="84">
        <f t="shared" si="331"/>
        <v>0</v>
      </c>
      <c r="AB171" s="84">
        <f t="shared" si="331"/>
        <v>0</v>
      </c>
      <c r="AC171" s="84">
        <f t="shared" si="331"/>
        <v>0</v>
      </c>
      <c r="AD171" s="84">
        <f t="shared" si="331"/>
        <v>0</v>
      </c>
      <c r="AE171" s="84">
        <f t="shared" si="331"/>
        <v>0</v>
      </c>
      <c r="AF171" s="84">
        <f t="shared" si="331"/>
        <v>0</v>
      </c>
      <c r="AG171" s="84">
        <f t="shared" si="331"/>
        <v>0</v>
      </c>
      <c r="AH171" s="84">
        <f t="shared" si="331"/>
        <v>0</v>
      </c>
      <c r="AI171" s="84">
        <f t="shared" si="331"/>
        <v>0</v>
      </c>
      <c r="AJ171" s="84">
        <f t="shared" ref="AJ171:BA171" si="332">AJ$6*AnnMiles*DelayC2*(EXP(DelayC1*(AJ17+0.75*AnnMiles))+EXP(DelayC1*(AJ18+0.25*AnnMiles)))/2</f>
        <v>0</v>
      </c>
      <c r="AK171" s="84">
        <f t="shared" si="332"/>
        <v>0</v>
      </c>
      <c r="AL171" s="84">
        <f t="shared" si="332"/>
        <v>0</v>
      </c>
      <c r="AM171" s="84">
        <f t="shared" si="332"/>
        <v>0</v>
      </c>
      <c r="AN171" s="84">
        <f t="shared" si="332"/>
        <v>0</v>
      </c>
      <c r="AO171" s="84">
        <f t="shared" si="332"/>
        <v>0</v>
      </c>
      <c r="AP171" s="84">
        <f t="shared" si="332"/>
        <v>0</v>
      </c>
      <c r="AQ171" s="84">
        <f t="shared" si="332"/>
        <v>0</v>
      </c>
      <c r="AR171" s="84">
        <f t="shared" si="332"/>
        <v>0</v>
      </c>
      <c r="AS171" s="84">
        <f t="shared" si="332"/>
        <v>0</v>
      </c>
      <c r="AT171" s="84">
        <f t="shared" si="332"/>
        <v>0</v>
      </c>
      <c r="AU171" s="84">
        <f t="shared" si="332"/>
        <v>0</v>
      </c>
      <c r="AV171" s="84">
        <f t="shared" si="332"/>
        <v>0</v>
      </c>
      <c r="AW171" s="84">
        <f t="shared" si="332"/>
        <v>0</v>
      </c>
      <c r="AX171" s="84">
        <f t="shared" si="332"/>
        <v>0</v>
      </c>
      <c r="AY171" s="84">
        <f t="shared" si="332"/>
        <v>0</v>
      </c>
      <c r="AZ171" s="84">
        <f t="shared" si="332"/>
        <v>0</v>
      </c>
      <c r="BA171" s="84">
        <f t="shared" si="332"/>
        <v>0</v>
      </c>
      <c r="BB171" s="84"/>
      <c r="BC171" s="85">
        <f t="shared" si="313"/>
        <v>4198869.4388619941</v>
      </c>
    </row>
    <row r="172" spans="1:55" x14ac:dyDescent="0.2">
      <c r="A172" s="52"/>
      <c r="B172" s="7"/>
      <c r="C172" s="7">
        <f t="shared" si="316"/>
        <v>11</v>
      </c>
      <c r="D172" s="84">
        <f t="shared" ref="D172:AI172" si="333">D$6*AnnMiles*DelayC2*(EXP(DelayC1*(D18+0.75*AnnMiles))+EXP(DelayC1*(D19+0.25*AnnMiles)))/2</f>
        <v>514827.82243830239</v>
      </c>
      <c r="E172" s="84">
        <f t="shared" si="333"/>
        <v>200637.23324789089</v>
      </c>
      <c r="F172" s="84">
        <f t="shared" si="333"/>
        <v>606881.34298074502</v>
      </c>
      <c r="G172" s="84">
        <f t="shared" si="333"/>
        <v>97974.712718924377</v>
      </c>
      <c r="H172" s="84">
        <f t="shared" si="333"/>
        <v>768916.29623049381</v>
      </c>
      <c r="I172" s="84">
        <f t="shared" si="333"/>
        <v>136258.00125398769</v>
      </c>
      <c r="J172" s="84">
        <f t="shared" si="333"/>
        <v>204387.00188098155</v>
      </c>
      <c r="K172" s="84">
        <f t="shared" si="333"/>
        <v>646633.10394490079</v>
      </c>
      <c r="L172" s="84">
        <f t="shared" si="333"/>
        <v>36537.430846344796</v>
      </c>
      <c r="M172" s="84">
        <f t="shared" si="333"/>
        <v>123859.87748574387</v>
      </c>
      <c r="N172" s="84">
        <f t="shared" si="333"/>
        <v>35055.325678415938</v>
      </c>
      <c r="O172" s="84">
        <f t="shared" si="333"/>
        <v>204387.00188098155</v>
      </c>
      <c r="P172" s="84">
        <f t="shared" si="333"/>
        <v>174884.36093914227</v>
      </c>
      <c r="Q172" s="84">
        <f t="shared" si="333"/>
        <v>358865.7379040994</v>
      </c>
      <c r="R172" s="84">
        <f t="shared" si="333"/>
        <v>0</v>
      </c>
      <c r="S172" s="84">
        <f t="shared" si="333"/>
        <v>0</v>
      </c>
      <c r="T172" s="84">
        <f t="shared" si="333"/>
        <v>0</v>
      </c>
      <c r="U172" s="84">
        <f t="shared" si="333"/>
        <v>0</v>
      </c>
      <c r="V172" s="84">
        <f t="shared" si="333"/>
        <v>0</v>
      </c>
      <c r="W172" s="84">
        <f t="shared" si="333"/>
        <v>0</v>
      </c>
      <c r="X172" s="84">
        <f t="shared" si="333"/>
        <v>0</v>
      </c>
      <c r="Y172" s="84">
        <f t="shared" si="333"/>
        <v>0</v>
      </c>
      <c r="Z172" s="84">
        <f t="shared" si="333"/>
        <v>0</v>
      </c>
      <c r="AA172" s="84">
        <f t="shared" si="333"/>
        <v>0</v>
      </c>
      <c r="AB172" s="84">
        <f t="shared" si="333"/>
        <v>0</v>
      </c>
      <c r="AC172" s="84">
        <f t="shared" si="333"/>
        <v>0</v>
      </c>
      <c r="AD172" s="84">
        <f t="shared" si="333"/>
        <v>0</v>
      </c>
      <c r="AE172" s="84">
        <f t="shared" si="333"/>
        <v>0</v>
      </c>
      <c r="AF172" s="84">
        <f t="shared" si="333"/>
        <v>0</v>
      </c>
      <c r="AG172" s="84">
        <f t="shared" si="333"/>
        <v>0</v>
      </c>
      <c r="AH172" s="84">
        <f t="shared" si="333"/>
        <v>0</v>
      </c>
      <c r="AI172" s="84">
        <f t="shared" si="333"/>
        <v>0</v>
      </c>
      <c r="AJ172" s="84">
        <f t="shared" ref="AJ172:BA172" si="334">AJ$6*AnnMiles*DelayC2*(EXP(DelayC1*(AJ18+0.75*AnnMiles))+EXP(DelayC1*(AJ19+0.25*AnnMiles)))/2</f>
        <v>0</v>
      </c>
      <c r="AK172" s="84">
        <f t="shared" si="334"/>
        <v>0</v>
      </c>
      <c r="AL172" s="84">
        <f t="shared" si="334"/>
        <v>0</v>
      </c>
      <c r="AM172" s="84">
        <f t="shared" si="334"/>
        <v>0</v>
      </c>
      <c r="AN172" s="84">
        <f t="shared" si="334"/>
        <v>0</v>
      </c>
      <c r="AO172" s="84">
        <f t="shared" si="334"/>
        <v>0</v>
      </c>
      <c r="AP172" s="84">
        <f t="shared" si="334"/>
        <v>0</v>
      </c>
      <c r="AQ172" s="84">
        <f t="shared" si="334"/>
        <v>0</v>
      </c>
      <c r="AR172" s="84">
        <f t="shared" si="334"/>
        <v>0</v>
      </c>
      <c r="AS172" s="84">
        <f t="shared" si="334"/>
        <v>0</v>
      </c>
      <c r="AT172" s="84">
        <f t="shared" si="334"/>
        <v>0</v>
      </c>
      <c r="AU172" s="84">
        <f t="shared" si="334"/>
        <v>0</v>
      </c>
      <c r="AV172" s="84">
        <f t="shared" si="334"/>
        <v>0</v>
      </c>
      <c r="AW172" s="84">
        <f t="shared" si="334"/>
        <v>0</v>
      </c>
      <c r="AX172" s="84">
        <f t="shared" si="334"/>
        <v>0</v>
      </c>
      <c r="AY172" s="84">
        <f t="shared" si="334"/>
        <v>0</v>
      </c>
      <c r="AZ172" s="84">
        <f t="shared" si="334"/>
        <v>0</v>
      </c>
      <c r="BA172" s="84">
        <f t="shared" si="334"/>
        <v>0</v>
      </c>
      <c r="BB172" s="84"/>
      <c r="BC172" s="85">
        <f t="shared" si="313"/>
        <v>4110105.249430954</v>
      </c>
    </row>
    <row r="173" spans="1:55" x14ac:dyDescent="0.2">
      <c r="A173" s="52"/>
      <c r="B173" s="7"/>
      <c r="C173" s="7">
        <f t="shared" si="316"/>
        <v>12</v>
      </c>
      <c r="D173" s="84">
        <f t="shared" ref="D173:AI173" si="335">D$6*AnnMiles*DelayC2*(EXP(DelayC1*(D19+0.75*AnnMiles))+EXP(DelayC1*(D20+0.25*AnnMiles)))/2</f>
        <v>285830.48650556279</v>
      </c>
      <c r="E173" s="84">
        <f t="shared" si="335"/>
        <v>143376.4610437908</v>
      </c>
      <c r="F173" s="84">
        <f t="shared" si="335"/>
        <v>650938.21711836953</v>
      </c>
      <c r="G173" s="84">
        <f t="shared" si="335"/>
        <v>105087.23914085545</v>
      </c>
      <c r="H173" s="84">
        <f t="shared" si="335"/>
        <v>824736.18405075616</v>
      </c>
      <c r="I173" s="84">
        <f t="shared" si="335"/>
        <v>146149.72338537918</v>
      </c>
      <c r="J173" s="84">
        <f t="shared" si="335"/>
        <v>219224.58507806878</v>
      </c>
      <c r="K173" s="84">
        <f t="shared" si="335"/>
        <v>693575.77832964598</v>
      </c>
      <c r="L173" s="84">
        <f t="shared" si="335"/>
        <v>39189.885087569739</v>
      </c>
      <c r="M173" s="84">
        <f t="shared" si="335"/>
        <v>132851.55122263802</v>
      </c>
      <c r="N173" s="84">
        <f t="shared" si="335"/>
        <v>19055.365767037518</v>
      </c>
      <c r="O173" s="84">
        <f t="shared" si="335"/>
        <v>219224.58507806878</v>
      </c>
      <c r="P173" s="84">
        <f t="shared" si="335"/>
        <v>187580.18421275236</v>
      </c>
      <c r="Q173" s="84">
        <f t="shared" si="335"/>
        <v>384917.78717207018</v>
      </c>
      <c r="R173" s="84">
        <f t="shared" si="335"/>
        <v>0</v>
      </c>
      <c r="S173" s="84">
        <f t="shared" si="335"/>
        <v>0</v>
      </c>
      <c r="T173" s="84">
        <f t="shared" si="335"/>
        <v>0</v>
      </c>
      <c r="U173" s="84">
        <f t="shared" si="335"/>
        <v>0</v>
      </c>
      <c r="V173" s="84">
        <f t="shared" si="335"/>
        <v>0</v>
      </c>
      <c r="W173" s="84">
        <f t="shared" si="335"/>
        <v>0</v>
      </c>
      <c r="X173" s="84">
        <f t="shared" si="335"/>
        <v>0</v>
      </c>
      <c r="Y173" s="84">
        <f t="shared" si="335"/>
        <v>0</v>
      </c>
      <c r="Z173" s="84">
        <f t="shared" si="335"/>
        <v>0</v>
      </c>
      <c r="AA173" s="84">
        <f t="shared" si="335"/>
        <v>0</v>
      </c>
      <c r="AB173" s="84">
        <f t="shared" si="335"/>
        <v>0</v>
      </c>
      <c r="AC173" s="84">
        <f t="shared" si="335"/>
        <v>0</v>
      </c>
      <c r="AD173" s="84">
        <f t="shared" si="335"/>
        <v>0</v>
      </c>
      <c r="AE173" s="84">
        <f t="shared" si="335"/>
        <v>0</v>
      </c>
      <c r="AF173" s="84">
        <f t="shared" si="335"/>
        <v>0</v>
      </c>
      <c r="AG173" s="84">
        <f t="shared" si="335"/>
        <v>0</v>
      </c>
      <c r="AH173" s="84">
        <f t="shared" si="335"/>
        <v>0</v>
      </c>
      <c r="AI173" s="84">
        <f t="shared" si="335"/>
        <v>0</v>
      </c>
      <c r="AJ173" s="84">
        <f t="shared" ref="AJ173:BA173" si="336">AJ$6*AnnMiles*DelayC2*(EXP(DelayC1*(AJ19+0.75*AnnMiles))+EXP(DelayC1*(AJ20+0.25*AnnMiles)))/2</f>
        <v>0</v>
      </c>
      <c r="AK173" s="84">
        <f t="shared" si="336"/>
        <v>0</v>
      </c>
      <c r="AL173" s="84">
        <f t="shared" si="336"/>
        <v>0</v>
      </c>
      <c r="AM173" s="84">
        <f t="shared" si="336"/>
        <v>0</v>
      </c>
      <c r="AN173" s="84">
        <f t="shared" si="336"/>
        <v>0</v>
      </c>
      <c r="AO173" s="84">
        <f t="shared" si="336"/>
        <v>0</v>
      </c>
      <c r="AP173" s="84">
        <f t="shared" si="336"/>
        <v>0</v>
      </c>
      <c r="AQ173" s="84">
        <f t="shared" si="336"/>
        <v>0</v>
      </c>
      <c r="AR173" s="84">
        <f t="shared" si="336"/>
        <v>0</v>
      </c>
      <c r="AS173" s="84">
        <f t="shared" si="336"/>
        <v>0</v>
      </c>
      <c r="AT173" s="84">
        <f t="shared" si="336"/>
        <v>0</v>
      </c>
      <c r="AU173" s="84">
        <f t="shared" si="336"/>
        <v>0</v>
      </c>
      <c r="AV173" s="84">
        <f t="shared" si="336"/>
        <v>0</v>
      </c>
      <c r="AW173" s="84">
        <f t="shared" si="336"/>
        <v>0</v>
      </c>
      <c r="AX173" s="84">
        <f t="shared" si="336"/>
        <v>0</v>
      </c>
      <c r="AY173" s="84">
        <f t="shared" si="336"/>
        <v>0</v>
      </c>
      <c r="AZ173" s="84">
        <f t="shared" si="336"/>
        <v>0</v>
      </c>
      <c r="BA173" s="84">
        <f t="shared" si="336"/>
        <v>0</v>
      </c>
      <c r="BB173" s="84"/>
      <c r="BC173" s="85">
        <f t="shared" si="313"/>
        <v>4051738.0331925657</v>
      </c>
    </row>
    <row r="174" spans="1:55" x14ac:dyDescent="0.2">
      <c r="A174" s="52"/>
      <c r="B174" s="7"/>
      <c r="C174" s="7">
        <f t="shared" si="316"/>
        <v>13</v>
      </c>
      <c r="D174" s="84">
        <f t="shared" ref="D174:AI174" si="337">D$6*AnnMiles*DelayC2*(EXP(DelayC1*(D20+0.75*AnnMiles))+EXP(DelayC1*(D21+0.25*AnnMiles)))/2</f>
        <v>306580.50282147236</v>
      </c>
      <c r="E174" s="84">
        <f t="shared" si="337"/>
        <v>79397.35736265633</v>
      </c>
      <c r="F174" s="84">
        <f t="shared" si="337"/>
        <v>698193.42348556162</v>
      </c>
      <c r="G174" s="84">
        <f t="shared" si="337"/>
        <v>112716.10320439615</v>
      </c>
      <c r="H174" s="84">
        <f t="shared" si="337"/>
        <v>884608.34634034848</v>
      </c>
      <c r="I174" s="84">
        <f t="shared" si="337"/>
        <v>156759.54035027896</v>
      </c>
      <c r="J174" s="84">
        <f t="shared" si="337"/>
        <v>235139.31052541846</v>
      </c>
      <c r="K174" s="84">
        <f t="shared" si="337"/>
        <v>743926.28114901448</v>
      </c>
      <c r="L174" s="84">
        <f t="shared" si="337"/>
        <v>42034.895656342174</v>
      </c>
      <c r="M174" s="84">
        <f t="shared" si="337"/>
        <v>142495.9803007447</v>
      </c>
      <c r="N174" s="84">
        <f t="shared" si="337"/>
        <v>20438.700188098155</v>
      </c>
      <c r="O174" s="84">
        <f t="shared" si="337"/>
        <v>235139.31052541846</v>
      </c>
      <c r="P174" s="84">
        <f t="shared" si="337"/>
        <v>201197.6675349178</v>
      </c>
      <c r="Q174" s="84">
        <f t="shared" si="337"/>
        <v>412861.09882419812</v>
      </c>
      <c r="R174" s="84">
        <f t="shared" si="337"/>
        <v>0</v>
      </c>
      <c r="S174" s="84">
        <f t="shared" si="337"/>
        <v>0</v>
      </c>
      <c r="T174" s="84">
        <f t="shared" si="337"/>
        <v>0</v>
      </c>
      <c r="U174" s="84">
        <f t="shared" si="337"/>
        <v>0</v>
      </c>
      <c r="V174" s="84">
        <f t="shared" si="337"/>
        <v>0</v>
      </c>
      <c r="W174" s="84">
        <f t="shared" si="337"/>
        <v>0</v>
      </c>
      <c r="X174" s="84">
        <f t="shared" si="337"/>
        <v>0</v>
      </c>
      <c r="Y174" s="84">
        <f t="shared" si="337"/>
        <v>0</v>
      </c>
      <c r="Z174" s="84">
        <f t="shared" si="337"/>
        <v>0</v>
      </c>
      <c r="AA174" s="84">
        <f t="shared" si="337"/>
        <v>0</v>
      </c>
      <c r="AB174" s="84">
        <f t="shared" si="337"/>
        <v>0</v>
      </c>
      <c r="AC174" s="84">
        <f t="shared" si="337"/>
        <v>0</v>
      </c>
      <c r="AD174" s="84">
        <f t="shared" si="337"/>
        <v>0</v>
      </c>
      <c r="AE174" s="84">
        <f t="shared" si="337"/>
        <v>0</v>
      </c>
      <c r="AF174" s="84">
        <f t="shared" si="337"/>
        <v>0</v>
      </c>
      <c r="AG174" s="84">
        <f t="shared" si="337"/>
        <v>0</v>
      </c>
      <c r="AH174" s="84">
        <f t="shared" si="337"/>
        <v>0</v>
      </c>
      <c r="AI174" s="84">
        <f t="shared" si="337"/>
        <v>0</v>
      </c>
      <c r="AJ174" s="84">
        <f t="shared" ref="AJ174:BA174" si="338">AJ$6*AnnMiles*DelayC2*(EXP(DelayC1*(AJ20+0.75*AnnMiles))+EXP(DelayC1*(AJ21+0.25*AnnMiles)))/2</f>
        <v>0</v>
      </c>
      <c r="AK174" s="84">
        <f t="shared" si="338"/>
        <v>0</v>
      </c>
      <c r="AL174" s="84">
        <f t="shared" si="338"/>
        <v>0</v>
      </c>
      <c r="AM174" s="84">
        <f t="shared" si="338"/>
        <v>0</v>
      </c>
      <c r="AN174" s="84">
        <f t="shared" si="338"/>
        <v>0</v>
      </c>
      <c r="AO174" s="84">
        <f t="shared" si="338"/>
        <v>0</v>
      </c>
      <c r="AP174" s="84">
        <f t="shared" si="338"/>
        <v>0</v>
      </c>
      <c r="AQ174" s="84">
        <f t="shared" si="338"/>
        <v>0</v>
      </c>
      <c r="AR174" s="84">
        <f t="shared" si="338"/>
        <v>0</v>
      </c>
      <c r="AS174" s="84">
        <f t="shared" si="338"/>
        <v>0</v>
      </c>
      <c r="AT174" s="84">
        <f t="shared" si="338"/>
        <v>0</v>
      </c>
      <c r="AU174" s="84">
        <f t="shared" si="338"/>
        <v>0</v>
      </c>
      <c r="AV174" s="84">
        <f t="shared" si="338"/>
        <v>0</v>
      </c>
      <c r="AW174" s="84">
        <f t="shared" si="338"/>
        <v>0</v>
      </c>
      <c r="AX174" s="84">
        <f t="shared" si="338"/>
        <v>0</v>
      </c>
      <c r="AY174" s="84">
        <f t="shared" si="338"/>
        <v>0</v>
      </c>
      <c r="AZ174" s="84">
        <f t="shared" si="338"/>
        <v>0</v>
      </c>
      <c r="BA174" s="84">
        <f t="shared" si="338"/>
        <v>0</v>
      </c>
      <c r="BB174" s="84"/>
      <c r="BC174" s="85">
        <f t="shared" si="313"/>
        <v>4271488.5182688655</v>
      </c>
    </row>
    <row r="175" spans="1:55" x14ac:dyDescent="0.2">
      <c r="A175" s="52"/>
      <c r="B175" s="7"/>
      <c r="C175" s="7">
        <f t="shared" si="316"/>
        <v>14</v>
      </c>
      <c r="D175" s="84">
        <f t="shared" ref="D175:AI175" si="339">D$6*AnnMiles*DelayC2*(EXP(DelayC1*(D21+0.75*AnnMiles))+EXP(DelayC1*(D22+0.25*AnnMiles)))/2</f>
        <v>328836.87761710316</v>
      </c>
      <c r="E175" s="84">
        <f t="shared" si="339"/>
        <v>85161.250783742318</v>
      </c>
      <c r="F175" s="84">
        <f t="shared" si="339"/>
        <v>748879.1467130041</v>
      </c>
      <c r="G175" s="84">
        <f t="shared" si="339"/>
        <v>120898.78871548647</v>
      </c>
      <c r="H175" s="84">
        <f t="shared" si="339"/>
        <v>948826.96012140426</v>
      </c>
      <c r="I175" s="84">
        <f t="shared" si="339"/>
        <v>168139.5826253687</v>
      </c>
      <c r="J175" s="84">
        <f t="shared" si="339"/>
        <v>252209.37393805306</v>
      </c>
      <c r="K175" s="84">
        <f t="shared" si="339"/>
        <v>797932.00552221062</v>
      </c>
      <c r="L175" s="84">
        <f t="shared" si="339"/>
        <v>45086.441281758453</v>
      </c>
      <c r="M175" s="84">
        <f t="shared" si="339"/>
        <v>152840.55184152201</v>
      </c>
      <c r="N175" s="84">
        <f t="shared" si="339"/>
        <v>21922.458507806878</v>
      </c>
      <c r="O175" s="84">
        <f t="shared" si="339"/>
        <v>252209.37393805306</v>
      </c>
      <c r="P175" s="84">
        <f t="shared" si="339"/>
        <v>215803.71930746463</v>
      </c>
      <c r="Q175" s="84">
        <f t="shared" si="339"/>
        <v>442832.97005998291</v>
      </c>
      <c r="R175" s="84">
        <f t="shared" si="339"/>
        <v>0</v>
      </c>
      <c r="S175" s="84">
        <f t="shared" si="339"/>
        <v>0</v>
      </c>
      <c r="T175" s="84">
        <f t="shared" si="339"/>
        <v>0</v>
      </c>
      <c r="U175" s="84">
        <f t="shared" si="339"/>
        <v>0</v>
      </c>
      <c r="V175" s="84">
        <f t="shared" si="339"/>
        <v>0</v>
      </c>
      <c r="W175" s="84">
        <f t="shared" si="339"/>
        <v>0</v>
      </c>
      <c r="X175" s="84">
        <f t="shared" si="339"/>
        <v>0</v>
      </c>
      <c r="Y175" s="84">
        <f t="shared" si="339"/>
        <v>0</v>
      </c>
      <c r="Z175" s="84">
        <f t="shared" si="339"/>
        <v>0</v>
      </c>
      <c r="AA175" s="84">
        <f t="shared" si="339"/>
        <v>0</v>
      </c>
      <c r="AB175" s="84">
        <f t="shared" si="339"/>
        <v>0</v>
      </c>
      <c r="AC175" s="84">
        <f t="shared" si="339"/>
        <v>0</v>
      </c>
      <c r="AD175" s="84">
        <f t="shared" si="339"/>
        <v>0</v>
      </c>
      <c r="AE175" s="84">
        <f t="shared" si="339"/>
        <v>0</v>
      </c>
      <c r="AF175" s="84">
        <f t="shared" si="339"/>
        <v>0</v>
      </c>
      <c r="AG175" s="84">
        <f t="shared" si="339"/>
        <v>0</v>
      </c>
      <c r="AH175" s="84">
        <f t="shared" si="339"/>
        <v>0</v>
      </c>
      <c r="AI175" s="84">
        <f t="shared" si="339"/>
        <v>0</v>
      </c>
      <c r="AJ175" s="84">
        <f t="shared" ref="AJ175:BA175" si="340">AJ$6*AnnMiles*DelayC2*(EXP(DelayC1*(AJ21+0.75*AnnMiles))+EXP(DelayC1*(AJ22+0.25*AnnMiles)))/2</f>
        <v>0</v>
      </c>
      <c r="AK175" s="84">
        <f t="shared" si="340"/>
        <v>0</v>
      </c>
      <c r="AL175" s="84">
        <f t="shared" si="340"/>
        <v>0</v>
      </c>
      <c r="AM175" s="84">
        <f t="shared" si="340"/>
        <v>0</v>
      </c>
      <c r="AN175" s="84">
        <f t="shared" si="340"/>
        <v>0</v>
      </c>
      <c r="AO175" s="84">
        <f t="shared" si="340"/>
        <v>0</v>
      </c>
      <c r="AP175" s="84">
        <f t="shared" si="340"/>
        <v>0</v>
      </c>
      <c r="AQ175" s="84">
        <f t="shared" si="340"/>
        <v>0</v>
      </c>
      <c r="AR175" s="84">
        <f t="shared" si="340"/>
        <v>0</v>
      </c>
      <c r="AS175" s="84">
        <f t="shared" si="340"/>
        <v>0</v>
      </c>
      <c r="AT175" s="84">
        <f t="shared" si="340"/>
        <v>0</v>
      </c>
      <c r="AU175" s="84">
        <f t="shared" si="340"/>
        <v>0</v>
      </c>
      <c r="AV175" s="84">
        <f t="shared" si="340"/>
        <v>0</v>
      </c>
      <c r="AW175" s="84">
        <f t="shared" si="340"/>
        <v>0</v>
      </c>
      <c r="AX175" s="84">
        <f t="shared" si="340"/>
        <v>0</v>
      </c>
      <c r="AY175" s="84">
        <f t="shared" si="340"/>
        <v>0</v>
      </c>
      <c r="AZ175" s="84">
        <f t="shared" si="340"/>
        <v>0</v>
      </c>
      <c r="BA175" s="84">
        <f t="shared" si="340"/>
        <v>0</v>
      </c>
      <c r="BB175" s="84"/>
      <c r="BC175" s="85">
        <f t="shared" si="313"/>
        <v>4581579.5009729601</v>
      </c>
    </row>
    <row r="176" spans="1:55" x14ac:dyDescent="0.2">
      <c r="A176" s="52"/>
      <c r="B176" s="7"/>
      <c r="C176" s="7">
        <f t="shared" si="316"/>
        <v>15</v>
      </c>
      <c r="D176" s="84">
        <f t="shared" ref="D176:AI176" si="341">D$6*AnnMiles*DelayC2*(EXP(DelayC1*(D22+0.75*AnnMiles))+EXP(DelayC1*(D23+0.25*AnnMiles)))/2</f>
        <v>352708.96578812768</v>
      </c>
      <c r="E176" s="84">
        <f t="shared" si="341"/>
        <v>91343.577115862005</v>
      </c>
      <c r="F176" s="84">
        <f t="shared" si="341"/>
        <v>803244.42699823657</v>
      </c>
      <c r="G176" s="84">
        <f t="shared" si="341"/>
        <v>129675.50063691135</v>
      </c>
      <c r="H176" s="84">
        <f t="shared" si="341"/>
        <v>1017707.5583535697</v>
      </c>
      <c r="I176" s="84">
        <f t="shared" si="341"/>
        <v>180345.76512703381</v>
      </c>
      <c r="J176" s="84">
        <f t="shared" si="341"/>
        <v>270518.64769055072</v>
      </c>
      <c r="K176" s="84">
        <f t="shared" si="341"/>
        <v>855858.30420361494</v>
      </c>
      <c r="L176" s="84">
        <f t="shared" si="341"/>
        <v>48359.515486194578</v>
      </c>
      <c r="M176" s="84">
        <f t="shared" si="341"/>
        <v>163936.0930597345</v>
      </c>
      <c r="N176" s="84">
        <f t="shared" si="341"/>
        <v>23513.931052541848</v>
      </c>
      <c r="O176" s="84">
        <f t="shared" si="341"/>
        <v>270518.64769055072</v>
      </c>
      <c r="P176" s="84">
        <f t="shared" si="341"/>
        <v>152874.12920914689</v>
      </c>
      <c r="Q176" s="84">
        <f t="shared" si="341"/>
        <v>314675.83463157725</v>
      </c>
      <c r="R176" s="84">
        <f t="shared" si="341"/>
        <v>0</v>
      </c>
      <c r="S176" s="84">
        <f t="shared" si="341"/>
        <v>0</v>
      </c>
      <c r="T176" s="84">
        <f t="shared" si="341"/>
        <v>0</v>
      </c>
      <c r="U176" s="84">
        <f t="shared" si="341"/>
        <v>0</v>
      </c>
      <c r="V176" s="84">
        <f t="shared" si="341"/>
        <v>0</v>
      </c>
      <c r="W176" s="84">
        <f t="shared" si="341"/>
        <v>0</v>
      </c>
      <c r="X176" s="84">
        <f t="shared" si="341"/>
        <v>0</v>
      </c>
      <c r="Y176" s="84">
        <f t="shared" si="341"/>
        <v>0</v>
      </c>
      <c r="Z176" s="84">
        <f t="shared" si="341"/>
        <v>0</v>
      </c>
      <c r="AA176" s="84">
        <f t="shared" si="341"/>
        <v>0</v>
      </c>
      <c r="AB176" s="84">
        <f t="shared" si="341"/>
        <v>0</v>
      </c>
      <c r="AC176" s="84">
        <f t="shared" si="341"/>
        <v>0</v>
      </c>
      <c r="AD176" s="84">
        <f t="shared" si="341"/>
        <v>0</v>
      </c>
      <c r="AE176" s="84">
        <f t="shared" si="341"/>
        <v>0</v>
      </c>
      <c r="AF176" s="84">
        <f t="shared" si="341"/>
        <v>0</v>
      </c>
      <c r="AG176" s="84">
        <f t="shared" si="341"/>
        <v>0</v>
      </c>
      <c r="AH176" s="84">
        <f t="shared" si="341"/>
        <v>0</v>
      </c>
      <c r="AI176" s="84">
        <f t="shared" si="341"/>
        <v>0</v>
      </c>
      <c r="AJ176" s="84">
        <f t="shared" ref="AJ176:BA176" si="342">AJ$6*AnnMiles*DelayC2*(EXP(DelayC1*(AJ22+0.75*AnnMiles))+EXP(DelayC1*(AJ23+0.25*AnnMiles)))/2</f>
        <v>0</v>
      </c>
      <c r="AK176" s="84">
        <f t="shared" si="342"/>
        <v>0</v>
      </c>
      <c r="AL176" s="84">
        <f t="shared" si="342"/>
        <v>0</v>
      </c>
      <c r="AM176" s="84">
        <f t="shared" si="342"/>
        <v>0</v>
      </c>
      <c r="AN176" s="84">
        <f t="shared" si="342"/>
        <v>0</v>
      </c>
      <c r="AO176" s="84">
        <f t="shared" si="342"/>
        <v>0</v>
      </c>
      <c r="AP176" s="84">
        <f t="shared" si="342"/>
        <v>0</v>
      </c>
      <c r="AQ176" s="84">
        <f t="shared" si="342"/>
        <v>0</v>
      </c>
      <c r="AR176" s="84">
        <f t="shared" si="342"/>
        <v>0</v>
      </c>
      <c r="AS176" s="84">
        <f t="shared" si="342"/>
        <v>0</v>
      </c>
      <c r="AT176" s="84">
        <f t="shared" si="342"/>
        <v>0</v>
      </c>
      <c r="AU176" s="84">
        <f t="shared" si="342"/>
        <v>0</v>
      </c>
      <c r="AV176" s="84">
        <f t="shared" si="342"/>
        <v>0</v>
      </c>
      <c r="AW176" s="84">
        <f t="shared" si="342"/>
        <v>0</v>
      </c>
      <c r="AX176" s="84">
        <f t="shared" si="342"/>
        <v>0</v>
      </c>
      <c r="AY176" s="84">
        <f t="shared" si="342"/>
        <v>0</v>
      </c>
      <c r="AZ176" s="84">
        <f t="shared" si="342"/>
        <v>0</v>
      </c>
      <c r="BA176" s="84">
        <f t="shared" si="342"/>
        <v>0</v>
      </c>
      <c r="BB176" s="84"/>
      <c r="BC176" s="85">
        <f t="shared" si="313"/>
        <v>4675280.8970436528</v>
      </c>
    </row>
    <row r="177" spans="1:56" x14ac:dyDescent="0.2">
      <c r="A177" s="52"/>
      <c r="B177" s="7"/>
      <c r="C177" s="7">
        <f t="shared" si="316"/>
        <v>16</v>
      </c>
      <c r="D177" s="84">
        <f t="shared" ref="D177:AI177" si="343">D$6*AnnMiles*DelayC2*(EXP(DelayC1*(D23+0.75*AnnMiles))+EXP(DelayC1*(D24+0.25*AnnMiles)))/2</f>
        <v>378314.06090707961</v>
      </c>
      <c r="E177" s="84">
        <f t="shared" si="343"/>
        <v>97974.712718924377</v>
      </c>
      <c r="F177" s="84">
        <f t="shared" si="343"/>
        <v>861556.38374450337</v>
      </c>
      <c r="G177" s="84">
        <f t="shared" si="343"/>
        <v>139089.36263213027</v>
      </c>
      <c r="H177" s="84">
        <f t="shared" si="343"/>
        <v>1091588.5802796548</v>
      </c>
      <c r="I177" s="84">
        <f t="shared" si="343"/>
        <v>193438.06194477831</v>
      </c>
      <c r="J177" s="84">
        <f t="shared" si="343"/>
        <v>290157.09291716747</v>
      </c>
      <c r="K177" s="84">
        <f t="shared" si="343"/>
        <v>917989.79337205971</v>
      </c>
      <c r="L177" s="84">
        <f t="shared" si="343"/>
        <v>51870.200254764532</v>
      </c>
      <c r="M177" s="84">
        <f t="shared" si="343"/>
        <v>175837.12099885798</v>
      </c>
      <c r="N177" s="84">
        <f t="shared" si="343"/>
        <v>25220.937393805307</v>
      </c>
      <c r="O177" s="84">
        <f t="shared" si="343"/>
        <v>290157.09291716747</v>
      </c>
      <c r="P177" s="84">
        <f t="shared" si="343"/>
        <v>82573.251657162575</v>
      </c>
      <c r="Q177" s="84">
        <f t="shared" si="343"/>
        <v>171498.29190333764</v>
      </c>
      <c r="R177" s="84">
        <f t="shared" si="343"/>
        <v>0</v>
      </c>
      <c r="S177" s="84">
        <f t="shared" si="343"/>
        <v>0</v>
      </c>
      <c r="T177" s="84">
        <f t="shared" si="343"/>
        <v>0</v>
      </c>
      <c r="U177" s="84">
        <f t="shared" si="343"/>
        <v>0</v>
      </c>
      <c r="V177" s="84">
        <f t="shared" si="343"/>
        <v>0</v>
      </c>
      <c r="W177" s="84">
        <f t="shared" si="343"/>
        <v>0</v>
      </c>
      <c r="X177" s="84">
        <f t="shared" si="343"/>
        <v>0</v>
      </c>
      <c r="Y177" s="84">
        <f t="shared" si="343"/>
        <v>0</v>
      </c>
      <c r="Z177" s="84">
        <f t="shared" si="343"/>
        <v>0</v>
      </c>
      <c r="AA177" s="84">
        <f t="shared" si="343"/>
        <v>0</v>
      </c>
      <c r="AB177" s="84">
        <f t="shared" si="343"/>
        <v>0</v>
      </c>
      <c r="AC177" s="84">
        <f t="shared" si="343"/>
        <v>0</v>
      </c>
      <c r="AD177" s="84">
        <f t="shared" si="343"/>
        <v>0</v>
      </c>
      <c r="AE177" s="84">
        <f t="shared" si="343"/>
        <v>0</v>
      </c>
      <c r="AF177" s="84">
        <f t="shared" si="343"/>
        <v>0</v>
      </c>
      <c r="AG177" s="84">
        <f t="shared" si="343"/>
        <v>0</v>
      </c>
      <c r="AH177" s="84">
        <f t="shared" si="343"/>
        <v>0</v>
      </c>
      <c r="AI177" s="84">
        <f t="shared" si="343"/>
        <v>0</v>
      </c>
      <c r="AJ177" s="84">
        <f t="shared" ref="AJ177:BA177" si="344">AJ$6*AnnMiles*DelayC2*(EXP(DelayC1*(AJ23+0.75*AnnMiles))+EXP(DelayC1*(AJ24+0.25*AnnMiles)))/2</f>
        <v>0</v>
      </c>
      <c r="AK177" s="84">
        <f t="shared" si="344"/>
        <v>0</v>
      </c>
      <c r="AL177" s="84">
        <f t="shared" si="344"/>
        <v>0</v>
      </c>
      <c r="AM177" s="84">
        <f t="shared" si="344"/>
        <v>0</v>
      </c>
      <c r="AN177" s="84">
        <f t="shared" si="344"/>
        <v>0</v>
      </c>
      <c r="AO177" s="84">
        <f t="shared" si="344"/>
        <v>0</v>
      </c>
      <c r="AP177" s="84">
        <f t="shared" si="344"/>
        <v>0</v>
      </c>
      <c r="AQ177" s="84">
        <f t="shared" si="344"/>
        <v>0</v>
      </c>
      <c r="AR177" s="84">
        <f t="shared" si="344"/>
        <v>0</v>
      </c>
      <c r="AS177" s="84">
        <f t="shared" si="344"/>
        <v>0</v>
      </c>
      <c r="AT177" s="84">
        <f t="shared" si="344"/>
        <v>0</v>
      </c>
      <c r="AU177" s="84">
        <f t="shared" si="344"/>
        <v>0</v>
      </c>
      <c r="AV177" s="84">
        <f t="shared" si="344"/>
        <v>0</v>
      </c>
      <c r="AW177" s="84">
        <f t="shared" si="344"/>
        <v>0</v>
      </c>
      <c r="AX177" s="84">
        <f t="shared" si="344"/>
        <v>0</v>
      </c>
      <c r="AY177" s="84">
        <f t="shared" si="344"/>
        <v>0</v>
      </c>
      <c r="AZ177" s="84">
        <f t="shared" si="344"/>
        <v>0</v>
      </c>
      <c r="BA177" s="84">
        <f t="shared" si="344"/>
        <v>0</v>
      </c>
      <c r="BB177" s="84"/>
      <c r="BC177" s="85">
        <f t="shared" si="313"/>
        <v>4767264.9436413934</v>
      </c>
    </row>
    <row r="178" spans="1:56" x14ac:dyDescent="0.2">
      <c r="A178" s="52"/>
      <c r="B178" s="7"/>
      <c r="C178" s="7">
        <f t="shared" si="316"/>
        <v>17</v>
      </c>
      <c r="D178" s="84">
        <f t="shared" ref="D178:AI178" si="345">D$6*AnnMiles*DelayC2*(EXP(DelayC1*(D24+0.75*AnnMiles))+EXP(DelayC1*(D25+0.25*AnnMiles)))/2</f>
        <v>405777.9715358261</v>
      </c>
      <c r="E178" s="84">
        <f t="shared" si="345"/>
        <v>105087.23914085545</v>
      </c>
      <c r="F178" s="84">
        <f t="shared" si="345"/>
        <v>924101.52803031646</v>
      </c>
      <c r="G178" s="84">
        <f t="shared" si="345"/>
        <v>149186.62894990636</v>
      </c>
      <c r="H178" s="84">
        <f t="shared" si="345"/>
        <v>1170833.0343194534</v>
      </c>
      <c r="I178" s="84">
        <f t="shared" si="345"/>
        <v>207480.80101905813</v>
      </c>
      <c r="J178" s="84">
        <f t="shared" si="345"/>
        <v>311221.2015285872</v>
      </c>
      <c r="K178" s="84">
        <f t="shared" si="345"/>
        <v>984631.75106938183</v>
      </c>
      <c r="L178" s="84">
        <f t="shared" si="345"/>
        <v>55635.7450528521</v>
      </c>
      <c r="M178" s="84">
        <f t="shared" si="345"/>
        <v>188602.11039615888</v>
      </c>
      <c r="N178" s="84">
        <f t="shared" si="345"/>
        <v>27051.864769055075</v>
      </c>
      <c r="O178" s="84">
        <f t="shared" si="345"/>
        <v>311221.2015285872</v>
      </c>
      <c r="P178" s="84">
        <f t="shared" si="345"/>
        <v>88567.700815092016</v>
      </c>
      <c r="Q178" s="84">
        <f t="shared" si="345"/>
        <v>183948.3016928834</v>
      </c>
      <c r="R178" s="84">
        <f t="shared" si="345"/>
        <v>0</v>
      </c>
      <c r="S178" s="84">
        <f t="shared" si="345"/>
        <v>0</v>
      </c>
      <c r="T178" s="84">
        <f t="shared" si="345"/>
        <v>0</v>
      </c>
      <c r="U178" s="84">
        <f t="shared" si="345"/>
        <v>0</v>
      </c>
      <c r="V178" s="84">
        <f t="shared" si="345"/>
        <v>0</v>
      </c>
      <c r="W178" s="84">
        <f t="shared" si="345"/>
        <v>0</v>
      </c>
      <c r="X178" s="84">
        <f t="shared" si="345"/>
        <v>0</v>
      </c>
      <c r="Y178" s="84">
        <f t="shared" si="345"/>
        <v>0</v>
      </c>
      <c r="Z178" s="84">
        <f t="shared" si="345"/>
        <v>0</v>
      </c>
      <c r="AA178" s="84">
        <f t="shared" si="345"/>
        <v>0</v>
      </c>
      <c r="AB178" s="84">
        <f t="shared" si="345"/>
        <v>0</v>
      </c>
      <c r="AC178" s="84">
        <f t="shared" si="345"/>
        <v>0</v>
      </c>
      <c r="AD178" s="84">
        <f t="shared" si="345"/>
        <v>0</v>
      </c>
      <c r="AE178" s="84">
        <f t="shared" si="345"/>
        <v>0</v>
      </c>
      <c r="AF178" s="84">
        <f t="shared" si="345"/>
        <v>0</v>
      </c>
      <c r="AG178" s="84">
        <f t="shared" si="345"/>
        <v>0</v>
      </c>
      <c r="AH178" s="84">
        <f t="shared" si="345"/>
        <v>0</v>
      </c>
      <c r="AI178" s="84">
        <f t="shared" si="345"/>
        <v>0</v>
      </c>
      <c r="AJ178" s="84">
        <f t="shared" ref="AJ178:BA178" si="346">AJ$6*AnnMiles*DelayC2*(EXP(DelayC1*(AJ24+0.75*AnnMiles))+EXP(DelayC1*(AJ25+0.25*AnnMiles)))/2</f>
        <v>0</v>
      </c>
      <c r="AK178" s="84">
        <f t="shared" si="346"/>
        <v>0</v>
      </c>
      <c r="AL178" s="84">
        <f t="shared" si="346"/>
        <v>0</v>
      </c>
      <c r="AM178" s="84">
        <f t="shared" si="346"/>
        <v>0</v>
      </c>
      <c r="AN178" s="84">
        <f t="shared" si="346"/>
        <v>0</v>
      </c>
      <c r="AO178" s="84">
        <f t="shared" si="346"/>
        <v>0</v>
      </c>
      <c r="AP178" s="84">
        <f t="shared" si="346"/>
        <v>0</v>
      </c>
      <c r="AQ178" s="84">
        <f t="shared" si="346"/>
        <v>0</v>
      </c>
      <c r="AR178" s="84">
        <f t="shared" si="346"/>
        <v>0</v>
      </c>
      <c r="AS178" s="84">
        <f t="shared" si="346"/>
        <v>0</v>
      </c>
      <c r="AT178" s="84">
        <f t="shared" si="346"/>
        <v>0</v>
      </c>
      <c r="AU178" s="84">
        <f t="shared" si="346"/>
        <v>0</v>
      </c>
      <c r="AV178" s="84">
        <f t="shared" si="346"/>
        <v>0</v>
      </c>
      <c r="AW178" s="84">
        <f t="shared" si="346"/>
        <v>0</v>
      </c>
      <c r="AX178" s="84">
        <f t="shared" si="346"/>
        <v>0</v>
      </c>
      <c r="AY178" s="84">
        <f t="shared" si="346"/>
        <v>0</v>
      </c>
      <c r="AZ178" s="84">
        <f t="shared" si="346"/>
        <v>0</v>
      </c>
      <c r="BA178" s="84">
        <f t="shared" si="346"/>
        <v>0</v>
      </c>
      <c r="BB178" s="84"/>
      <c r="BC178" s="85">
        <f t="shared" si="313"/>
        <v>5113347.0798480147</v>
      </c>
    </row>
    <row r="179" spans="1:56" x14ac:dyDescent="0.2">
      <c r="A179" s="52"/>
      <c r="B179" s="7"/>
      <c r="C179" s="7">
        <f t="shared" si="316"/>
        <v>18</v>
      </c>
      <c r="D179" s="84">
        <f t="shared" ref="D179:AI179" si="347">D$6*AnnMiles*DelayC2*(EXP(DelayC1*(D25+0.75*AnnMiles))+EXP(DelayC1*(D26+0.25*AnnMiles)))/2</f>
        <v>435235.63937575126</v>
      </c>
      <c r="E179" s="84">
        <f t="shared" si="347"/>
        <v>112716.10320439615</v>
      </c>
      <c r="F179" s="84">
        <f t="shared" si="347"/>
        <v>663161.14578747668</v>
      </c>
      <c r="G179" s="84">
        <f t="shared" si="347"/>
        <v>160016.91169081285</v>
      </c>
      <c r="H179" s="84">
        <f t="shared" si="347"/>
        <v>1255830.2816822249</v>
      </c>
      <c r="I179" s="84">
        <f t="shared" si="347"/>
        <v>222542.9802114084</v>
      </c>
      <c r="J179" s="84">
        <f t="shared" si="347"/>
        <v>333814.47031711263</v>
      </c>
      <c r="K179" s="84">
        <f t="shared" si="347"/>
        <v>1056111.6171593647</v>
      </c>
      <c r="L179" s="84">
        <f t="shared" si="347"/>
        <v>59674.651579962527</v>
      </c>
      <c r="M179" s="84">
        <f t="shared" si="347"/>
        <v>202293.78099358169</v>
      </c>
      <c r="N179" s="84">
        <f t="shared" si="347"/>
        <v>29015.70929171675</v>
      </c>
      <c r="O179" s="84">
        <f t="shared" si="347"/>
        <v>333814.47031711263</v>
      </c>
      <c r="P179" s="84">
        <f t="shared" si="347"/>
        <v>94997.32020049647</v>
      </c>
      <c r="Q179" s="84">
        <f t="shared" si="347"/>
        <v>197302.12657026187</v>
      </c>
      <c r="R179" s="84">
        <f t="shared" si="347"/>
        <v>0</v>
      </c>
      <c r="S179" s="84">
        <f t="shared" si="347"/>
        <v>0</v>
      </c>
      <c r="T179" s="84">
        <f t="shared" si="347"/>
        <v>0</v>
      </c>
      <c r="U179" s="84">
        <f t="shared" si="347"/>
        <v>0</v>
      </c>
      <c r="V179" s="84">
        <f t="shared" si="347"/>
        <v>0</v>
      </c>
      <c r="W179" s="84">
        <f t="shared" si="347"/>
        <v>0</v>
      </c>
      <c r="X179" s="84">
        <f t="shared" si="347"/>
        <v>0</v>
      </c>
      <c r="Y179" s="84">
        <f t="shared" si="347"/>
        <v>0</v>
      </c>
      <c r="Z179" s="84">
        <f t="shared" si="347"/>
        <v>0</v>
      </c>
      <c r="AA179" s="84">
        <f t="shared" si="347"/>
        <v>0</v>
      </c>
      <c r="AB179" s="84">
        <f t="shared" si="347"/>
        <v>0</v>
      </c>
      <c r="AC179" s="84">
        <f t="shared" si="347"/>
        <v>0</v>
      </c>
      <c r="AD179" s="84">
        <f t="shared" si="347"/>
        <v>0</v>
      </c>
      <c r="AE179" s="84">
        <f t="shared" si="347"/>
        <v>0</v>
      </c>
      <c r="AF179" s="84">
        <f t="shared" si="347"/>
        <v>0</v>
      </c>
      <c r="AG179" s="84">
        <f t="shared" si="347"/>
        <v>0</v>
      </c>
      <c r="AH179" s="84">
        <f t="shared" si="347"/>
        <v>0</v>
      </c>
      <c r="AI179" s="84">
        <f t="shared" si="347"/>
        <v>0</v>
      </c>
      <c r="AJ179" s="84">
        <f t="shared" ref="AJ179:BA179" si="348">AJ$6*AnnMiles*DelayC2*(EXP(DelayC1*(AJ25+0.75*AnnMiles))+EXP(DelayC1*(AJ26+0.25*AnnMiles)))/2</f>
        <v>0</v>
      </c>
      <c r="AK179" s="84">
        <f t="shared" si="348"/>
        <v>0</v>
      </c>
      <c r="AL179" s="84">
        <f t="shared" si="348"/>
        <v>0</v>
      </c>
      <c r="AM179" s="84">
        <f t="shared" si="348"/>
        <v>0</v>
      </c>
      <c r="AN179" s="84">
        <f t="shared" si="348"/>
        <v>0</v>
      </c>
      <c r="AO179" s="84">
        <f t="shared" si="348"/>
        <v>0</v>
      </c>
      <c r="AP179" s="84">
        <f t="shared" si="348"/>
        <v>0</v>
      </c>
      <c r="AQ179" s="84">
        <f t="shared" si="348"/>
        <v>0</v>
      </c>
      <c r="AR179" s="84">
        <f t="shared" si="348"/>
        <v>0</v>
      </c>
      <c r="AS179" s="84">
        <f t="shared" si="348"/>
        <v>0</v>
      </c>
      <c r="AT179" s="84">
        <f t="shared" si="348"/>
        <v>0</v>
      </c>
      <c r="AU179" s="84">
        <f t="shared" si="348"/>
        <v>0</v>
      </c>
      <c r="AV179" s="84">
        <f t="shared" si="348"/>
        <v>0</v>
      </c>
      <c r="AW179" s="84">
        <f t="shared" si="348"/>
        <v>0</v>
      </c>
      <c r="AX179" s="84">
        <f t="shared" si="348"/>
        <v>0</v>
      </c>
      <c r="AY179" s="84">
        <f t="shared" si="348"/>
        <v>0</v>
      </c>
      <c r="AZ179" s="84">
        <f t="shared" si="348"/>
        <v>0</v>
      </c>
      <c r="BA179" s="84">
        <f t="shared" si="348"/>
        <v>0</v>
      </c>
      <c r="BB179" s="84"/>
      <c r="BC179" s="85">
        <f t="shared" si="313"/>
        <v>5156527.2083816789</v>
      </c>
    </row>
    <row r="180" spans="1:56" x14ac:dyDescent="0.2">
      <c r="A180" s="52"/>
      <c r="B180" s="7"/>
      <c r="C180" s="7">
        <f t="shared" si="316"/>
        <v>19</v>
      </c>
      <c r="D180" s="84">
        <f t="shared" ref="D180:AI180" si="349">D$6*AnnMiles*DelayC2*(EXP(DelayC1*(D26+0.75*AnnMiles))+EXP(DelayC1*(D27+0.25*AnnMiles)))/2</f>
        <v>466831.80229288084</v>
      </c>
      <c r="E180" s="84">
        <f t="shared" si="349"/>
        <v>120898.78871548647</v>
      </c>
      <c r="F180" s="84">
        <f t="shared" si="349"/>
        <v>371579.63245723158</v>
      </c>
      <c r="G180" s="84">
        <f t="shared" si="349"/>
        <v>171633.42457227278</v>
      </c>
      <c r="H180" s="84">
        <f t="shared" si="349"/>
        <v>901218.99299323757</v>
      </c>
      <c r="I180" s="84">
        <f t="shared" si="349"/>
        <v>238698.60631985011</v>
      </c>
      <c r="J180" s="84">
        <f t="shared" si="349"/>
        <v>358047.90947977517</v>
      </c>
      <c r="K180" s="84">
        <f t="shared" si="349"/>
        <v>1132780.6021770004</v>
      </c>
      <c r="L180" s="84">
        <f t="shared" si="349"/>
        <v>64006.764676325132</v>
      </c>
      <c r="M180" s="84">
        <f t="shared" si="349"/>
        <v>216979.40570612322</v>
      </c>
      <c r="N180" s="84">
        <f t="shared" si="349"/>
        <v>31122.120152858723</v>
      </c>
      <c r="O180" s="84">
        <f t="shared" si="349"/>
        <v>358047.90947977517</v>
      </c>
      <c r="P180" s="84">
        <f t="shared" si="349"/>
        <v>101893.70122768133</v>
      </c>
      <c r="Q180" s="84">
        <f t="shared" si="349"/>
        <v>211625.37947287661</v>
      </c>
      <c r="R180" s="84">
        <f t="shared" si="349"/>
        <v>0</v>
      </c>
      <c r="S180" s="84">
        <f t="shared" si="349"/>
        <v>0</v>
      </c>
      <c r="T180" s="84">
        <f t="shared" si="349"/>
        <v>0</v>
      </c>
      <c r="U180" s="84">
        <f t="shared" si="349"/>
        <v>0</v>
      </c>
      <c r="V180" s="84">
        <f t="shared" si="349"/>
        <v>0</v>
      </c>
      <c r="W180" s="84">
        <f t="shared" si="349"/>
        <v>0</v>
      </c>
      <c r="X180" s="84">
        <f t="shared" si="349"/>
        <v>0</v>
      </c>
      <c r="Y180" s="84">
        <f t="shared" si="349"/>
        <v>0</v>
      </c>
      <c r="Z180" s="84">
        <f t="shared" si="349"/>
        <v>0</v>
      </c>
      <c r="AA180" s="84">
        <f t="shared" si="349"/>
        <v>0</v>
      </c>
      <c r="AB180" s="84">
        <f t="shared" si="349"/>
        <v>0</v>
      </c>
      <c r="AC180" s="84">
        <f t="shared" si="349"/>
        <v>0</v>
      </c>
      <c r="AD180" s="84">
        <f t="shared" si="349"/>
        <v>0</v>
      </c>
      <c r="AE180" s="84">
        <f t="shared" si="349"/>
        <v>0</v>
      </c>
      <c r="AF180" s="84">
        <f t="shared" si="349"/>
        <v>0</v>
      </c>
      <c r="AG180" s="84">
        <f t="shared" si="349"/>
        <v>0</v>
      </c>
      <c r="AH180" s="84">
        <f t="shared" si="349"/>
        <v>0</v>
      </c>
      <c r="AI180" s="84">
        <f t="shared" si="349"/>
        <v>0</v>
      </c>
      <c r="AJ180" s="84">
        <f t="shared" ref="AJ180:BA180" si="350">AJ$6*AnnMiles*DelayC2*(EXP(DelayC1*(AJ26+0.75*AnnMiles))+EXP(DelayC1*(AJ27+0.25*AnnMiles)))/2</f>
        <v>0</v>
      </c>
      <c r="AK180" s="84">
        <f t="shared" si="350"/>
        <v>0</v>
      </c>
      <c r="AL180" s="84">
        <f t="shared" si="350"/>
        <v>0</v>
      </c>
      <c r="AM180" s="84">
        <f t="shared" si="350"/>
        <v>0</v>
      </c>
      <c r="AN180" s="84">
        <f t="shared" si="350"/>
        <v>0</v>
      </c>
      <c r="AO180" s="84">
        <f t="shared" si="350"/>
        <v>0</v>
      </c>
      <c r="AP180" s="84">
        <f t="shared" si="350"/>
        <v>0</v>
      </c>
      <c r="AQ180" s="84">
        <f t="shared" si="350"/>
        <v>0</v>
      </c>
      <c r="AR180" s="84">
        <f t="shared" si="350"/>
        <v>0</v>
      </c>
      <c r="AS180" s="84">
        <f t="shared" si="350"/>
        <v>0</v>
      </c>
      <c r="AT180" s="84">
        <f t="shared" si="350"/>
        <v>0</v>
      </c>
      <c r="AU180" s="84">
        <f t="shared" si="350"/>
        <v>0</v>
      </c>
      <c r="AV180" s="84">
        <f t="shared" si="350"/>
        <v>0</v>
      </c>
      <c r="AW180" s="84">
        <f t="shared" si="350"/>
        <v>0</v>
      </c>
      <c r="AX180" s="84">
        <f t="shared" si="350"/>
        <v>0</v>
      </c>
      <c r="AY180" s="84">
        <f t="shared" si="350"/>
        <v>0</v>
      </c>
      <c r="AZ180" s="84">
        <f t="shared" si="350"/>
        <v>0</v>
      </c>
      <c r="BA180" s="84">
        <f t="shared" si="350"/>
        <v>0</v>
      </c>
      <c r="BB180" s="84"/>
      <c r="BC180" s="85">
        <f t="shared" si="313"/>
        <v>4745365.0397233758</v>
      </c>
    </row>
    <row r="181" spans="1:56" x14ac:dyDescent="0.2">
      <c r="A181" s="52"/>
      <c r="B181" s="7"/>
      <c r="C181" s="7">
        <f t="shared" si="316"/>
        <v>20</v>
      </c>
      <c r="D181" s="84">
        <f t="shared" ref="D181:AI181" si="351">D$6*AnnMiles*DelayC2*(EXP(DelayC1*(D27+0.75*AnnMiles))+EXP(DelayC1*(D28+0.25*AnnMiles)))/2</f>
        <v>500721.70547566895</v>
      </c>
      <c r="E181" s="84">
        <f t="shared" si="351"/>
        <v>129675.50063691135</v>
      </c>
      <c r="F181" s="84">
        <f t="shared" si="351"/>
        <v>398554.65366791404</v>
      </c>
      <c r="G181" s="84">
        <f t="shared" si="351"/>
        <v>184093.24438985117</v>
      </c>
      <c r="H181" s="84">
        <f t="shared" si="351"/>
        <v>504967.19282649423</v>
      </c>
      <c r="I181" s="84">
        <f t="shared" si="351"/>
        <v>256027.05870530053</v>
      </c>
      <c r="J181" s="84">
        <f t="shared" si="351"/>
        <v>384040.58805795084</v>
      </c>
      <c r="K181" s="84">
        <f t="shared" si="351"/>
        <v>1215015.4129730177</v>
      </c>
      <c r="L181" s="84">
        <f t="shared" si="351"/>
        <v>68653.369828909112</v>
      </c>
      <c r="M181" s="84">
        <f t="shared" si="351"/>
        <v>232731.14116185388</v>
      </c>
      <c r="N181" s="84">
        <f t="shared" si="351"/>
        <v>33381.447031711265</v>
      </c>
      <c r="O181" s="84">
        <f t="shared" si="351"/>
        <v>384040.58805795084</v>
      </c>
      <c r="P181" s="84">
        <f t="shared" si="351"/>
        <v>109290.72870648967</v>
      </c>
      <c r="Q181" s="84">
        <f t="shared" si="351"/>
        <v>226988.43654424776</v>
      </c>
      <c r="R181" s="84">
        <f t="shared" si="351"/>
        <v>0</v>
      </c>
      <c r="S181" s="84">
        <f t="shared" si="351"/>
        <v>0</v>
      </c>
      <c r="T181" s="84">
        <f t="shared" si="351"/>
        <v>0</v>
      </c>
      <c r="U181" s="84">
        <f t="shared" si="351"/>
        <v>0</v>
      </c>
      <c r="V181" s="84">
        <f t="shared" si="351"/>
        <v>0</v>
      </c>
      <c r="W181" s="84">
        <f t="shared" si="351"/>
        <v>0</v>
      </c>
      <c r="X181" s="84">
        <f t="shared" si="351"/>
        <v>0</v>
      </c>
      <c r="Y181" s="84">
        <f t="shared" si="351"/>
        <v>0</v>
      </c>
      <c r="Z181" s="84">
        <f t="shared" si="351"/>
        <v>0</v>
      </c>
      <c r="AA181" s="84">
        <f t="shared" si="351"/>
        <v>0</v>
      </c>
      <c r="AB181" s="84">
        <f t="shared" si="351"/>
        <v>0</v>
      </c>
      <c r="AC181" s="84">
        <f t="shared" si="351"/>
        <v>0</v>
      </c>
      <c r="AD181" s="84">
        <f t="shared" si="351"/>
        <v>0</v>
      </c>
      <c r="AE181" s="84">
        <f t="shared" si="351"/>
        <v>0</v>
      </c>
      <c r="AF181" s="84">
        <f t="shared" si="351"/>
        <v>0</v>
      </c>
      <c r="AG181" s="84">
        <f t="shared" si="351"/>
        <v>0</v>
      </c>
      <c r="AH181" s="84">
        <f t="shared" si="351"/>
        <v>0</v>
      </c>
      <c r="AI181" s="84">
        <f t="shared" si="351"/>
        <v>0</v>
      </c>
      <c r="AJ181" s="84">
        <f t="shared" ref="AJ181:BA181" si="352">AJ$6*AnnMiles*DelayC2*(EXP(DelayC1*(AJ27+0.75*AnnMiles))+EXP(DelayC1*(AJ28+0.25*AnnMiles)))/2</f>
        <v>0</v>
      </c>
      <c r="AK181" s="84">
        <f t="shared" si="352"/>
        <v>0</v>
      </c>
      <c r="AL181" s="84">
        <f t="shared" si="352"/>
        <v>0</v>
      </c>
      <c r="AM181" s="84">
        <f t="shared" si="352"/>
        <v>0</v>
      </c>
      <c r="AN181" s="84">
        <f t="shared" si="352"/>
        <v>0</v>
      </c>
      <c r="AO181" s="84">
        <f t="shared" si="352"/>
        <v>0</v>
      </c>
      <c r="AP181" s="84">
        <f t="shared" si="352"/>
        <v>0</v>
      </c>
      <c r="AQ181" s="84">
        <f t="shared" si="352"/>
        <v>0</v>
      </c>
      <c r="AR181" s="84">
        <f t="shared" si="352"/>
        <v>0</v>
      </c>
      <c r="AS181" s="84">
        <f t="shared" si="352"/>
        <v>0</v>
      </c>
      <c r="AT181" s="84">
        <f t="shared" si="352"/>
        <v>0</v>
      </c>
      <c r="AU181" s="84">
        <f t="shared" si="352"/>
        <v>0</v>
      </c>
      <c r="AV181" s="84">
        <f t="shared" si="352"/>
        <v>0</v>
      </c>
      <c r="AW181" s="84">
        <f t="shared" si="352"/>
        <v>0</v>
      </c>
      <c r="AX181" s="84">
        <f t="shared" si="352"/>
        <v>0</v>
      </c>
      <c r="AY181" s="84">
        <f t="shared" si="352"/>
        <v>0</v>
      </c>
      <c r="AZ181" s="84">
        <f t="shared" si="352"/>
        <v>0</v>
      </c>
      <c r="BA181" s="84">
        <f t="shared" si="352"/>
        <v>0</v>
      </c>
      <c r="BB181" s="84"/>
      <c r="BC181" s="85">
        <f t="shared" si="313"/>
        <v>4628181.0680642715</v>
      </c>
    </row>
    <row r="182" spans="1:56" x14ac:dyDescent="0.2">
      <c r="A182" s="52"/>
      <c r="B182" s="7"/>
      <c r="C182" s="7">
        <f t="shared" si="316"/>
        <v>21</v>
      </c>
      <c r="D182" s="84">
        <f t="shared" ref="D182:AI182" si="353">D$6*AnnMiles*DelayC2*(EXP(DelayC1*(D28+0.75*AnnMiles))+EXP(DelayC1*(D29+0.25*AnnMiles)))/2</f>
        <v>537071.86421966273</v>
      </c>
      <c r="E182" s="84">
        <f t="shared" si="353"/>
        <v>139089.36263213027</v>
      </c>
      <c r="F182" s="84">
        <f t="shared" si="353"/>
        <v>427487.94090223411</v>
      </c>
      <c r="G182" s="84">
        <f t="shared" si="353"/>
        <v>197457.59145946935</v>
      </c>
      <c r="H182" s="84">
        <f t="shared" si="353"/>
        <v>541625.5549846011</v>
      </c>
      <c r="I182" s="84">
        <f t="shared" si="353"/>
        <v>274613.47931563645</v>
      </c>
      <c r="J182" s="84">
        <f t="shared" si="353"/>
        <v>411920.21897345467</v>
      </c>
      <c r="K182" s="84">
        <f t="shared" si="353"/>
        <v>1303220.1036324976</v>
      </c>
      <c r="L182" s="84">
        <f t="shared" si="353"/>
        <v>73637.297755940453</v>
      </c>
      <c r="M182" s="84">
        <f t="shared" si="353"/>
        <v>249626.38223766803</v>
      </c>
      <c r="N182" s="84">
        <f t="shared" si="353"/>
        <v>35804.790947977519</v>
      </c>
      <c r="O182" s="84">
        <f t="shared" si="353"/>
        <v>411920.21897345467</v>
      </c>
      <c r="P182" s="84">
        <f t="shared" si="353"/>
        <v>117224.74733257198</v>
      </c>
      <c r="Q182" s="84">
        <f t="shared" si="353"/>
        <v>243466.78292149564</v>
      </c>
      <c r="R182" s="84">
        <f t="shared" si="353"/>
        <v>0</v>
      </c>
      <c r="S182" s="84">
        <f t="shared" si="353"/>
        <v>0</v>
      </c>
      <c r="T182" s="84">
        <f t="shared" si="353"/>
        <v>0</v>
      </c>
      <c r="U182" s="84">
        <f t="shared" si="353"/>
        <v>0</v>
      </c>
      <c r="V182" s="84">
        <f t="shared" si="353"/>
        <v>0</v>
      </c>
      <c r="W182" s="84">
        <f t="shared" si="353"/>
        <v>0</v>
      </c>
      <c r="X182" s="84">
        <f t="shared" si="353"/>
        <v>0</v>
      </c>
      <c r="Y182" s="84">
        <f t="shared" si="353"/>
        <v>0</v>
      </c>
      <c r="Z182" s="84">
        <f t="shared" si="353"/>
        <v>0</v>
      </c>
      <c r="AA182" s="84">
        <f t="shared" si="353"/>
        <v>0</v>
      </c>
      <c r="AB182" s="84">
        <f t="shared" si="353"/>
        <v>0</v>
      </c>
      <c r="AC182" s="84">
        <f t="shared" si="353"/>
        <v>0</v>
      </c>
      <c r="AD182" s="84">
        <f t="shared" si="353"/>
        <v>0</v>
      </c>
      <c r="AE182" s="84">
        <f t="shared" si="353"/>
        <v>0</v>
      </c>
      <c r="AF182" s="84">
        <f t="shared" si="353"/>
        <v>0</v>
      </c>
      <c r="AG182" s="84">
        <f t="shared" si="353"/>
        <v>0</v>
      </c>
      <c r="AH182" s="84">
        <f t="shared" si="353"/>
        <v>0</v>
      </c>
      <c r="AI182" s="84">
        <f t="shared" si="353"/>
        <v>0</v>
      </c>
      <c r="AJ182" s="84">
        <f t="shared" ref="AJ182:BA182" si="354">AJ$6*AnnMiles*DelayC2*(EXP(DelayC1*(AJ28+0.75*AnnMiles))+EXP(DelayC1*(AJ29+0.25*AnnMiles)))/2</f>
        <v>0</v>
      </c>
      <c r="AK182" s="84">
        <f t="shared" si="354"/>
        <v>0</v>
      </c>
      <c r="AL182" s="84">
        <f t="shared" si="354"/>
        <v>0</v>
      </c>
      <c r="AM182" s="84">
        <f t="shared" si="354"/>
        <v>0</v>
      </c>
      <c r="AN182" s="84">
        <f t="shared" si="354"/>
        <v>0</v>
      </c>
      <c r="AO182" s="84">
        <f t="shared" si="354"/>
        <v>0</v>
      </c>
      <c r="AP182" s="84">
        <f t="shared" si="354"/>
        <v>0</v>
      </c>
      <c r="AQ182" s="84">
        <f t="shared" si="354"/>
        <v>0</v>
      </c>
      <c r="AR182" s="84">
        <f t="shared" si="354"/>
        <v>0</v>
      </c>
      <c r="AS182" s="84">
        <f t="shared" si="354"/>
        <v>0</v>
      </c>
      <c r="AT182" s="84">
        <f t="shared" si="354"/>
        <v>0</v>
      </c>
      <c r="AU182" s="84">
        <f t="shared" si="354"/>
        <v>0</v>
      </c>
      <c r="AV182" s="84">
        <f t="shared" si="354"/>
        <v>0</v>
      </c>
      <c r="AW182" s="84">
        <f t="shared" si="354"/>
        <v>0</v>
      </c>
      <c r="AX182" s="84">
        <f t="shared" si="354"/>
        <v>0</v>
      </c>
      <c r="AY182" s="84">
        <f t="shared" si="354"/>
        <v>0</v>
      </c>
      <c r="AZ182" s="84">
        <f t="shared" si="354"/>
        <v>0</v>
      </c>
      <c r="BA182" s="84">
        <f t="shared" si="354"/>
        <v>0</v>
      </c>
      <c r="BB182" s="84"/>
      <c r="BC182" s="85">
        <f t="shared" si="313"/>
        <v>4964166.3362887949</v>
      </c>
    </row>
    <row r="183" spans="1:56" x14ac:dyDescent="0.2">
      <c r="A183" s="52"/>
      <c r="B183" s="7"/>
      <c r="C183" s="7">
        <f t="shared" si="316"/>
        <v>22</v>
      </c>
      <c r="D183" s="84">
        <f t="shared" ref="D183:AI183" si="355">D$6*AnnMiles*DelayC2*(EXP(DelayC1*(D29+0.75*AnnMiles))+EXP(DelayC1*(D30+0.25*AnnMiles)))/2</f>
        <v>576060.88208692626</v>
      </c>
      <c r="E183" s="84">
        <f t="shared" si="355"/>
        <v>149186.62894990636</v>
      </c>
      <c r="F183" s="84">
        <f t="shared" si="355"/>
        <v>458521.65552456601</v>
      </c>
      <c r="G183" s="84">
        <f t="shared" si="355"/>
        <v>141701.09952723861</v>
      </c>
      <c r="H183" s="84">
        <f t="shared" si="355"/>
        <v>580945.1504568822</v>
      </c>
      <c r="I183" s="84">
        <f t="shared" si="355"/>
        <v>294549.19102376181</v>
      </c>
      <c r="J183" s="84">
        <f t="shared" si="355"/>
        <v>441823.78653564281</v>
      </c>
      <c r="K183" s="84">
        <f t="shared" si="355"/>
        <v>935227.25687977485</v>
      </c>
      <c r="L183" s="84">
        <f t="shared" si="355"/>
        <v>78983.036583787733</v>
      </c>
      <c r="M183" s="84">
        <f t="shared" si="355"/>
        <v>267748.14233274554</v>
      </c>
      <c r="N183" s="84">
        <f t="shared" si="355"/>
        <v>38404.058805795081</v>
      </c>
      <c r="O183" s="84">
        <f t="shared" si="355"/>
        <v>441823.78653564281</v>
      </c>
      <c r="P183" s="84">
        <f t="shared" si="355"/>
        <v>125734.74026410592</v>
      </c>
      <c r="Q183" s="84">
        <f t="shared" si="355"/>
        <v>261141.38362545072</v>
      </c>
      <c r="R183" s="84">
        <f t="shared" si="355"/>
        <v>0</v>
      </c>
      <c r="S183" s="84">
        <f t="shared" si="355"/>
        <v>0</v>
      </c>
      <c r="T183" s="84">
        <f t="shared" si="355"/>
        <v>0</v>
      </c>
      <c r="U183" s="84">
        <f t="shared" si="355"/>
        <v>0</v>
      </c>
      <c r="V183" s="84">
        <f t="shared" si="355"/>
        <v>0</v>
      </c>
      <c r="W183" s="84">
        <f t="shared" si="355"/>
        <v>0</v>
      </c>
      <c r="X183" s="84">
        <f t="shared" si="355"/>
        <v>0</v>
      </c>
      <c r="Y183" s="84">
        <f t="shared" si="355"/>
        <v>0</v>
      </c>
      <c r="Z183" s="84">
        <f t="shared" si="355"/>
        <v>0</v>
      </c>
      <c r="AA183" s="84">
        <f t="shared" si="355"/>
        <v>0</v>
      </c>
      <c r="AB183" s="84">
        <f t="shared" si="355"/>
        <v>0</v>
      </c>
      <c r="AC183" s="84">
        <f t="shared" si="355"/>
        <v>0</v>
      </c>
      <c r="AD183" s="84">
        <f t="shared" si="355"/>
        <v>0</v>
      </c>
      <c r="AE183" s="84">
        <f t="shared" si="355"/>
        <v>0</v>
      </c>
      <c r="AF183" s="84">
        <f t="shared" si="355"/>
        <v>0</v>
      </c>
      <c r="AG183" s="84">
        <f t="shared" si="355"/>
        <v>0</v>
      </c>
      <c r="AH183" s="84">
        <f t="shared" si="355"/>
        <v>0</v>
      </c>
      <c r="AI183" s="84">
        <f t="shared" si="355"/>
        <v>0</v>
      </c>
      <c r="AJ183" s="84">
        <f t="shared" ref="AJ183:BA183" si="356">AJ$6*AnnMiles*DelayC2*(EXP(DelayC1*(AJ29+0.75*AnnMiles))+EXP(DelayC1*(AJ30+0.25*AnnMiles)))/2</f>
        <v>0</v>
      </c>
      <c r="AK183" s="84">
        <f t="shared" si="356"/>
        <v>0</v>
      </c>
      <c r="AL183" s="84">
        <f t="shared" si="356"/>
        <v>0</v>
      </c>
      <c r="AM183" s="84">
        <f t="shared" si="356"/>
        <v>0</v>
      </c>
      <c r="AN183" s="84">
        <f t="shared" si="356"/>
        <v>0</v>
      </c>
      <c r="AO183" s="84">
        <f t="shared" si="356"/>
        <v>0</v>
      </c>
      <c r="AP183" s="84">
        <f t="shared" si="356"/>
        <v>0</v>
      </c>
      <c r="AQ183" s="84">
        <f t="shared" si="356"/>
        <v>0</v>
      </c>
      <c r="AR183" s="84">
        <f t="shared" si="356"/>
        <v>0</v>
      </c>
      <c r="AS183" s="84">
        <f t="shared" si="356"/>
        <v>0</v>
      </c>
      <c r="AT183" s="84">
        <f t="shared" si="356"/>
        <v>0</v>
      </c>
      <c r="AU183" s="84">
        <f t="shared" si="356"/>
        <v>0</v>
      </c>
      <c r="AV183" s="84">
        <f t="shared" si="356"/>
        <v>0</v>
      </c>
      <c r="AW183" s="84">
        <f t="shared" si="356"/>
        <v>0</v>
      </c>
      <c r="AX183" s="84">
        <f t="shared" si="356"/>
        <v>0</v>
      </c>
      <c r="AY183" s="84">
        <f t="shared" si="356"/>
        <v>0</v>
      </c>
      <c r="AZ183" s="84">
        <f t="shared" si="356"/>
        <v>0</v>
      </c>
      <c r="BA183" s="84">
        <f t="shared" si="356"/>
        <v>0</v>
      </c>
      <c r="BB183" s="84"/>
      <c r="BC183" s="85">
        <f t="shared" si="313"/>
        <v>4791850.799132226</v>
      </c>
    </row>
    <row r="184" spans="1:56" x14ac:dyDescent="0.2">
      <c r="A184" s="52"/>
      <c r="B184" s="7"/>
      <c r="C184" s="7">
        <f t="shared" si="316"/>
        <v>23</v>
      </c>
      <c r="D184" s="84">
        <f t="shared" ref="D184:AI184" si="357">D$6*AnnMiles*DelayC2*(EXP(DelayC1*(D30+0.75*AnnMiles))+EXP(DelayC1*(D31+0.25*AnnMiles)))/2</f>
        <v>617880.32846018195</v>
      </c>
      <c r="E184" s="84">
        <f t="shared" si="357"/>
        <v>160016.91169081285</v>
      </c>
      <c r="F184" s="84">
        <f t="shared" si="357"/>
        <v>491808.2791792035</v>
      </c>
      <c r="G184" s="84">
        <f t="shared" si="357"/>
        <v>79397.35736265633</v>
      </c>
      <c r="H184" s="84">
        <f t="shared" si="357"/>
        <v>623119.17289235897</v>
      </c>
      <c r="I184" s="84">
        <f t="shared" si="357"/>
        <v>315932.14633515093</v>
      </c>
      <c r="J184" s="84">
        <f t="shared" si="357"/>
        <v>473898.2195027264</v>
      </c>
      <c r="K184" s="84">
        <f t="shared" si="357"/>
        <v>524022.55859353178</v>
      </c>
      <c r="L184" s="84">
        <f t="shared" si="357"/>
        <v>56680.439810895434</v>
      </c>
      <c r="M184" s="84">
        <f t="shared" si="357"/>
        <v>287185.46124816779</v>
      </c>
      <c r="N184" s="84">
        <f t="shared" si="357"/>
        <v>41192.021897345468</v>
      </c>
      <c r="O184" s="84">
        <f t="shared" si="357"/>
        <v>473898.2195027264</v>
      </c>
      <c r="P184" s="84">
        <f t="shared" si="357"/>
        <v>134862.5206623878</v>
      </c>
      <c r="Q184" s="84">
        <f t="shared" si="357"/>
        <v>280099.08137572848</v>
      </c>
      <c r="R184" s="84">
        <f t="shared" si="357"/>
        <v>0</v>
      </c>
      <c r="S184" s="84">
        <f t="shared" si="357"/>
        <v>0</v>
      </c>
      <c r="T184" s="84">
        <f t="shared" si="357"/>
        <v>0</v>
      </c>
      <c r="U184" s="84">
        <f t="shared" si="357"/>
        <v>0</v>
      </c>
      <c r="V184" s="84">
        <f t="shared" si="357"/>
        <v>0</v>
      </c>
      <c r="W184" s="84">
        <f t="shared" si="357"/>
        <v>0</v>
      </c>
      <c r="X184" s="84">
        <f t="shared" si="357"/>
        <v>0</v>
      </c>
      <c r="Y184" s="84">
        <f t="shared" si="357"/>
        <v>0</v>
      </c>
      <c r="Z184" s="84">
        <f t="shared" si="357"/>
        <v>0</v>
      </c>
      <c r="AA184" s="84">
        <f t="shared" si="357"/>
        <v>0</v>
      </c>
      <c r="AB184" s="84">
        <f t="shared" si="357"/>
        <v>0</v>
      </c>
      <c r="AC184" s="84">
        <f t="shared" si="357"/>
        <v>0</v>
      </c>
      <c r="AD184" s="84">
        <f t="shared" si="357"/>
        <v>0</v>
      </c>
      <c r="AE184" s="84">
        <f t="shared" si="357"/>
        <v>0</v>
      </c>
      <c r="AF184" s="84">
        <f t="shared" si="357"/>
        <v>0</v>
      </c>
      <c r="AG184" s="84">
        <f t="shared" si="357"/>
        <v>0</v>
      </c>
      <c r="AH184" s="84">
        <f t="shared" si="357"/>
        <v>0</v>
      </c>
      <c r="AI184" s="84">
        <f t="shared" si="357"/>
        <v>0</v>
      </c>
      <c r="AJ184" s="84">
        <f t="shared" ref="AJ184:BA184" si="358">AJ$6*AnnMiles*DelayC2*(EXP(DelayC1*(AJ30+0.75*AnnMiles))+EXP(DelayC1*(AJ31+0.25*AnnMiles)))/2</f>
        <v>0</v>
      </c>
      <c r="AK184" s="84">
        <f t="shared" si="358"/>
        <v>0</v>
      </c>
      <c r="AL184" s="84">
        <f t="shared" si="358"/>
        <v>0</v>
      </c>
      <c r="AM184" s="84">
        <f t="shared" si="358"/>
        <v>0</v>
      </c>
      <c r="AN184" s="84">
        <f t="shared" si="358"/>
        <v>0</v>
      </c>
      <c r="AO184" s="84">
        <f t="shared" si="358"/>
        <v>0</v>
      </c>
      <c r="AP184" s="84">
        <f t="shared" si="358"/>
        <v>0</v>
      </c>
      <c r="AQ184" s="84">
        <f t="shared" si="358"/>
        <v>0</v>
      </c>
      <c r="AR184" s="84">
        <f t="shared" si="358"/>
        <v>0</v>
      </c>
      <c r="AS184" s="84">
        <f t="shared" si="358"/>
        <v>0</v>
      </c>
      <c r="AT184" s="84">
        <f t="shared" si="358"/>
        <v>0</v>
      </c>
      <c r="AU184" s="84">
        <f t="shared" si="358"/>
        <v>0</v>
      </c>
      <c r="AV184" s="84">
        <f t="shared" si="358"/>
        <v>0</v>
      </c>
      <c r="AW184" s="84">
        <f t="shared" si="358"/>
        <v>0</v>
      </c>
      <c r="AX184" s="84">
        <f t="shared" si="358"/>
        <v>0</v>
      </c>
      <c r="AY184" s="84">
        <f t="shared" si="358"/>
        <v>0</v>
      </c>
      <c r="AZ184" s="84">
        <f t="shared" si="358"/>
        <v>0</v>
      </c>
      <c r="BA184" s="84">
        <f t="shared" si="358"/>
        <v>0</v>
      </c>
      <c r="BB184" s="84"/>
      <c r="BC184" s="85">
        <f t="shared" si="313"/>
        <v>4559992.7185138743</v>
      </c>
    </row>
    <row r="185" spans="1:56" x14ac:dyDescent="0.2">
      <c r="A185" s="52"/>
      <c r="B185" s="7"/>
      <c r="C185" s="7">
        <f t="shared" si="316"/>
        <v>24</v>
      </c>
      <c r="D185" s="84">
        <f t="shared" ref="D185:AI185" si="359">D$6*AnnMiles*DelayC2*(EXP(DelayC1*(D31+0.75*AnnMiles))+EXP(DelayC1*(D32+0.25*AnnMiles)))/2</f>
        <v>662735.67980346421</v>
      </c>
      <c r="E185" s="84">
        <f t="shared" si="359"/>
        <v>171633.42457227278</v>
      </c>
      <c r="F185" s="84">
        <f t="shared" si="359"/>
        <v>527511.36299657391</v>
      </c>
      <c r="G185" s="84">
        <f t="shared" si="359"/>
        <v>85161.250783742318</v>
      </c>
      <c r="H185" s="84">
        <f t="shared" si="359"/>
        <v>668354.84093584062</v>
      </c>
      <c r="I185" s="84">
        <f t="shared" si="359"/>
        <v>226721.75924358174</v>
      </c>
      <c r="J185" s="84">
        <f t="shared" si="359"/>
        <v>340082.63886537263</v>
      </c>
      <c r="K185" s="84">
        <f t="shared" si="359"/>
        <v>562064.25517269934</v>
      </c>
      <c r="L185" s="84">
        <f t="shared" si="359"/>
        <v>31758.942945062528</v>
      </c>
      <c r="M185" s="84">
        <f t="shared" si="359"/>
        <v>308033.84267677215</v>
      </c>
      <c r="N185" s="84">
        <f t="shared" si="359"/>
        <v>44182.378653564279</v>
      </c>
      <c r="O185" s="84">
        <f t="shared" si="359"/>
        <v>340082.63886537263</v>
      </c>
      <c r="P185" s="84">
        <f t="shared" si="359"/>
        <v>144652.93713741546</v>
      </c>
      <c r="Q185" s="84">
        <f t="shared" si="359"/>
        <v>300433.02328540134</v>
      </c>
      <c r="R185" s="84">
        <f t="shared" si="359"/>
        <v>0</v>
      </c>
      <c r="S185" s="84">
        <f t="shared" si="359"/>
        <v>0</v>
      </c>
      <c r="T185" s="84">
        <f t="shared" si="359"/>
        <v>0</v>
      </c>
      <c r="U185" s="84">
        <f t="shared" si="359"/>
        <v>0</v>
      </c>
      <c r="V185" s="84">
        <f t="shared" si="359"/>
        <v>0</v>
      </c>
      <c r="W185" s="84">
        <f t="shared" si="359"/>
        <v>0</v>
      </c>
      <c r="X185" s="84">
        <f t="shared" si="359"/>
        <v>0</v>
      </c>
      <c r="Y185" s="84">
        <f t="shared" si="359"/>
        <v>0</v>
      </c>
      <c r="Z185" s="84">
        <f t="shared" si="359"/>
        <v>0</v>
      </c>
      <c r="AA185" s="84">
        <f t="shared" si="359"/>
        <v>0</v>
      </c>
      <c r="AB185" s="84">
        <f t="shared" si="359"/>
        <v>0</v>
      </c>
      <c r="AC185" s="84">
        <f t="shared" si="359"/>
        <v>0</v>
      </c>
      <c r="AD185" s="84">
        <f t="shared" si="359"/>
        <v>0</v>
      </c>
      <c r="AE185" s="84">
        <f t="shared" si="359"/>
        <v>0</v>
      </c>
      <c r="AF185" s="84">
        <f t="shared" si="359"/>
        <v>0</v>
      </c>
      <c r="AG185" s="84">
        <f t="shared" si="359"/>
        <v>0</v>
      </c>
      <c r="AH185" s="84">
        <f t="shared" si="359"/>
        <v>0</v>
      </c>
      <c r="AI185" s="84">
        <f t="shared" si="359"/>
        <v>0</v>
      </c>
      <c r="AJ185" s="84">
        <f t="shared" ref="AJ185:BA185" si="360">AJ$6*AnnMiles*DelayC2*(EXP(DelayC1*(AJ31+0.75*AnnMiles))+EXP(DelayC1*(AJ32+0.25*AnnMiles)))/2</f>
        <v>0</v>
      </c>
      <c r="AK185" s="84">
        <f t="shared" si="360"/>
        <v>0</v>
      </c>
      <c r="AL185" s="84">
        <f t="shared" si="360"/>
        <v>0</v>
      </c>
      <c r="AM185" s="84">
        <f t="shared" si="360"/>
        <v>0</v>
      </c>
      <c r="AN185" s="84">
        <f t="shared" si="360"/>
        <v>0</v>
      </c>
      <c r="AO185" s="84">
        <f t="shared" si="360"/>
        <v>0</v>
      </c>
      <c r="AP185" s="84">
        <f t="shared" si="360"/>
        <v>0</v>
      </c>
      <c r="AQ185" s="84">
        <f t="shared" si="360"/>
        <v>0</v>
      </c>
      <c r="AR185" s="84">
        <f t="shared" si="360"/>
        <v>0</v>
      </c>
      <c r="AS185" s="84">
        <f t="shared" si="360"/>
        <v>0</v>
      </c>
      <c r="AT185" s="84">
        <f t="shared" si="360"/>
        <v>0</v>
      </c>
      <c r="AU185" s="84">
        <f t="shared" si="360"/>
        <v>0</v>
      </c>
      <c r="AV185" s="84">
        <f t="shared" si="360"/>
        <v>0</v>
      </c>
      <c r="AW185" s="84">
        <f t="shared" si="360"/>
        <v>0</v>
      </c>
      <c r="AX185" s="84">
        <f t="shared" si="360"/>
        <v>0</v>
      </c>
      <c r="AY185" s="84">
        <f t="shared" si="360"/>
        <v>0</v>
      </c>
      <c r="AZ185" s="84">
        <f t="shared" si="360"/>
        <v>0</v>
      </c>
      <c r="BA185" s="84">
        <f t="shared" si="360"/>
        <v>0</v>
      </c>
      <c r="BB185" s="84"/>
      <c r="BC185" s="85">
        <f t="shared" si="313"/>
        <v>4413408.9759371364</v>
      </c>
    </row>
    <row r="186" spans="1:56" x14ac:dyDescent="0.2">
      <c r="A186" s="52"/>
      <c r="B186" s="7"/>
      <c r="C186" s="7">
        <f t="shared" si="316"/>
        <v>25</v>
      </c>
      <c r="D186" s="84">
        <f t="shared" ref="D186:AI186" si="361">D$6*AnnMiles*DelayC2*(EXP(DelayC1*(D32+0.75*AnnMiles))+EXP(DelayC1*(D33+0.25*AnnMiles)))/2</f>
        <v>710847.32925408951</v>
      </c>
      <c r="E186" s="84">
        <f t="shared" si="361"/>
        <v>184093.24438985117</v>
      </c>
      <c r="F186" s="84">
        <f t="shared" si="361"/>
        <v>565806.33118847664</v>
      </c>
      <c r="G186" s="84">
        <f t="shared" si="361"/>
        <v>91343.577115862005</v>
      </c>
      <c r="H186" s="84">
        <f t="shared" si="361"/>
        <v>716874.41637995944</v>
      </c>
      <c r="I186" s="84">
        <f t="shared" si="361"/>
        <v>127035.77178025011</v>
      </c>
      <c r="J186" s="84">
        <f t="shared" si="361"/>
        <v>190553.65767037516</v>
      </c>
      <c r="K186" s="84">
        <f t="shared" si="361"/>
        <v>602867.60896468919</v>
      </c>
      <c r="L186" s="84">
        <f t="shared" si="361"/>
        <v>34064.500313496923</v>
      </c>
      <c r="M186" s="84">
        <f t="shared" si="361"/>
        <v>221053.71526249222</v>
      </c>
      <c r="N186" s="84">
        <f t="shared" si="361"/>
        <v>47389.821950272642</v>
      </c>
      <c r="O186" s="84">
        <f t="shared" si="361"/>
        <v>190553.65767037516</v>
      </c>
      <c r="P186" s="84">
        <f t="shared" si="361"/>
        <v>155154.09410790258</v>
      </c>
      <c r="Q186" s="84">
        <f t="shared" si="361"/>
        <v>322243.11853179766</v>
      </c>
      <c r="R186" s="84">
        <f t="shared" si="361"/>
        <v>0</v>
      </c>
      <c r="S186" s="84">
        <f t="shared" si="361"/>
        <v>0</v>
      </c>
      <c r="T186" s="84">
        <f t="shared" si="361"/>
        <v>0</v>
      </c>
      <c r="U186" s="84">
        <f t="shared" si="361"/>
        <v>0</v>
      </c>
      <c r="V186" s="84">
        <f t="shared" si="361"/>
        <v>0</v>
      </c>
      <c r="W186" s="84">
        <f t="shared" si="361"/>
        <v>0</v>
      </c>
      <c r="X186" s="84">
        <f t="shared" si="361"/>
        <v>0</v>
      </c>
      <c r="Y186" s="84">
        <f t="shared" si="361"/>
        <v>0</v>
      </c>
      <c r="Z186" s="84">
        <f t="shared" si="361"/>
        <v>0</v>
      </c>
      <c r="AA186" s="84">
        <f t="shared" si="361"/>
        <v>0</v>
      </c>
      <c r="AB186" s="84">
        <f t="shared" si="361"/>
        <v>0</v>
      </c>
      <c r="AC186" s="84">
        <f t="shared" si="361"/>
        <v>0</v>
      </c>
      <c r="AD186" s="84">
        <f t="shared" si="361"/>
        <v>0</v>
      </c>
      <c r="AE186" s="84">
        <f t="shared" si="361"/>
        <v>0</v>
      </c>
      <c r="AF186" s="84">
        <f t="shared" si="361"/>
        <v>0</v>
      </c>
      <c r="AG186" s="84">
        <f t="shared" si="361"/>
        <v>0</v>
      </c>
      <c r="AH186" s="84">
        <f t="shared" si="361"/>
        <v>0</v>
      </c>
      <c r="AI186" s="84">
        <f t="shared" si="361"/>
        <v>0</v>
      </c>
      <c r="AJ186" s="84">
        <f t="shared" ref="AJ186:BA186" si="362">AJ$6*AnnMiles*DelayC2*(EXP(DelayC1*(AJ32+0.75*AnnMiles))+EXP(DelayC1*(AJ33+0.25*AnnMiles)))/2</f>
        <v>0</v>
      </c>
      <c r="AK186" s="84">
        <f t="shared" si="362"/>
        <v>0</v>
      </c>
      <c r="AL186" s="84">
        <f t="shared" si="362"/>
        <v>0</v>
      </c>
      <c r="AM186" s="84">
        <f t="shared" si="362"/>
        <v>0</v>
      </c>
      <c r="AN186" s="84">
        <f t="shared" si="362"/>
        <v>0</v>
      </c>
      <c r="AO186" s="84">
        <f t="shared" si="362"/>
        <v>0</v>
      </c>
      <c r="AP186" s="84">
        <f t="shared" si="362"/>
        <v>0</v>
      </c>
      <c r="AQ186" s="84">
        <f t="shared" si="362"/>
        <v>0</v>
      </c>
      <c r="AR186" s="84">
        <f t="shared" si="362"/>
        <v>0</v>
      </c>
      <c r="AS186" s="84">
        <f t="shared" si="362"/>
        <v>0</v>
      </c>
      <c r="AT186" s="84">
        <f t="shared" si="362"/>
        <v>0</v>
      </c>
      <c r="AU186" s="84">
        <f t="shared" si="362"/>
        <v>0</v>
      </c>
      <c r="AV186" s="84">
        <f t="shared" si="362"/>
        <v>0</v>
      </c>
      <c r="AW186" s="84">
        <f t="shared" si="362"/>
        <v>0</v>
      </c>
      <c r="AX186" s="84">
        <f t="shared" si="362"/>
        <v>0</v>
      </c>
      <c r="AY186" s="84">
        <f t="shared" si="362"/>
        <v>0</v>
      </c>
      <c r="AZ186" s="84">
        <f t="shared" si="362"/>
        <v>0</v>
      </c>
      <c r="BA186" s="84">
        <f t="shared" si="362"/>
        <v>0</v>
      </c>
      <c r="BB186" s="84"/>
      <c r="BC186" s="85">
        <f t="shared" si="313"/>
        <v>4159880.8445798899</v>
      </c>
    </row>
    <row r="187" spans="1:56" x14ac:dyDescent="0.2">
      <c r="A187" s="52"/>
      <c r="B187" s="7"/>
      <c r="C187" s="7">
        <f t="shared" si="316"/>
        <v>26</v>
      </c>
      <c r="D187" s="84">
        <f t="shared" ref="D187:AI187" si="363">D$6*AnnMiles*DelayC2*(EXP(DelayC1*(D33+0.75*AnnMiles))+EXP(DelayC1*(D34+0.25*AnnMiles)))/2</f>
        <v>510123.95829805895</v>
      </c>
      <c r="E187" s="84">
        <f t="shared" si="363"/>
        <v>197457.59145946935</v>
      </c>
      <c r="F187" s="84">
        <f t="shared" si="363"/>
        <v>606881.34298074502</v>
      </c>
      <c r="G187" s="84">
        <f t="shared" si="363"/>
        <v>97974.712718924377</v>
      </c>
      <c r="H187" s="84">
        <f t="shared" si="363"/>
        <v>768916.29623049381</v>
      </c>
      <c r="I187" s="84">
        <f t="shared" si="363"/>
        <v>136258.00125398769</v>
      </c>
      <c r="J187" s="84">
        <f t="shared" si="363"/>
        <v>204387.00188098155</v>
      </c>
      <c r="K187" s="84">
        <f t="shared" si="363"/>
        <v>646633.10394490079</v>
      </c>
      <c r="L187" s="84">
        <f t="shared" si="363"/>
        <v>36537.430846344796</v>
      </c>
      <c r="M187" s="84">
        <f t="shared" si="363"/>
        <v>123859.87748574387</v>
      </c>
      <c r="N187" s="84">
        <f t="shared" si="363"/>
        <v>34008.263886537265</v>
      </c>
      <c r="O187" s="84">
        <f t="shared" si="363"/>
        <v>204387.00188098155</v>
      </c>
      <c r="P187" s="84">
        <f t="shared" si="363"/>
        <v>166417.58815844535</v>
      </c>
      <c r="Q187" s="84">
        <f t="shared" si="363"/>
        <v>345636.52925215568</v>
      </c>
      <c r="R187" s="84">
        <f t="shared" si="363"/>
        <v>0</v>
      </c>
      <c r="S187" s="84">
        <f t="shared" si="363"/>
        <v>0</v>
      </c>
      <c r="T187" s="84">
        <f t="shared" si="363"/>
        <v>0</v>
      </c>
      <c r="U187" s="84">
        <f t="shared" si="363"/>
        <v>0</v>
      </c>
      <c r="V187" s="84">
        <f t="shared" si="363"/>
        <v>0</v>
      </c>
      <c r="W187" s="84">
        <f t="shared" si="363"/>
        <v>0</v>
      </c>
      <c r="X187" s="84">
        <f t="shared" si="363"/>
        <v>0</v>
      </c>
      <c r="Y187" s="84">
        <f t="shared" si="363"/>
        <v>0</v>
      </c>
      <c r="Z187" s="84">
        <f t="shared" si="363"/>
        <v>0</v>
      </c>
      <c r="AA187" s="84">
        <f t="shared" si="363"/>
        <v>0</v>
      </c>
      <c r="AB187" s="84">
        <f t="shared" si="363"/>
        <v>0</v>
      </c>
      <c r="AC187" s="84">
        <f t="shared" si="363"/>
        <v>0</v>
      </c>
      <c r="AD187" s="84">
        <f t="shared" si="363"/>
        <v>0</v>
      </c>
      <c r="AE187" s="84">
        <f t="shared" si="363"/>
        <v>0</v>
      </c>
      <c r="AF187" s="84">
        <f t="shared" si="363"/>
        <v>0</v>
      </c>
      <c r="AG187" s="84">
        <f t="shared" si="363"/>
        <v>0</v>
      </c>
      <c r="AH187" s="84">
        <f t="shared" si="363"/>
        <v>0</v>
      </c>
      <c r="AI187" s="84">
        <f t="shared" si="363"/>
        <v>0</v>
      </c>
      <c r="AJ187" s="84">
        <f t="shared" ref="AJ187:BA187" si="364">AJ$6*AnnMiles*DelayC2*(EXP(DelayC1*(AJ33+0.75*AnnMiles))+EXP(DelayC1*(AJ34+0.25*AnnMiles)))/2</f>
        <v>0</v>
      </c>
      <c r="AK187" s="84">
        <f t="shared" si="364"/>
        <v>0</v>
      </c>
      <c r="AL187" s="84">
        <f t="shared" si="364"/>
        <v>0</v>
      </c>
      <c r="AM187" s="84">
        <f t="shared" si="364"/>
        <v>0</v>
      </c>
      <c r="AN187" s="84">
        <f t="shared" si="364"/>
        <v>0</v>
      </c>
      <c r="AO187" s="84">
        <f t="shared" si="364"/>
        <v>0</v>
      </c>
      <c r="AP187" s="84">
        <f t="shared" si="364"/>
        <v>0</v>
      </c>
      <c r="AQ187" s="84">
        <f t="shared" si="364"/>
        <v>0</v>
      </c>
      <c r="AR187" s="84">
        <f t="shared" si="364"/>
        <v>0</v>
      </c>
      <c r="AS187" s="84">
        <f t="shared" si="364"/>
        <v>0</v>
      </c>
      <c r="AT187" s="84">
        <f t="shared" si="364"/>
        <v>0</v>
      </c>
      <c r="AU187" s="84">
        <f t="shared" si="364"/>
        <v>0</v>
      </c>
      <c r="AV187" s="84">
        <f t="shared" si="364"/>
        <v>0</v>
      </c>
      <c r="AW187" s="84">
        <f t="shared" si="364"/>
        <v>0</v>
      </c>
      <c r="AX187" s="84">
        <f t="shared" si="364"/>
        <v>0</v>
      </c>
      <c r="AY187" s="84">
        <f t="shared" si="364"/>
        <v>0</v>
      </c>
      <c r="AZ187" s="84">
        <f t="shared" si="364"/>
        <v>0</v>
      </c>
      <c r="BA187" s="84">
        <f t="shared" si="364"/>
        <v>0</v>
      </c>
      <c r="BB187" s="84"/>
      <c r="BC187" s="85">
        <f t="shared" si="313"/>
        <v>4079478.7002777699</v>
      </c>
    </row>
    <row r="188" spans="1:56" x14ac:dyDescent="0.2">
      <c r="A188" s="52"/>
      <c r="B188" s="7"/>
      <c r="C188" s="7">
        <f t="shared" si="316"/>
        <v>27</v>
      </c>
      <c r="D188" s="84">
        <f t="shared" ref="D188:AI188" si="365">D$6*AnnMiles*DelayC2*(EXP(DelayC1*(D34+0.75*AnnMiles))+EXP(DelayC1*(D35+0.25*AnnMiles)))/2</f>
        <v>285830.48650556279</v>
      </c>
      <c r="E188" s="84">
        <f t="shared" si="365"/>
        <v>141701.09952723861</v>
      </c>
      <c r="F188" s="84">
        <f t="shared" si="365"/>
        <v>650938.21711836953</v>
      </c>
      <c r="G188" s="84">
        <f t="shared" si="365"/>
        <v>105087.23914085545</v>
      </c>
      <c r="H188" s="84">
        <f t="shared" si="365"/>
        <v>824736.18405075616</v>
      </c>
      <c r="I188" s="84">
        <f t="shared" si="365"/>
        <v>146149.72338537918</v>
      </c>
      <c r="J188" s="84">
        <f t="shared" si="365"/>
        <v>219224.58507806878</v>
      </c>
      <c r="K188" s="84">
        <f t="shared" si="365"/>
        <v>693575.77832964598</v>
      </c>
      <c r="L188" s="84">
        <f t="shared" si="365"/>
        <v>39189.885087569739</v>
      </c>
      <c r="M188" s="84">
        <f t="shared" si="365"/>
        <v>132851.55122263802</v>
      </c>
      <c r="N188" s="84">
        <f t="shared" si="365"/>
        <v>19055.365767037518</v>
      </c>
      <c r="O188" s="84">
        <f t="shared" si="365"/>
        <v>219224.58507806878</v>
      </c>
      <c r="P188" s="84">
        <f t="shared" si="365"/>
        <v>178498.76155516368</v>
      </c>
      <c r="Q188" s="84">
        <f t="shared" si="365"/>
        <v>370728.19707610918</v>
      </c>
      <c r="R188" s="84">
        <f t="shared" si="365"/>
        <v>0</v>
      </c>
      <c r="S188" s="84">
        <f t="shared" si="365"/>
        <v>0</v>
      </c>
      <c r="T188" s="84">
        <f t="shared" si="365"/>
        <v>0</v>
      </c>
      <c r="U188" s="84">
        <f t="shared" si="365"/>
        <v>0</v>
      </c>
      <c r="V188" s="84">
        <f t="shared" si="365"/>
        <v>0</v>
      </c>
      <c r="W188" s="84">
        <f t="shared" si="365"/>
        <v>0</v>
      </c>
      <c r="X188" s="84">
        <f t="shared" si="365"/>
        <v>0</v>
      </c>
      <c r="Y188" s="84">
        <f t="shared" si="365"/>
        <v>0</v>
      </c>
      <c r="Z188" s="84">
        <f t="shared" si="365"/>
        <v>0</v>
      </c>
      <c r="AA188" s="84">
        <f t="shared" si="365"/>
        <v>0</v>
      </c>
      <c r="AB188" s="84">
        <f t="shared" si="365"/>
        <v>0</v>
      </c>
      <c r="AC188" s="84">
        <f t="shared" si="365"/>
        <v>0</v>
      </c>
      <c r="AD188" s="84">
        <f t="shared" si="365"/>
        <v>0</v>
      </c>
      <c r="AE188" s="84">
        <f t="shared" si="365"/>
        <v>0</v>
      </c>
      <c r="AF188" s="84">
        <f t="shared" si="365"/>
        <v>0</v>
      </c>
      <c r="AG188" s="84">
        <f t="shared" si="365"/>
        <v>0</v>
      </c>
      <c r="AH188" s="84">
        <f t="shared" si="365"/>
        <v>0</v>
      </c>
      <c r="AI188" s="84">
        <f t="shared" si="365"/>
        <v>0</v>
      </c>
      <c r="AJ188" s="84">
        <f t="shared" ref="AJ188:BA188" si="366">AJ$6*AnnMiles*DelayC2*(EXP(DelayC1*(AJ34+0.75*AnnMiles))+EXP(DelayC1*(AJ35+0.25*AnnMiles)))/2</f>
        <v>0</v>
      </c>
      <c r="AK188" s="84">
        <f t="shared" si="366"/>
        <v>0</v>
      </c>
      <c r="AL188" s="84">
        <f t="shared" si="366"/>
        <v>0</v>
      </c>
      <c r="AM188" s="84">
        <f t="shared" si="366"/>
        <v>0</v>
      </c>
      <c r="AN188" s="84">
        <f t="shared" si="366"/>
        <v>0</v>
      </c>
      <c r="AO188" s="84">
        <f t="shared" si="366"/>
        <v>0</v>
      </c>
      <c r="AP188" s="84">
        <f t="shared" si="366"/>
        <v>0</v>
      </c>
      <c r="AQ188" s="84">
        <f t="shared" si="366"/>
        <v>0</v>
      </c>
      <c r="AR188" s="84">
        <f t="shared" si="366"/>
        <v>0</v>
      </c>
      <c r="AS188" s="84">
        <f t="shared" si="366"/>
        <v>0</v>
      </c>
      <c r="AT188" s="84">
        <f t="shared" si="366"/>
        <v>0</v>
      </c>
      <c r="AU188" s="84">
        <f t="shared" si="366"/>
        <v>0</v>
      </c>
      <c r="AV188" s="84">
        <f t="shared" si="366"/>
        <v>0</v>
      </c>
      <c r="AW188" s="84">
        <f t="shared" si="366"/>
        <v>0</v>
      </c>
      <c r="AX188" s="84">
        <f t="shared" si="366"/>
        <v>0</v>
      </c>
      <c r="AY188" s="84">
        <f t="shared" si="366"/>
        <v>0</v>
      </c>
      <c r="AZ188" s="84">
        <f t="shared" si="366"/>
        <v>0</v>
      </c>
      <c r="BA188" s="84">
        <f t="shared" si="366"/>
        <v>0</v>
      </c>
      <c r="BB188" s="84"/>
      <c r="BC188" s="85">
        <f t="shared" si="313"/>
        <v>4026791.6589224632</v>
      </c>
    </row>
    <row r="189" spans="1:56" x14ac:dyDescent="0.2">
      <c r="A189" s="52"/>
      <c r="B189" s="7"/>
      <c r="C189" s="7">
        <f t="shared" si="316"/>
        <v>28</v>
      </c>
      <c r="D189" s="84">
        <f t="shared" ref="D189:AI189" si="367">D$6*AnnMiles*DelayC2*(EXP(DelayC1*(D35+0.75*AnnMiles))+EXP(DelayC1*(D36+0.25*AnnMiles)))/2</f>
        <v>306580.50282147236</v>
      </c>
      <c r="E189" s="84">
        <f t="shared" si="367"/>
        <v>79397.35736265633</v>
      </c>
      <c r="F189" s="84">
        <f t="shared" si="367"/>
        <v>698193.42348556162</v>
      </c>
      <c r="G189" s="84">
        <f t="shared" si="367"/>
        <v>112716.10320439615</v>
      </c>
      <c r="H189" s="84">
        <f t="shared" si="367"/>
        <v>884608.34634034848</v>
      </c>
      <c r="I189" s="84">
        <f t="shared" si="367"/>
        <v>156759.54035027896</v>
      </c>
      <c r="J189" s="84">
        <f t="shared" si="367"/>
        <v>235139.31052541846</v>
      </c>
      <c r="K189" s="84">
        <f t="shared" si="367"/>
        <v>743926.28114901448</v>
      </c>
      <c r="L189" s="84">
        <f t="shared" si="367"/>
        <v>42034.895656342174</v>
      </c>
      <c r="M189" s="84">
        <f t="shared" si="367"/>
        <v>142495.9803007447</v>
      </c>
      <c r="N189" s="84">
        <f t="shared" si="367"/>
        <v>20438.700188098155</v>
      </c>
      <c r="O189" s="84">
        <f t="shared" si="367"/>
        <v>235139.31052541846</v>
      </c>
      <c r="P189" s="84">
        <f t="shared" si="367"/>
        <v>191456.97416544522</v>
      </c>
      <c r="Q189" s="84">
        <f t="shared" si="367"/>
        <v>397641.40788207849</v>
      </c>
      <c r="R189" s="84">
        <f t="shared" si="367"/>
        <v>0</v>
      </c>
      <c r="S189" s="84">
        <f t="shared" si="367"/>
        <v>0</v>
      </c>
      <c r="T189" s="84">
        <f t="shared" si="367"/>
        <v>0</v>
      </c>
      <c r="U189" s="84">
        <f t="shared" si="367"/>
        <v>0</v>
      </c>
      <c r="V189" s="84">
        <f t="shared" si="367"/>
        <v>0</v>
      </c>
      <c r="W189" s="84">
        <f t="shared" si="367"/>
        <v>0</v>
      </c>
      <c r="X189" s="84">
        <f t="shared" si="367"/>
        <v>0</v>
      </c>
      <c r="Y189" s="84">
        <f t="shared" si="367"/>
        <v>0</v>
      </c>
      <c r="Z189" s="84">
        <f t="shared" si="367"/>
        <v>0</v>
      </c>
      <c r="AA189" s="84">
        <f t="shared" si="367"/>
        <v>0</v>
      </c>
      <c r="AB189" s="84">
        <f t="shared" si="367"/>
        <v>0</v>
      </c>
      <c r="AC189" s="84">
        <f t="shared" si="367"/>
        <v>0</v>
      </c>
      <c r="AD189" s="84">
        <f t="shared" si="367"/>
        <v>0</v>
      </c>
      <c r="AE189" s="84">
        <f t="shared" si="367"/>
        <v>0</v>
      </c>
      <c r="AF189" s="84">
        <f t="shared" si="367"/>
        <v>0</v>
      </c>
      <c r="AG189" s="84">
        <f t="shared" si="367"/>
        <v>0</v>
      </c>
      <c r="AH189" s="84">
        <f t="shared" si="367"/>
        <v>0</v>
      </c>
      <c r="AI189" s="84">
        <f t="shared" si="367"/>
        <v>0</v>
      </c>
      <c r="AJ189" s="84">
        <f t="shared" ref="AJ189:BA189" si="368">AJ$6*AnnMiles*DelayC2*(EXP(DelayC1*(AJ35+0.75*AnnMiles))+EXP(DelayC1*(AJ36+0.25*AnnMiles)))/2</f>
        <v>0</v>
      </c>
      <c r="AK189" s="84">
        <f t="shared" si="368"/>
        <v>0</v>
      </c>
      <c r="AL189" s="84">
        <f t="shared" si="368"/>
        <v>0</v>
      </c>
      <c r="AM189" s="84">
        <f t="shared" si="368"/>
        <v>0</v>
      </c>
      <c r="AN189" s="84">
        <f t="shared" si="368"/>
        <v>0</v>
      </c>
      <c r="AO189" s="84">
        <f t="shared" si="368"/>
        <v>0</v>
      </c>
      <c r="AP189" s="84">
        <f t="shared" si="368"/>
        <v>0</v>
      </c>
      <c r="AQ189" s="84">
        <f t="shared" si="368"/>
        <v>0</v>
      </c>
      <c r="AR189" s="84">
        <f t="shared" si="368"/>
        <v>0</v>
      </c>
      <c r="AS189" s="84">
        <f t="shared" si="368"/>
        <v>0</v>
      </c>
      <c r="AT189" s="84">
        <f t="shared" si="368"/>
        <v>0</v>
      </c>
      <c r="AU189" s="84">
        <f t="shared" si="368"/>
        <v>0</v>
      </c>
      <c r="AV189" s="84">
        <f t="shared" si="368"/>
        <v>0</v>
      </c>
      <c r="AW189" s="84">
        <f t="shared" si="368"/>
        <v>0</v>
      </c>
      <c r="AX189" s="84">
        <f t="shared" si="368"/>
        <v>0</v>
      </c>
      <c r="AY189" s="84">
        <f t="shared" si="368"/>
        <v>0</v>
      </c>
      <c r="AZ189" s="84">
        <f t="shared" si="368"/>
        <v>0</v>
      </c>
      <c r="BA189" s="84">
        <f t="shared" si="368"/>
        <v>0</v>
      </c>
      <c r="BB189" s="84"/>
      <c r="BC189" s="85">
        <f t="shared" si="313"/>
        <v>4246528.1339572733</v>
      </c>
    </row>
    <row r="190" spans="1:56" x14ac:dyDescent="0.2">
      <c r="A190" s="52"/>
      <c r="B190" s="7"/>
      <c r="C190" s="7">
        <f t="shared" si="316"/>
        <v>29</v>
      </c>
      <c r="D190" s="84">
        <f t="shared" ref="D190:AI190" si="369">D$6*AnnMiles*DelayC2*(EXP(DelayC1*(D36+0.75*AnnMiles))+EXP(DelayC1*(D37+0.25*AnnMiles)))/2</f>
        <v>328836.87761710316</v>
      </c>
      <c r="E190" s="84">
        <f t="shared" si="369"/>
        <v>85161.250783742318</v>
      </c>
      <c r="F190" s="84">
        <f t="shared" si="369"/>
        <v>748879.1467130041</v>
      </c>
      <c r="G190" s="84">
        <f t="shared" si="369"/>
        <v>120898.78871548647</v>
      </c>
      <c r="H190" s="84">
        <f t="shared" si="369"/>
        <v>948826.96012140426</v>
      </c>
      <c r="I190" s="84">
        <f t="shared" si="369"/>
        <v>168139.5826253687</v>
      </c>
      <c r="J190" s="84">
        <f t="shared" si="369"/>
        <v>252209.37393805306</v>
      </c>
      <c r="K190" s="84">
        <f t="shared" si="369"/>
        <v>797932.00552221062</v>
      </c>
      <c r="L190" s="84">
        <f t="shared" si="369"/>
        <v>45086.441281758453</v>
      </c>
      <c r="M190" s="84">
        <f t="shared" si="369"/>
        <v>152840.55184152201</v>
      </c>
      <c r="N190" s="84">
        <f t="shared" si="369"/>
        <v>21922.458507806878</v>
      </c>
      <c r="O190" s="84">
        <f t="shared" si="369"/>
        <v>252209.37393805306</v>
      </c>
      <c r="P190" s="84">
        <f t="shared" si="369"/>
        <v>205355.89511784809</v>
      </c>
      <c r="Q190" s="84">
        <f t="shared" si="369"/>
        <v>426508.39755245368</v>
      </c>
      <c r="R190" s="84">
        <f t="shared" si="369"/>
        <v>0</v>
      </c>
      <c r="S190" s="84">
        <f t="shared" si="369"/>
        <v>0</v>
      </c>
      <c r="T190" s="84">
        <f t="shared" si="369"/>
        <v>0</v>
      </c>
      <c r="U190" s="84">
        <f t="shared" si="369"/>
        <v>0</v>
      </c>
      <c r="V190" s="84">
        <f t="shared" si="369"/>
        <v>0</v>
      </c>
      <c r="W190" s="84">
        <f t="shared" si="369"/>
        <v>0</v>
      </c>
      <c r="X190" s="84">
        <f t="shared" si="369"/>
        <v>0</v>
      </c>
      <c r="Y190" s="84">
        <f t="shared" si="369"/>
        <v>0</v>
      </c>
      <c r="Z190" s="84">
        <f t="shared" si="369"/>
        <v>0</v>
      </c>
      <c r="AA190" s="84">
        <f t="shared" si="369"/>
        <v>0</v>
      </c>
      <c r="AB190" s="84">
        <f t="shared" si="369"/>
        <v>0</v>
      </c>
      <c r="AC190" s="84">
        <f t="shared" si="369"/>
        <v>0</v>
      </c>
      <c r="AD190" s="84">
        <f t="shared" si="369"/>
        <v>0</v>
      </c>
      <c r="AE190" s="84">
        <f t="shared" si="369"/>
        <v>0</v>
      </c>
      <c r="AF190" s="84">
        <f t="shared" si="369"/>
        <v>0</v>
      </c>
      <c r="AG190" s="84">
        <f t="shared" si="369"/>
        <v>0</v>
      </c>
      <c r="AH190" s="84">
        <f t="shared" si="369"/>
        <v>0</v>
      </c>
      <c r="AI190" s="84">
        <f t="shared" si="369"/>
        <v>0</v>
      </c>
      <c r="AJ190" s="84">
        <f t="shared" ref="AJ190:BA190" si="370">AJ$6*AnnMiles*DelayC2*(EXP(DelayC1*(AJ36+0.75*AnnMiles))+EXP(DelayC1*(AJ37+0.25*AnnMiles)))/2</f>
        <v>0</v>
      </c>
      <c r="AK190" s="84">
        <f t="shared" si="370"/>
        <v>0</v>
      </c>
      <c r="AL190" s="84">
        <f t="shared" si="370"/>
        <v>0</v>
      </c>
      <c r="AM190" s="84">
        <f t="shared" si="370"/>
        <v>0</v>
      </c>
      <c r="AN190" s="84">
        <f t="shared" si="370"/>
        <v>0</v>
      </c>
      <c r="AO190" s="84">
        <f t="shared" si="370"/>
        <v>0</v>
      </c>
      <c r="AP190" s="84">
        <f t="shared" si="370"/>
        <v>0</v>
      </c>
      <c r="AQ190" s="84">
        <f t="shared" si="370"/>
        <v>0</v>
      </c>
      <c r="AR190" s="84">
        <f t="shared" si="370"/>
        <v>0</v>
      </c>
      <c r="AS190" s="84">
        <f t="shared" si="370"/>
        <v>0</v>
      </c>
      <c r="AT190" s="84">
        <f t="shared" si="370"/>
        <v>0</v>
      </c>
      <c r="AU190" s="84">
        <f t="shared" si="370"/>
        <v>0</v>
      </c>
      <c r="AV190" s="84">
        <f t="shared" si="370"/>
        <v>0</v>
      </c>
      <c r="AW190" s="84">
        <f t="shared" si="370"/>
        <v>0</v>
      </c>
      <c r="AX190" s="84">
        <f t="shared" si="370"/>
        <v>0</v>
      </c>
      <c r="AY190" s="84">
        <f t="shared" si="370"/>
        <v>0</v>
      </c>
      <c r="AZ190" s="84">
        <f t="shared" si="370"/>
        <v>0</v>
      </c>
      <c r="BA190" s="84">
        <f t="shared" si="370"/>
        <v>0</v>
      </c>
      <c r="BB190" s="84"/>
      <c r="BC190" s="85">
        <f t="shared" si="313"/>
        <v>4554807.1042758143</v>
      </c>
    </row>
    <row r="191" spans="1:56" ht="13.5" thickBot="1" x14ac:dyDescent="0.25">
      <c r="A191" s="60"/>
      <c r="B191" s="61"/>
      <c r="C191" s="61">
        <f t="shared" si="316"/>
        <v>30</v>
      </c>
      <c r="D191" s="103">
        <f t="shared" ref="D191:AI191" si="371">D$6*AnnMiles*DelayC2*(EXP(DelayC1*(D37+0.75*AnnMiles))+EXP(DelayC1*(D38+0.25*AnnMiles)))/2</f>
        <v>352708.96578812768</v>
      </c>
      <c r="E191" s="103">
        <f t="shared" si="371"/>
        <v>91343.577115862005</v>
      </c>
      <c r="F191" s="103">
        <f t="shared" si="371"/>
        <v>803244.42699823657</v>
      </c>
      <c r="G191" s="103">
        <f t="shared" si="371"/>
        <v>129675.50063691135</v>
      </c>
      <c r="H191" s="103">
        <f t="shared" si="371"/>
        <v>1017707.5583535697</v>
      </c>
      <c r="I191" s="103">
        <f t="shared" si="371"/>
        <v>180345.76512703381</v>
      </c>
      <c r="J191" s="103">
        <f t="shared" si="371"/>
        <v>270518.64769055072</v>
      </c>
      <c r="K191" s="103">
        <f t="shared" si="371"/>
        <v>855858.30420361494</v>
      </c>
      <c r="L191" s="103">
        <f t="shared" si="371"/>
        <v>48359.515486194578</v>
      </c>
      <c r="M191" s="103">
        <f t="shared" si="371"/>
        <v>163936.0930597345</v>
      </c>
      <c r="N191" s="103">
        <f t="shared" si="371"/>
        <v>23513.931052541848</v>
      </c>
      <c r="O191" s="103">
        <f t="shared" si="371"/>
        <v>270518.64769055072</v>
      </c>
      <c r="P191" s="103">
        <f t="shared" si="371"/>
        <v>147369.14350832815</v>
      </c>
      <c r="Q191" s="103">
        <f t="shared" si="371"/>
        <v>306074.37497883535</v>
      </c>
      <c r="R191" s="103">
        <f t="shared" si="371"/>
        <v>0</v>
      </c>
      <c r="S191" s="103">
        <f t="shared" si="371"/>
        <v>0</v>
      </c>
      <c r="T191" s="103">
        <f t="shared" si="371"/>
        <v>0</v>
      </c>
      <c r="U191" s="103">
        <f t="shared" si="371"/>
        <v>0</v>
      </c>
      <c r="V191" s="103">
        <f t="shared" si="371"/>
        <v>0</v>
      </c>
      <c r="W191" s="103">
        <f t="shared" si="371"/>
        <v>0</v>
      </c>
      <c r="X191" s="103">
        <f t="shared" si="371"/>
        <v>0</v>
      </c>
      <c r="Y191" s="103">
        <f t="shared" si="371"/>
        <v>0</v>
      </c>
      <c r="Z191" s="103">
        <f t="shared" si="371"/>
        <v>0</v>
      </c>
      <c r="AA191" s="103">
        <f t="shared" si="371"/>
        <v>0</v>
      </c>
      <c r="AB191" s="103">
        <f t="shared" si="371"/>
        <v>0</v>
      </c>
      <c r="AC191" s="103">
        <f t="shared" si="371"/>
        <v>0</v>
      </c>
      <c r="AD191" s="103">
        <f t="shared" si="371"/>
        <v>0</v>
      </c>
      <c r="AE191" s="103">
        <f t="shared" si="371"/>
        <v>0</v>
      </c>
      <c r="AF191" s="103">
        <f t="shared" si="371"/>
        <v>0</v>
      </c>
      <c r="AG191" s="103">
        <f t="shared" si="371"/>
        <v>0</v>
      </c>
      <c r="AH191" s="103">
        <f t="shared" si="371"/>
        <v>0</v>
      </c>
      <c r="AI191" s="103">
        <f t="shared" si="371"/>
        <v>0</v>
      </c>
      <c r="AJ191" s="103">
        <f t="shared" ref="AJ191:BA191" si="372">AJ$6*AnnMiles*DelayC2*(EXP(DelayC1*(AJ37+0.75*AnnMiles))+EXP(DelayC1*(AJ38+0.25*AnnMiles)))/2</f>
        <v>0</v>
      </c>
      <c r="AK191" s="103">
        <f t="shared" si="372"/>
        <v>0</v>
      </c>
      <c r="AL191" s="103">
        <f t="shared" si="372"/>
        <v>0</v>
      </c>
      <c r="AM191" s="103">
        <f t="shared" si="372"/>
        <v>0</v>
      </c>
      <c r="AN191" s="103">
        <f t="shared" si="372"/>
        <v>0</v>
      </c>
      <c r="AO191" s="103">
        <f t="shared" si="372"/>
        <v>0</v>
      </c>
      <c r="AP191" s="103">
        <f t="shared" si="372"/>
        <v>0</v>
      </c>
      <c r="AQ191" s="103">
        <f t="shared" si="372"/>
        <v>0</v>
      </c>
      <c r="AR191" s="103">
        <f t="shared" si="372"/>
        <v>0</v>
      </c>
      <c r="AS191" s="103">
        <f t="shared" si="372"/>
        <v>0</v>
      </c>
      <c r="AT191" s="103">
        <f t="shared" si="372"/>
        <v>0</v>
      </c>
      <c r="AU191" s="103">
        <f t="shared" si="372"/>
        <v>0</v>
      </c>
      <c r="AV191" s="103">
        <f t="shared" si="372"/>
        <v>0</v>
      </c>
      <c r="AW191" s="103">
        <f t="shared" si="372"/>
        <v>0</v>
      </c>
      <c r="AX191" s="103">
        <f t="shared" si="372"/>
        <v>0</v>
      </c>
      <c r="AY191" s="103">
        <f t="shared" si="372"/>
        <v>0</v>
      </c>
      <c r="AZ191" s="103">
        <f t="shared" si="372"/>
        <v>0</v>
      </c>
      <c r="BA191" s="103">
        <f t="shared" si="372"/>
        <v>0</v>
      </c>
      <c r="BB191" s="103"/>
      <c r="BC191" s="105">
        <f t="shared" si="313"/>
        <v>4661174.4516900927</v>
      </c>
    </row>
    <row r="192" spans="1:56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ht="13.5" thickBot="1" x14ac:dyDescent="0.25">
      <c r="A193" s="91" t="s">
        <v>27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x14ac:dyDescent="0.2">
      <c r="A194" s="39"/>
      <c r="B194" s="94" t="s">
        <v>29</v>
      </c>
      <c r="C194" s="290" t="s">
        <v>31</v>
      </c>
      <c r="D194" s="291"/>
      <c r="E194" s="291"/>
      <c r="F194" s="301"/>
      <c r="G194" s="320" t="s">
        <v>34</v>
      </c>
      <c r="H194" s="290" t="s">
        <v>85</v>
      </c>
      <c r="I194" s="291"/>
      <c r="J194" s="291"/>
      <c r="K194" s="301"/>
      <c r="L194" s="320" t="s">
        <v>35</v>
      </c>
      <c r="M194" s="290" t="s">
        <v>33</v>
      </c>
      <c r="N194" s="291"/>
      <c r="O194" s="291"/>
      <c r="P194" s="291"/>
      <c r="Q194" s="322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x14ac:dyDescent="0.2">
      <c r="A195" s="66" t="s">
        <v>28</v>
      </c>
      <c r="B195" s="95" t="s">
        <v>14</v>
      </c>
      <c r="C195" s="96" t="s">
        <v>7</v>
      </c>
      <c r="D195" s="97" t="s">
        <v>30</v>
      </c>
      <c r="E195" s="97" t="s">
        <v>9</v>
      </c>
      <c r="F195" s="98" t="s">
        <v>18</v>
      </c>
      <c r="G195" s="321"/>
      <c r="H195" s="96" t="s">
        <v>7</v>
      </c>
      <c r="I195" s="97" t="s">
        <v>30</v>
      </c>
      <c r="J195" s="97" t="s">
        <v>9</v>
      </c>
      <c r="K195" s="97" t="s">
        <v>18</v>
      </c>
      <c r="L195" s="321"/>
      <c r="M195" s="96" t="s">
        <v>32</v>
      </c>
      <c r="N195" s="97" t="s">
        <v>7</v>
      </c>
      <c r="O195" s="97" t="s">
        <v>30</v>
      </c>
      <c r="P195" s="97" t="s">
        <v>9</v>
      </c>
      <c r="Q195" s="99" t="s">
        <v>18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x14ac:dyDescent="0.2">
      <c r="A196" s="52">
        <v>1</v>
      </c>
      <c r="B196" s="26">
        <f t="shared" ref="B196:B255" si="373">AnnMiles*(A196-0.5)</f>
        <v>17697.33390410959</v>
      </c>
      <c r="C196" s="100">
        <f t="shared" ref="C196:C255" si="374">AnnMiles*VLOOKUP(B196,RehabArray,3)*(1+InterestRate)^0.5</f>
        <v>5821.089073333841</v>
      </c>
      <c r="D196" s="84">
        <f>AnnMiles*MaintC2*EXP(B196*MaintC1)*(1+InterestRate)^0.5</f>
        <v>49349.147965358068</v>
      </c>
      <c r="E196" s="84">
        <f>AnnMiles*FuelC2*EXP(B196*FuelC1)*(1+InterestRate)^0.5</f>
        <v>22992.175970652694</v>
      </c>
      <c r="F196" s="101">
        <f>AnnMiles*DelayC2*EXP(DelayC1*B196)*(1+InterestRate)^0.5</f>
        <v>3171.5625666820188</v>
      </c>
      <c r="G196" s="92">
        <f>1/(1+InterestRate)^A196</f>
        <v>0.93457943925233644</v>
      </c>
      <c r="H196" s="100">
        <f>$G196*C196</f>
        <v>5440.2701619942436</v>
      </c>
      <c r="I196" s="84">
        <f>$G196*D196</f>
        <v>46120.699033044926</v>
      </c>
      <c r="J196" s="84">
        <f>$G196*E196</f>
        <v>21488.01492584364</v>
      </c>
      <c r="K196" s="84">
        <f>$G196*F196</f>
        <v>2964.0771651233822</v>
      </c>
      <c r="L196" s="92">
        <f>InterestRate/(1-(1+InterestRate)^-A196)</f>
        <v>1.07</v>
      </c>
      <c r="M196" s="100">
        <f t="shared" ref="M196:M255" si="375">NewBusCost*L196</f>
        <v>424790</v>
      </c>
      <c r="N196" s="84">
        <f t="shared" ref="N196:Q200" si="376">H196*$L196</f>
        <v>5821.089073333841</v>
      </c>
      <c r="O196" s="84">
        <f t="shared" si="376"/>
        <v>49349.147965358075</v>
      </c>
      <c r="P196" s="84">
        <f t="shared" si="376"/>
        <v>22992.175970652697</v>
      </c>
      <c r="Q196" s="85">
        <f t="shared" si="376"/>
        <v>3171.5625666820192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x14ac:dyDescent="0.2">
      <c r="A197" s="52">
        <f>1+A196</f>
        <v>2</v>
      </c>
      <c r="B197" s="26">
        <f t="shared" si="373"/>
        <v>53092.001712328769</v>
      </c>
      <c r="C197" s="100">
        <f t="shared" si="374"/>
        <v>13668.457186737569</v>
      </c>
      <c r="D197" s="84">
        <f>AnnMiles*MaintC2*EXP(B197*MaintC1)*(1+InterestRate)^0.5</f>
        <v>51599.799252738681</v>
      </c>
      <c r="E197" s="84">
        <f>AnnMiles*FuelC2*EXP(B197*FuelC1)*(1+InterestRate)^0.5</f>
        <v>23508.132840152346</v>
      </c>
      <c r="F197" s="101">
        <f>AnnMiles*DelayC2*EXP(DelayC1*B197)*(1+InterestRate)^0.5</f>
        <v>3401.8038394382725</v>
      </c>
      <c r="G197" s="92">
        <f>1/(1+InterestRate)^A197</f>
        <v>0.87343872827321156</v>
      </c>
      <c r="H197" s="100">
        <f t="shared" ref="H197:K200" si="377">+H196+$G197*C197</f>
        <v>17378.830024635143</v>
      </c>
      <c r="I197" s="84">
        <f t="shared" si="377"/>
        <v>91189.962071510003</v>
      </c>
      <c r="J197" s="84">
        <f t="shared" si="377"/>
        <v>42020.92857782403</v>
      </c>
      <c r="K197" s="84">
        <f t="shared" si="377"/>
        <v>5935.3443844772755</v>
      </c>
      <c r="L197" s="92">
        <f>InterestRate/(1-(1+InterestRate)^-A197)</f>
        <v>0.55309178743961329</v>
      </c>
      <c r="M197" s="100">
        <f t="shared" si="375"/>
        <v>219577.43961352648</v>
      </c>
      <c r="N197" s="84">
        <f t="shared" si="376"/>
        <v>9612.0881619346692</v>
      </c>
      <c r="O197" s="84">
        <f t="shared" si="376"/>
        <v>50436.41911868201</v>
      </c>
      <c r="P197" s="84">
        <f t="shared" si="376"/>
        <v>23241.430496981022</v>
      </c>
      <c r="Q197" s="85">
        <f t="shared" si="376"/>
        <v>3282.7902346802075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x14ac:dyDescent="0.2">
      <c r="A198" s="52">
        <f>1+A197</f>
        <v>3</v>
      </c>
      <c r="B198" s="26">
        <f t="shared" si="373"/>
        <v>88486.669520547948</v>
      </c>
      <c r="C198" s="100">
        <f t="shared" si="374"/>
        <v>19080.225349358461</v>
      </c>
      <c r="D198" s="84">
        <f>AnnMiles*MaintC2*EXP(B198*MaintC1)*(1+InterestRate)^0.5</f>
        <v>53953.095295423744</v>
      </c>
      <c r="E198" s="84">
        <f>AnnMiles*FuelC2*EXP(B198*FuelC1)*(1+InterestRate)^0.5</f>
        <v>24035.668060980024</v>
      </c>
      <c r="F198" s="101">
        <f>AnnMiles*DelayC2*EXP(DelayC1*B198)*(1+InterestRate)^0.5</f>
        <v>3648.7595999480745</v>
      </c>
      <c r="G198" s="92">
        <f>1/(1+InterestRate)^A198</f>
        <v>0.81629787689085187</v>
      </c>
      <c r="H198" s="100">
        <f t="shared" si="377"/>
        <v>32953.977467915465</v>
      </c>
      <c r="I198" s="84">
        <f t="shared" si="377"/>
        <v>135231.7592128542</v>
      </c>
      <c r="J198" s="84">
        <f t="shared" si="377"/>
        <v>61641.193385655279</v>
      </c>
      <c r="K198" s="84">
        <f t="shared" si="377"/>
        <v>8913.8190992000018</v>
      </c>
      <c r="L198" s="92">
        <f>InterestRate/(1-(1+InterestRate)^-A198)</f>
        <v>0.38105166568166948</v>
      </c>
      <c r="M198" s="100">
        <f t="shared" si="375"/>
        <v>151277.51127562279</v>
      </c>
      <c r="N198" s="84">
        <f t="shared" si="376"/>
        <v>12557.168004985393</v>
      </c>
      <c r="O198" s="84">
        <f t="shared" si="376"/>
        <v>51530.28710112055</v>
      </c>
      <c r="P198" s="84">
        <f t="shared" si="376"/>
        <v>23488.479414209851</v>
      </c>
      <c r="Q198" s="85">
        <f t="shared" si="376"/>
        <v>3396.6256153352392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x14ac:dyDescent="0.2">
      <c r="A199" s="52">
        <f>1+A198</f>
        <v>4</v>
      </c>
      <c r="B199" s="26">
        <f t="shared" si="373"/>
        <v>123881.33732876713</v>
      </c>
      <c r="C199" s="100">
        <f t="shared" si="374"/>
        <v>21777.645298729996</v>
      </c>
      <c r="D199" s="84">
        <f>AnnMiles*MaintC2*EXP(B199*MaintC1)*(1+InterestRate)^0.5</f>
        <v>56413.717380936854</v>
      </c>
      <c r="E199" s="84">
        <f>AnnMiles*FuelC2*EXP(B199*FuelC1)*(1+InterestRate)^0.5</f>
        <v>24575.041457604391</v>
      </c>
      <c r="F199" s="101">
        <f>AnnMiles*DelayC2*EXP(DelayC1*B199)*(1+InterestRate)^0.5</f>
        <v>3913.6432453470434</v>
      </c>
      <c r="G199" s="92">
        <f>1/(1+InterestRate)^A199</f>
        <v>0.7628952120475252</v>
      </c>
      <c r="H199" s="100">
        <f t="shared" si="377"/>
        <v>49568.038795985878</v>
      </c>
      <c r="I199" s="84">
        <f t="shared" si="377"/>
        <v>178269.51409657317</v>
      </c>
      <c r="J199" s="84">
        <f t="shared" si="377"/>
        <v>80389.374849531101</v>
      </c>
      <c r="K199" s="84">
        <f t="shared" si="377"/>
        <v>11899.518792737399</v>
      </c>
      <c r="L199" s="92">
        <f>InterestRate/(1-(1+InterestRate)^-A199)</f>
        <v>0.29522811666726351</v>
      </c>
      <c r="M199" s="100">
        <f t="shared" si="375"/>
        <v>117205.56231690361</v>
      </c>
      <c r="N199" s="84">
        <f t="shared" si="376"/>
        <v>14633.878740628763</v>
      </c>
      <c r="O199" s="84">
        <f t="shared" si="376"/>
        <v>52630.172905919477</v>
      </c>
      <c r="P199" s="84">
        <f t="shared" si="376"/>
        <v>23733.203736885745</v>
      </c>
      <c r="Q199" s="85">
        <f t="shared" si="376"/>
        <v>3513.0725224265716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x14ac:dyDescent="0.2">
      <c r="A200" s="52">
        <f>1+A199</f>
        <v>5</v>
      </c>
      <c r="B200" s="26">
        <f t="shared" si="373"/>
        <v>159276.00513698632</v>
      </c>
      <c r="C200" s="100">
        <f t="shared" si="374"/>
        <v>22974.410765089026</v>
      </c>
      <c r="D200" s="84">
        <f>AnnMiles*MaintC2*EXP(B200*MaintC1)*(1+InterestRate)^0.5</f>
        <v>58986.560294829906</v>
      </c>
      <c r="E200" s="84">
        <f>AnnMiles*FuelC2*EXP(B200*FuelC1)*(1+InterestRate)^0.5</f>
        <v>25126.518685095787</v>
      </c>
      <c r="F200" s="101">
        <f>AnnMiles*DelayC2*EXP(DelayC1*B200)*(1+InterestRate)^0.5</f>
        <v>4197.7562599817502</v>
      </c>
      <c r="G200" s="92">
        <f>1/(1+InterestRate)^A200</f>
        <v>0.71298617948366838</v>
      </c>
      <c r="H200" s="100">
        <f t="shared" si="377"/>
        <v>65948.476153275173</v>
      </c>
      <c r="I200" s="84">
        <f t="shared" si="377"/>
        <v>220326.116362067</v>
      </c>
      <c r="J200" s="84">
        <f t="shared" si="377"/>
        <v>98304.235410542547</v>
      </c>
      <c r="K200" s="84">
        <f t="shared" si="377"/>
        <v>14892.460990945439</v>
      </c>
      <c r="L200" s="92">
        <f>InterestRate/(1-(1+InterestRate)^-A200)</f>
        <v>0.24389069444137404</v>
      </c>
      <c r="M200" s="100">
        <f t="shared" si="375"/>
        <v>96824.605693225487</v>
      </c>
      <c r="N200" s="84">
        <f t="shared" si="376"/>
        <v>16084.219646372678</v>
      </c>
      <c r="O200" s="84">
        <f t="shared" si="376"/>
        <v>53735.489523115502</v>
      </c>
      <c r="P200" s="84">
        <f t="shared" si="376"/>
        <v>23975.488240805535</v>
      </c>
      <c r="Q200" s="85">
        <f t="shared" si="376"/>
        <v>3632.1326530227566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x14ac:dyDescent="0.2">
      <c r="A201" s="52">
        <f t="shared" ref="A201:A255" si="378">1+A200</f>
        <v>6</v>
      </c>
      <c r="B201" s="26">
        <f t="shared" si="373"/>
        <v>194670.67294520547</v>
      </c>
      <c r="C201" s="100">
        <f t="shared" si="374"/>
        <v>23491.06620412046</v>
      </c>
      <c r="D201" s="84">
        <f t="shared" ref="D201:D255" si="379">AnnMiles*MaintC2*EXP(B201*MaintC1)*(1+InterestRate)^0.5</f>
        <v>61676.742057621545</v>
      </c>
      <c r="E201" s="84">
        <f t="shared" ref="E201:E255" si="380">AnnMiles*FuelC2*EXP(B201*FuelC1)*(1+InterestRate)^0.5</f>
        <v>25690.371359968063</v>
      </c>
      <c r="F201" s="101">
        <f t="shared" ref="F201:F255" si="381">AnnMiles*DelayC2*EXP(DelayC1*B201)*(1+InterestRate)^0.5</f>
        <v>4502.4946101476889</v>
      </c>
      <c r="G201" s="92">
        <f t="shared" ref="G201:G255" si="382">1/(1+InterestRate)^A201</f>
        <v>0.66634222381651254</v>
      </c>
      <c r="H201" s="100">
        <f t="shared" ref="H201:H255" si="383">+H200+$G201*C201</f>
        <v>81601.565447549714</v>
      </c>
      <c r="I201" s="84">
        <f t="shared" ref="I201:I255" si="384">+I200+$G201*D201</f>
        <v>261423.93382249997</v>
      </c>
      <c r="J201" s="84">
        <f t="shared" ref="J201:J255" si="385">+J200+$G201*E201</f>
        <v>115422.81459321571</v>
      </c>
      <c r="K201" s="84">
        <f t="shared" ref="K201:K255" si="386">+K200+$G201*F201</f>
        <v>17892.663262193113</v>
      </c>
      <c r="L201" s="92">
        <f t="shared" ref="L201:L255" si="387">InterestRate/(1-(1+InterestRate)^-A201)</f>
        <v>0.20979579975832816</v>
      </c>
      <c r="M201" s="100">
        <f t="shared" si="375"/>
        <v>83288.932504056284</v>
      </c>
      <c r="N201" s="84">
        <f t="shared" ref="N201:N255" si="388">H201*$L201</f>
        <v>17119.665684600248</v>
      </c>
      <c r="O201" s="84">
        <f t="shared" ref="O201:O255" si="389">I201*$L201</f>
        <v>54845.643272259636</v>
      </c>
      <c r="P201" s="84">
        <f t="shared" ref="P201:P255" si="390">J201*$L201</f>
        <v>24215.22169794092</v>
      </c>
      <c r="Q201" s="85">
        <f t="shared" ref="Q201:Q255" si="391">K201*$L201</f>
        <v>3753.805598898261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x14ac:dyDescent="0.2">
      <c r="A202" s="52">
        <f t="shared" si="378"/>
        <v>7</v>
      </c>
      <c r="B202" s="26">
        <f t="shared" si="373"/>
        <v>230065.34075342468</v>
      </c>
      <c r="C202" s="100">
        <f t="shared" si="374"/>
        <v>23737.906033854084</v>
      </c>
      <c r="D202" s="84">
        <f t="shared" si="379"/>
        <v>64489.614105805056</v>
      </c>
      <c r="E202" s="84">
        <f t="shared" si="380"/>
        <v>26266.877193956614</v>
      </c>
      <c r="F202" s="101">
        <f t="shared" si="381"/>
        <v>4829.3556030566497</v>
      </c>
      <c r="G202" s="92">
        <f t="shared" si="382"/>
        <v>0.62274974188459109</v>
      </c>
      <c r="H202" s="100">
        <f t="shared" si="383"/>
        <v>96384.340303013028</v>
      </c>
      <c r="I202" s="84">
        <f t="shared" si="384"/>
        <v>301584.82436112693</v>
      </c>
      <c r="J202" s="84">
        <f t="shared" si="385"/>
        <v>131780.50558586643</v>
      </c>
      <c r="K202" s="84">
        <f t="shared" si="386"/>
        <v>20900.143217465546</v>
      </c>
      <c r="L202" s="92">
        <f t="shared" si="387"/>
        <v>0.18555321963115931</v>
      </c>
      <c r="M202" s="100">
        <f t="shared" si="375"/>
        <v>73664.628193570243</v>
      </c>
      <c r="N202" s="84">
        <f t="shared" si="388"/>
        <v>17884.424665249375</v>
      </c>
      <c r="O202" s="84">
        <f t="shared" si="389"/>
        <v>55960.035152104792</v>
      </c>
      <c r="P202" s="84">
        <f t="shared" si="390"/>
        <v>24452.297096079488</v>
      </c>
      <c r="Q202" s="85">
        <f t="shared" si="391"/>
        <v>3878.0888647530692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x14ac:dyDescent="0.2">
      <c r="A203" s="52">
        <f t="shared" si="378"/>
        <v>8</v>
      </c>
      <c r="B203" s="26">
        <f t="shared" si="373"/>
        <v>265460.00856164383</v>
      </c>
      <c r="C203" s="100">
        <f t="shared" si="374"/>
        <v>23893.854109361862</v>
      </c>
      <c r="D203" s="84">
        <f t="shared" si="379"/>
        <v>67430.771937178273</v>
      </c>
      <c r="E203" s="84">
        <f t="shared" si="380"/>
        <v>26856.320130798453</v>
      </c>
      <c r="F203" s="101">
        <f t="shared" si="381"/>
        <v>5179.9452437344789</v>
      </c>
      <c r="G203" s="92">
        <f t="shared" si="382"/>
        <v>0.5820091045650384</v>
      </c>
      <c r="H203" s="100">
        <f t="shared" si="383"/>
        <v>110290.78093781038</v>
      </c>
      <c r="I203" s="84">
        <f t="shared" si="384"/>
        <v>340830.14755641337</v>
      </c>
      <c r="J203" s="84">
        <f t="shared" si="385"/>
        <v>147411.12841710445</v>
      </c>
      <c r="K203" s="84">
        <f t="shared" si="386"/>
        <v>23914.918510467378</v>
      </c>
      <c r="L203" s="92">
        <f t="shared" si="387"/>
        <v>0.16746776249075465</v>
      </c>
      <c r="M203" s="100">
        <f t="shared" si="375"/>
        <v>66484.701708829598</v>
      </c>
      <c r="N203" s="84">
        <f t="shared" si="388"/>
        <v>18470.150307013078</v>
      </c>
      <c r="O203" s="84">
        <f t="shared" si="389"/>
        <v>57078.062200666296</v>
      </c>
      <c r="P203" s="84">
        <f t="shared" si="390"/>
        <v>24686.611842249782</v>
      </c>
      <c r="Q203" s="85">
        <f t="shared" si="391"/>
        <v>4004.9778930967027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x14ac:dyDescent="0.2">
      <c r="A204" s="52">
        <f t="shared" si="378"/>
        <v>9</v>
      </c>
      <c r="B204" s="26">
        <f t="shared" si="373"/>
        <v>300854.67636986304</v>
      </c>
      <c r="C204" s="100">
        <f t="shared" si="374"/>
        <v>24023.5075502494</v>
      </c>
      <c r="D204" s="84">
        <f t="shared" si="379"/>
        <v>70506.066241671899</v>
      </c>
      <c r="E204" s="84">
        <f t="shared" si="380"/>
        <v>27458.990486081664</v>
      </c>
      <c r="F204" s="101">
        <f t="shared" si="381"/>
        <v>5555.9861259967593</v>
      </c>
      <c r="G204" s="92">
        <f t="shared" si="382"/>
        <v>0.54393374258414806</v>
      </c>
      <c r="H204" s="100">
        <f t="shared" si="383"/>
        <v>123357.97730961608</v>
      </c>
      <c r="I204" s="84">
        <f t="shared" si="384"/>
        <v>379180.77604213182</v>
      </c>
      <c r="J204" s="84">
        <f t="shared" si="385"/>
        <v>162346.99987978136</v>
      </c>
      <c r="K204" s="84">
        <f t="shared" si="386"/>
        <v>26937.006837726396</v>
      </c>
      <c r="L204" s="92">
        <f t="shared" si="387"/>
        <v>0.15348647013842193</v>
      </c>
      <c r="M204" s="100">
        <f t="shared" si="375"/>
        <v>60934.128644953504</v>
      </c>
      <c r="N204" s="84">
        <f t="shared" si="388"/>
        <v>18933.780500668519</v>
      </c>
      <c r="O204" s="84">
        <f t="shared" si="389"/>
        <v>58199.118859054317</v>
      </c>
      <c r="P204" s="84">
        <f t="shared" si="390"/>
        <v>24918.067949110449</v>
      </c>
      <c r="Q204" s="85">
        <f t="shared" si="391"/>
        <v>4134.4660956171601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x14ac:dyDescent="0.2">
      <c r="A205" s="52">
        <f t="shared" si="378"/>
        <v>10</v>
      </c>
      <c r="B205" s="26">
        <f t="shared" si="373"/>
        <v>336249.34417808219</v>
      </c>
      <c r="C205" s="100">
        <f t="shared" si="374"/>
        <v>24145.10290942392</v>
      </c>
      <c r="D205" s="84">
        <f t="shared" si="379"/>
        <v>73721.614539817878</v>
      </c>
      <c r="E205" s="84">
        <f t="shared" si="380"/>
        <v>28075.18509023323</v>
      </c>
      <c r="F205" s="101">
        <f t="shared" si="381"/>
        <v>5959.3258962740492</v>
      </c>
      <c r="G205" s="92">
        <f t="shared" si="382"/>
        <v>0.5083492921347178</v>
      </c>
      <c r="H205" s="100">
        <f t="shared" si="383"/>
        <v>135632.12328214163</v>
      </c>
      <c r="I205" s="84">
        <f t="shared" si="384"/>
        <v>416657.10660847678</v>
      </c>
      <c r="J205" s="84">
        <f t="shared" si="385"/>
        <v>176619.00034695261</v>
      </c>
      <c r="K205" s="84">
        <f t="shared" si="386"/>
        <v>29966.425938697401</v>
      </c>
      <c r="L205" s="92">
        <f t="shared" si="387"/>
        <v>0.14237750272736471</v>
      </c>
      <c r="M205" s="100">
        <f t="shared" si="375"/>
        <v>56523.868582763789</v>
      </c>
      <c r="N205" s="84">
        <f t="shared" si="388"/>
        <v>19310.963002521388</v>
      </c>
      <c r="O205" s="84">
        <f t="shared" si="389"/>
        <v>59322.598332524292</v>
      </c>
      <c r="P205" s="84">
        <f t="shared" si="390"/>
        <v>25146.572203602675</v>
      </c>
      <c r="Q205" s="85">
        <f t="shared" si="391"/>
        <v>4266.5448908162616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x14ac:dyDescent="0.2">
      <c r="A206" s="52">
        <f t="shared" si="378"/>
        <v>11</v>
      </c>
      <c r="B206" s="26">
        <f t="shared" si="373"/>
        <v>371644.0119863014</v>
      </c>
      <c r="C206" s="100">
        <f t="shared" si="374"/>
        <v>24266.114007495249</v>
      </c>
      <c r="D206" s="84">
        <f t="shared" si="379"/>
        <v>77083.813352009965</v>
      </c>
      <c r="E206" s="84">
        <f t="shared" si="380"/>
        <v>28705.207434715525</v>
      </c>
      <c r="F206" s="101">
        <f t="shared" si="381"/>
        <v>6391.9463318730432</v>
      </c>
      <c r="G206" s="92">
        <f t="shared" si="382"/>
        <v>0.47509279638758667</v>
      </c>
      <c r="H206" s="100">
        <f t="shared" si="383"/>
        <v>147160.77924342253</v>
      </c>
      <c r="I206" s="84">
        <f t="shared" si="384"/>
        <v>453279.07105010201</v>
      </c>
      <c r="J206" s="84">
        <f t="shared" si="385"/>
        <v>190256.63761799736</v>
      </c>
      <c r="K206" s="84">
        <f t="shared" si="386"/>
        <v>33003.193595866345</v>
      </c>
      <c r="L206" s="92">
        <f t="shared" si="387"/>
        <v>0.13335690483624485</v>
      </c>
      <c r="M206" s="100">
        <f t="shared" si="375"/>
        <v>52942.691219989203</v>
      </c>
      <c r="N206" s="84">
        <f t="shared" si="388"/>
        <v>19624.906033192736</v>
      </c>
      <c r="O206" s="84">
        <f t="shared" si="389"/>
        <v>60447.89394228992</v>
      </c>
      <c r="P206" s="84">
        <f t="shared" si="390"/>
        <v>25372.036317287195</v>
      </c>
      <c r="Q206" s="85">
        <f t="shared" si="391"/>
        <v>4401.2037476561136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x14ac:dyDescent="0.2">
      <c r="A207" s="52">
        <f t="shared" si="378"/>
        <v>12</v>
      </c>
      <c r="B207" s="26">
        <f t="shared" si="373"/>
        <v>407038.67979452055</v>
      </c>
      <c r="C207" s="100">
        <f t="shared" si="374"/>
        <v>24397.263736148747</v>
      </c>
      <c r="D207" s="84">
        <f t="shared" si="379"/>
        <v>80599.350922763813</v>
      </c>
      <c r="E207" s="84">
        <f t="shared" si="380"/>
        <v>29349.367821503554</v>
      </c>
      <c r="F207" s="101">
        <f t="shared" si="381"/>
        <v>6855.9730782789156</v>
      </c>
      <c r="G207" s="92">
        <f t="shared" si="382"/>
        <v>0.44401195924073528</v>
      </c>
      <c r="H207" s="100">
        <f t="shared" si="383"/>
        <v>157993.45611502288</v>
      </c>
      <c r="I207" s="84">
        <f t="shared" si="384"/>
        <v>489066.14676684991</v>
      </c>
      <c r="J207" s="84">
        <f t="shared" si="385"/>
        <v>203288.10792690015</v>
      </c>
      <c r="K207" s="84">
        <f t="shared" si="386"/>
        <v>36047.327634854701</v>
      </c>
      <c r="L207" s="92">
        <f t="shared" si="387"/>
        <v>0.12590198865502045</v>
      </c>
      <c r="M207" s="100">
        <f t="shared" si="375"/>
        <v>49983.089496043118</v>
      </c>
      <c r="N207" s="84">
        <f t="shared" si="388"/>
        <v>19891.690319361081</v>
      </c>
      <c r="O207" s="84">
        <f t="shared" si="389"/>
        <v>61574.400461794503</v>
      </c>
      <c r="P207" s="84">
        <f t="shared" si="390"/>
        <v>25594.377057913156</v>
      </c>
      <c r="Q207" s="85">
        <f t="shared" si="391"/>
        <v>4538.4302349272812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x14ac:dyDescent="0.2">
      <c r="A208" s="52">
        <f t="shared" si="378"/>
        <v>13</v>
      </c>
      <c r="B208" s="26">
        <f t="shared" si="373"/>
        <v>442433.34760273976</v>
      </c>
      <c r="C208" s="100">
        <f t="shared" si="374"/>
        <v>24554.415566834465</v>
      </c>
      <c r="D208" s="84">
        <f t="shared" si="379"/>
        <v>84275.220525288634</v>
      </c>
      <c r="E208" s="84">
        <f t="shared" si="380"/>
        <v>30007.983515916538</v>
      </c>
      <c r="F208" s="101">
        <f t="shared" si="381"/>
        <v>7353.6860933423241</v>
      </c>
      <c r="G208" s="92">
        <f t="shared" si="382"/>
        <v>0.41496444788853759</v>
      </c>
      <c r="H208" s="100">
        <f t="shared" si="383"/>
        <v>168182.66561394007</v>
      </c>
      <c r="I208" s="84">
        <f t="shared" si="384"/>
        <v>524037.36712281103</v>
      </c>
      <c r="J208" s="84">
        <f t="shared" si="385"/>
        <v>215740.3542388308</v>
      </c>
      <c r="K208" s="84">
        <f t="shared" si="386"/>
        <v>39098.845924524117</v>
      </c>
      <c r="L208" s="92">
        <f t="shared" si="387"/>
        <v>0.11965084813625726</v>
      </c>
      <c r="M208" s="100">
        <f t="shared" si="375"/>
        <v>47501.386710094135</v>
      </c>
      <c r="N208" s="84">
        <f t="shared" si="388"/>
        <v>20123.198582524481</v>
      </c>
      <c r="O208" s="84">
        <f t="shared" si="389"/>
        <v>62701.515431335552</v>
      </c>
      <c r="P208" s="84">
        <f t="shared" si="390"/>
        <v>25813.516361892689</v>
      </c>
      <c r="Q208" s="85">
        <f t="shared" si="391"/>
        <v>4678.2100760181565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x14ac:dyDescent="0.2">
      <c r="A209" s="52">
        <f t="shared" si="378"/>
        <v>14</v>
      </c>
      <c r="B209" s="26">
        <f t="shared" si="373"/>
        <v>477828.01541095891</v>
      </c>
      <c r="C209" s="100">
        <f t="shared" si="374"/>
        <v>24755.789739734337</v>
      </c>
      <c r="D209" s="84">
        <f t="shared" si="379"/>
        <v>88118.734372836174</v>
      </c>
      <c r="E209" s="84">
        <f t="shared" si="380"/>
        <v>30681.378902879125</v>
      </c>
      <c r="F209" s="101">
        <f t="shared" si="381"/>
        <v>7887.5308496677153</v>
      </c>
      <c r="G209" s="92">
        <f t="shared" si="382"/>
        <v>0.3878172410173249</v>
      </c>
      <c r="H209" s="100">
        <f t="shared" si="383"/>
        <v>177783.38769000885</v>
      </c>
      <c r="I209" s="84">
        <f t="shared" si="384"/>
        <v>558211.33156922285</v>
      </c>
      <c r="J209" s="84">
        <f t="shared" si="385"/>
        <v>227639.12195555255</v>
      </c>
      <c r="K209" s="84">
        <f t="shared" si="386"/>
        <v>42157.766377081287</v>
      </c>
      <c r="L209" s="92">
        <f t="shared" si="387"/>
        <v>0.1143449386198428</v>
      </c>
      <c r="M209" s="100">
        <f t="shared" si="375"/>
        <v>45394.940632077589</v>
      </c>
      <c r="N209" s="84">
        <f t="shared" si="388"/>
        <v>20328.630553041778</v>
      </c>
      <c r="O209" s="84">
        <f t="shared" si="389"/>
        <v>63828.640445183504</v>
      </c>
      <c r="P209" s="84">
        <f t="shared" si="390"/>
        <v>26029.381427482564</v>
      </c>
      <c r="Q209" s="85">
        <f t="shared" si="391"/>
        <v>4820.5272087370322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x14ac:dyDescent="0.2">
      <c r="A210" s="52">
        <f t="shared" si="378"/>
        <v>15</v>
      </c>
      <c r="B210" s="26">
        <f t="shared" si="373"/>
        <v>513222.68321917811</v>
      </c>
      <c r="C210" s="100">
        <f t="shared" si="374"/>
        <v>25018.738882448484</v>
      </c>
      <c r="D210" s="84">
        <f t="shared" si="379"/>
        <v>92137.538164500264</v>
      </c>
      <c r="E210" s="84">
        <f t="shared" si="380"/>
        <v>31369.885646689203</v>
      </c>
      <c r="F210" s="101">
        <f t="shared" si="381"/>
        <v>8460.1303502449919</v>
      </c>
      <c r="G210" s="92">
        <f t="shared" si="382"/>
        <v>0.36244601964235967</v>
      </c>
      <c r="H210" s="100">
        <f t="shared" si="383"/>
        <v>186851.33001442385</v>
      </c>
      <c r="I210" s="84">
        <f t="shared" si="384"/>
        <v>591606.21553659195</v>
      </c>
      <c r="J210" s="84">
        <f t="shared" si="385"/>
        <v>239009.01214483104</v>
      </c>
      <c r="K210" s="84">
        <f t="shared" si="386"/>
        <v>45224.106948183107</v>
      </c>
      <c r="L210" s="92">
        <f t="shared" si="387"/>
        <v>0.10979462470100652</v>
      </c>
      <c r="M210" s="100">
        <f t="shared" si="375"/>
        <v>43588.46600629959</v>
      </c>
      <c r="N210" s="84">
        <f t="shared" si="388"/>
        <v>20515.271653817581</v>
      </c>
      <c r="O210" s="84">
        <f t="shared" si="389"/>
        <v>64955.182405622887</v>
      </c>
      <c r="P210" s="84">
        <f t="shared" si="390"/>
        <v>26241.904788600033</v>
      </c>
      <c r="Q210" s="85">
        <f t="shared" si="391"/>
        <v>4965.3638498139462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x14ac:dyDescent="0.2">
      <c r="A211" s="52">
        <f t="shared" si="378"/>
        <v>16</v>
      </c>
      <c r="B211" s="26">
        <f t="shared" si="373"/>
        <v>548617.35102739732</v>
      </c>
      <c r="C211" s="100">
        <f t="shared" si="374"/>
        <v>25357.438417151923</v>
      </c>
      <c r="D211" s="84">
        <f t="shared" si="379"/>
        <v>96339.626294402347</v>
      </c>
      <c r="E211" s="84">
        <f t="shared" si="380"/>
        <v>32073.842854370945</v>
      </c>
      <c r="F211" s="101">
        <f t="shared" si="381"/>
        <v>9074.2980163623324</v>
      </c>
      <c r="G211" s="92">
        <f t="shared" si="382"/>
        <v>0.33873459779659787</v>
      </c>
      <c r="H211" s="100">
        <f t="shared" si="383"/>
        <v>195440.77171780981</v>
      </c>
      <c r="I211" s="84">
        <f t="shared" si="384"/>
        <v>624239.78010130092</v>
      </c>
      <c r="J211" s="84">
        <f t="shared" si="385"/>
        <v>249873.53240389767</v>
      </c>
      <c r="K211" s="84">
        <f t="shared" si="386"/>
        <v>48297.885637042069</v>
      </c>
      <c r="L211" s="92">
        <f t="shared" si="387"/>
        <v>0.1058576477262428</v>
      </c>
      <c r="M211" s="100">
        <f t="shared" si="375"/>
        <v>42025.486147318392</v>
      </c>
      <c r="N211" s="84">
        <f t="shared" si="388"/>
        <v>20688.900363848948</v>
      </c>
      <c r="O211" s="84">
        <f t="shared" si="389"/>
        <v>66080.554738670777</v>
      </c>
      <c r="P211" s="84">
        <f t="shared" si="390"/>
        <v>26451.024369323713</v>
      </c>
      <c r="Q211" s="85">
        <f t="shared" si="391"/>
        <v>5112.7005636883614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x14ac:dyDescent="0.2">
      <c r="A212" s="52">
        <f t="shared" si="378"/>
        <v>17</v>
      </c>
      <c r="B212" s="26">
        <f t="shared" si="373"/>
        <v>584012.01883561641</v>
      </c>
      <c r="C212" s="100">
        <f t="shared" si="374"/>
        <v>25781.30398671138</v>
      </c>
      <c r="D212" s="84">
        <f t="shared" si="379"/>
        <v>100733.35775451732</v>
      </c>
      <c r="E212" s="84">
        <f t="shared" si="380"/>
        <v>32793.59724269365</v>
      </c>
      <c r="F212" s="101">
        <f t="shared" si="381"/>
        <v>9733.0515111239165</v>
      </c>
      <c r="G212" s="92">
        <f t="shared" si="382"/>
        <v>0.31657439046411018</v>
      </c>
      <c r="H212" s="100">
        <f t="shared" si="383"/>
        <v>203602.47231277291</v>
      </c>
      <c r="I212" s="84">
        <f t="shared" si="384"/>
        <v>656129.38143184036</v>
      </c>
      <c r="J212" s="84">
        <f t="shared" si="385"/>
        <v>260255.14546212894</v>
      </c>
      <c r="K212" s="84">
        <f t="shared" si="386"/>
        <v>51379.120486531909</v>
      </c>
      <c r="L212" s="92">
        <f t="shared" si="387"/>
        <v>0.1024251930616656</v>
      </c>
      <c r="M212" s="100">
        <f t="shared" si="375"/>
        <v>40662.801645481246</v>
      </c>
      <c r="N212" s="84">
        <f t="shared" si="388"/>
        <v>20854.022534468189</v>
      </c>
      <c r="O212" s="84">
        <f t="shared" si="389"/>
        <v>67204.178566587478</v>
      </c>
      <c r="P212" s="84">
        <f t="shared" si="390"/>
        <v>26656.683519250422</v>
      </c>
      <c r="Q212" s="85">
        <f t="shared" si="391"/>
        <v>5262.5163351716092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x14ac:dyDescent="0.2">
      <c r="A213" s="52">
        <f t="shared" si="378"/>
        <v>18</v>
      </c>
      <c r="B213" s="26">
        <f t="shared" si="373"/>
        <v>619406.68664383562</v>
      </c>
      <c r="C213" s="100">
        <f t="shared" si="374"/>
        <v>26293.605318041842</v>
      </c>
      <c r="D213" s="84">
        <f t="shared" si="379"/>
        <v>105327.47276277492</v>
      </c>
      <c r="E213" s="84">
        <f t="shared" si="380"/>
        <v>33529.503308938518</v>
      </c>
      <c r="F213" s="101">
        <f t="shared" si="381"/>
        <v>10439.627566493289</v>
      </c>
      <c r="G213" s="92">
        <f t="shared" si="382"/>
        <v>0.29586391632159825</v>
      </c>
      <c r="H213" s="100">
        <f t="shared" si="383"/>
        <v>211381.80135638316</v>
      </c>
      <c r="I213" s="84">
        <f t="shared" si="384"/>
        <v>687291.9800196914</v>
      </c>
      <c r="J213" s="84">
        <f t="shared" si="385"/>
        <v>270175.31562342949</v>
      </c>
      <c r="K213" s="84">
        <f t="shared" si="386"/>
        <v>54467.829583293533</v>
      </c>
      <c r="L213" s="92">
        <f t="shared" si="387"/>
        <v>9.9412601658362007E-2</v>
      </c>
      <c r="M213" s="100">
        <f t="shared" si="375"/>
        <v>39466.802858369716</v>
      </c>
      <c r="N213" s="84">
        <f t="shared" si="388"/>
        <v>21014.014816069124</v>
      </c>
      <c r="O213" s="84">
        <f t="shared" si="389"/>
        <v>68325.483832684477</v>
      </c>
      <c r="P213" s="84">
        <f t="shared" si="390"/>
        <v>26858.831029994224</v>
      </c>
      <c r="Q213" s="85">
        <f t="shared" si="391"/>
        <v>5414.7886455595062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x14ac:dyDescent="0.2">
      <c r="A214" s="52">
        <f t="shared" si="378"/>
        <v>19</v>
      </c>
      <c r="B214" s="26">
        <f t="shared" si="373"/>
        <v>654801.35445205483</v>
      </c>
      <c r="C214" s="100">
        <f t="shared" si="374"/>
        <v>26889.970247985661</v>
      </c>
      <c r="D214" s="84">
        <f t="shared" si="379"/>
        <v>110131.11014951345</v>
      </c>
      <c r="E214" s="84">
        <f t="shared" si="380"/>
        <v>34281.923505497543</v>
      </c>
      <c r="F214" s="101">
        <f t="shared" si="381"/>
        <v>11197.497886713802</v>
      </c>
      <c r="G214" s="92">
        <f t="shared" si="382"/>
        <v>0.27650833301083949</v>
      </c>
      <c r="H214" s="100">
        <f t="shared" si="383"/>
        <v>218817.10220436475</v>
      </c>
      <c r="I214" s="84">
        <f t="shared" si="384"/>
        <v>717744.14969976654</v>
      </c>
      <c r="J214" s="84">
        <f t="shared" si="385"/>
        <v>279654.5531443397</v>
      </c>
      <c r="K214" s="84">
        <f t="shared" si="386"/>
        <v>57564.031057841166</v>
      </c>
      <c r="L214" s="92">
        <f t="shared" si="387"/>
        <v>9.6753014849926072E-2</v>
      </c>
      <c r="M214" s="100">
        <f t="shared" si="375"/>
        <v>38410.946895420653</v>
      </c>
      <c r="N214" s="84">
        <f t="shared" si="388"/>
        <v>21171.214338996695</v>
      </c>
      <c r="O214" s="84">
        <f t="shared" si="389"/>
        <v>69443.91037434907</v>
      </c>
      <c r="P214" s="84">
        <f t="shared" si="390"/>
        <v>27057.421133223739</v>
      </c>
      <c r="Q214" s="85">
        <f t="shared" si="391"/>
        <v>5569.4935517609119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x14ac:dyDescent="0.2">
      <c r="A215" s="52">
        <f t="shared" si="378"/>
        <v>20</v>
      </c>
      <c r="B215" s="26">
        <f t="shared" si="373"/>
        <v>690196.02226027404</v>
      </c>
      <c r="C215" s="100">
        <f t="shared" si="374"/>
        <v>27556.782701192977</v>
      </c>
      <c r="D215" s="84">
        <f t="shared" si="379"/>
        <v>115153.82553687241</v>
      </c>
      <c r="E215" s="84">
        <f t="shared" si="380"/>
        <v>35051.228418390529</v>
      </c>
      <c r="F215" s="101">
        <f t="shared" si="381"/>
        <v>12010.386206246338</v>
      </c>
      <c r="G215" s="92">
        <f t="shared" si="382"/>
        <v>0.2584190028138687</v>
      </c>
      <c r="H215" s="100">
        <f t="shared" si="383"/>
        <v>225938.29851076551</v>
      </c>
      <c r="I215" s="84">
        <f t="shared" si="384"/>
        <v>747502.08646520728</v>
      </c>
      <c r="J215" s="84">
        <f t="shared" si="385"/>
        <v>288712.45663962135</v>
      </c>
      <c r="K215" s="84">
        <f t="shared" si="386"/>
        <v>60667.743084668786</v>
      </c>
      <c r="L215" s="92">
        <f t="shared" si="387"/>
        <v>9.4392925743255696E-2</v>
      </c>
      <c r="M215" s="100">
        <f t="shared" si="375"/>
        <v>37473.991520072508</v>
      </c>
      <c r="N215" s="84">
        <f t="shared" si="388"/>
        <v>21326.977033884228</v>
      </c>
      <c r="O215" s="84">
        <f t="shared" si="389"/>
        <v>70558.908940639012</v>
      </c>
      <c r="P215" s="84">
        <f t="shared" si="390"/>
        <v>27252.413480736708</v>
      </c>
      <c r="Q215" s="85">
        <f t="shared" si="391"/>
        <v>5726.6057680020549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x14ac:dyDescent="0.2">
      <c r="A216" s="52">
        <f t="shared" si="378"/>
        <v>21</v>
      </c>
      <c r="B216" s="26">
        <f t="shared" si="373"/>
        <v>725590.69006849313</v>
      </c>
      <c r="C216" s="100">
        <f t="shared" si="374"/>
        <v>28269.705836558216</v>
      </c>
      <c r="D216" s="84">
        <f t="shared" si="379"/>
        <v>120405.61034728687</v>
      </c>
      <c r="E216" s="84">
        <f t="shared" si="380"/>
        <v>35837.796949788077</v>
      </c>
      <c r="F216" s="101">
        <f t="shared" si="381"/>
        <v>12882.286586037124</v>
      </c>
      <c r="G216" s="92">
        <f t="shared" si="382"/>
        <v>0.24151308674193336</v>
      </c>
      <c r="H216" s="100">
        <f t="shared" si="383"/>
        <v>232765.80242863914</v>
      </c>
      <c r="I216" s="84">
        <f t="shared" si="384"/>
        <v>776581.61708122701</v>
      </c>
      <c r="J216" s="84">
        <f t="shared" si="385"/>
        <v>297367.7536029953</v>
      </c>
      <c r="K216" s="84">
        <f t="shared" si="386"/>
        <v>63778.983882356813</v>
      </c>
      <c r="L216" s="92">
        <f t="shared" si="387"/>
        <v>9.2289001664269052E-2</v>
      </c>
      <c r="M216" s="100">
        <f t="shared" si="375"/>
        <v>36638.733660714817</v>
      </c>
      <c r="N216" s="84">
        <f t="shared" si="388"/>
        <v>21481.723527721599</v>
      </c>
      <c r="O216" s="84">
        <f t="shared" si="389"/>
        <v>71669.942151250114</v>
      </c>
      <c r="P216" s="84">
        <f t="shared" si="390"/>
        <v>27443.773107166784</v>
      </c>
      <c r="Q216" s="85">
        <f t="shared" si="391"/>
        <v>5886.0987496642174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x14ac:dyDescent="0.2">
      <c r="A217" s="52">
        <f t="shared" si="378"/>
        <v>22</v>
      </c>
      <c r="B217" s="26">
        <f t="shared" si="373"/>
        <v>760985.35787671234</v>
      </c>
      <c r="C217" s="100">
        <f t="shared" si="374"/>
        <v>28992.717925455756</v>
      </c>
      <c r="D217" s="84">
        <f t="shared" si="379"/>
        <v>125896.91167889645</v>
      </c>
      <c r="E217" s="84">
        <f t="shared" si="380"/>
        <v>36642.016504630505</v>
      </c>
      <c r="F217" s="101">
        <f t="shared" si="381"/>
        <v>13817.483038012837</v>
      </c>
      <c r="G217" s="92">
        <f t="shared" si="382"/>
        <v>0.22571316517937698</v>
      </c>
      <c r="H217" s="100">
        <f t="shared" si="383"/>
        <v>239309.84055874663</v>
      </c>
      <c r="I217" s="84">
        <f t="shared" si="384"/>
        <v>804998.2075025792</v>
      </c>
      <c r="J217" s="84">
        <f t="shared" si="385"/>
        <v>305638.33912681043</v>
      </c>
      <c r="K217" s="84">
        <f t="shared" si="386"/>
        <v>66897.771713679045</v>
      </c>
      <c r="L217" s="92">
        <f t="shared" si="387"/>
        <v>9.0405773225133976E-2</v>
      </c>
      <c r="M217" s="100">
        <f t="shared" si="375"/>
        <v>35891.091970378191</v>
      </c>
      <c r="N217" s="84">
        <f t="shared" si="388"/>
        <v>21634.991176097017</v>
      </c>
      <c r="O217" s="84">
        <f t="shared" si="389"/>
        <v>72776.485394117524</v>
      </c>
      <c r="P217" s="84">
        <f t="shared" si="390"/>
        <v>27631.470376005018</v>
      </c>
      <c r="Q217" s="85">
        <f t="shared" si="391"/>
        <v>6047.9447788136504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x14ac:dyDescent="0.2">
      <c r="A218" s="52">
        <f t="shared" si="378"/>
        <v>23</v>
      </c>
      <c r="B218" s="26">
        <f t="shared" si="373"/>
        <v>796380.02568493155</v>
      </c>
      <c r="C218" s="100">
        <f t="shared" si="374"/>
        <v>29678.162688580465</v>
      </c>
      <c r="D218" s="84">
        <f t="shared" si="379"/>
        <v>131638.65308740578</v>
      </c>
      <c r="E218" s="84">
        <f t="shared" si="380"/>
        <v>37464.283181434606</v>
      </c>
      <c r="F218" s="101">
        <f t="shared" si="381"/>
        <v>14820.570574226334</v>
      </c>
      <c r="G218" s="92">
        <f t="shared" si="382"/>
        <v>0.21094688334521211</v>
      </c>
      <c r="H218" s="100">
        <f t="shared" si="383"/>
        <v>245570.35648131484</v>
      </c>
      <c r="I218" s="84">
        <f t="shared" si="384"/>
        <v>832766.97109912906</v>
      </c>
      <c r="J218" s="84">
        <f t="shared" si="385"/>
        <v>313541.31290069653</v>
      </c>
      <c r="K218" s="84">
        <f t="shared" si="386"/>
        <v>70024.124885709854</v>
      </c>
      <c r="L218" s="92">
        <f t="shared" si="387"/>
        <v>8.871392625222356E-2</v>
      </c>
      <c r="M218" s="100">
        <f t="shared" si="375"/>
        <v>35219.428722132754</v>
      </c>
      <c r="N218" s="84">
        <f t="shared" si="388"/>
        <v>21785.510494615613</v>
      </c>
      <c r="O218" s="84">
        <f t="shared" si="389"/>
        <v>73878.02765937573</v>
      </c>
      <c r="P218" s="84">
        <f t="shared" si="390"/>
        <v>27815.480909697744</v>
      </c>
      <c r="Q218" s="85">
        <f t="shared" si="391"/>
        <v>6212.1150509873569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x14ac:dyDescent="0.2">
      <c r="A219" s="52">
        <f t="shared" si="378"/>
        <v>24</v>
      </c>
      <c r="B219" s="26">
        <f t="shared" si="373"/>
        <v>831774.69349315076</v>
      </c>
      <c r="C219" s="100">
        <f t="shared" si="374"/>
        <v>30268.354197349825</v>
      </c>
      <c r="D219" s="84">
        <f t="shared" si="379"/>
        <v>137642.256315737</v>
      </c>
      <c r="E219" s="84">
        <f t="shared" si="380"/>
        <v>38305.001967382246</v>
      </c>
      <c r="F219" s="101">
        <f t="shared" si="381"/>
        <v>15896.477784076395</v>
      </c>
      <c r="G219" s="92">
        <f t="shared" si="382"/>
        <v>0.19714661994879637</v>
      </c>
      <c r="H219" s="100">
        <f t="shared" si="383"/>
        <v>251537.66020273534</v>
      </c>
      <c r="I219" s="84">
        <f t="shared" si="384"/>
        <v>859902.67669390247</v>
      </c>
      <c r="J219" s="84">
        <f t="shared" si="385"/>
        <v>321093.01456569793</v>
      </c>
      <c r="K219" s="84">
        <f t="shared" si="386"/>
        <v>73158.061749931643</v>
      </c>
      <c r="L219" s="92">
        <f t="shared" si="387"/>
        <v>8.7189020734440459E-2</v>
      </c>
      <c r="M219" s="100">
        <f t="shared" si="375"/>
        <v>34614.041231572861</v>
      </c>
      <c r="N219" s="84">
        <f t="shared" si="388"/>
        <v>21931.322270908931</v>
      </c>
      <c r="O219" s="84">
        <f t="shared" si="389"/>
        <v>74974.072307865514</v>
      </c>
      <c r="P219" s="84">
        <f t="shared" si="390"/>
        <v>27995.785504652627</v>
      </c>
      <c r="Q219" s="85">
        <f t="shared" si="391"/>
        <v>6378.5797628062655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x14ac:dyDescent="0.2">
      <c r="A220" s="52">
        <f t="shared" si="378"/>
        <v>25</v>
      </c>
      <c r="B220" s="26">
        <f t="shared" si="373"/>
        <v>867169.36130136985</v>
      </c>
      <c r="C220" s="100">
        <f t="shared" si="374"/>
        <v>30699.154618408938</v>
      </c>
      <c r="D220" s="84">
        <f t="shared" si="379"/>
        <v>143919.66401469964</v>
      </c>
      <c r="E220" s="84">
        <f t="shared" si="380"/>
        <v>39164.586937786749</v>
      </c>
      <c r="F220" s="101">
        <f t="shared" si="381"/>
        <v>17050.491050532695</v>
      </c>
      <c r="G220" s="92">
        <f t="shared" si="382"/>
        <v>0.18424917752223957</v>
      </c>
      <c r="H220" s="100">
        <f t="shared" si="383"/>
        <v>257193.95419180524</v>
      </c>
      <c r="I220" s="84">
        <f t="shared" si="384"/>
        <v>886419.75641788798</v>
      </c>
      <c r="J220" s="84">
        <f t="shared" si="385"/>
        <v>328309.05749698338</v>
      </c>
      <c r="K220" s="84">
        <f t="shared" si="386"/>
        <v>76299.600702342592</v>
      </c>
      <c r="L220" s="92">
        <f t="shared" si="387"/>
        <v>8.5810517220665627E-2</v>
      </c>
      <c r="M220" s="100">
        <f t="shared" si="375"/>
        <v>34066.775336604253</v>
      </c>
      <c r="N220" s="84">
        <f t="shared" si="388"/>
        <v>22069.946235226991</v>
      </c>
      <c r="O220" s="84">
        <f t="shared" si="389"/>
        <v>76064.137772835413</v>
      </c>
      <c r="P220" s="84">
        <f t="shared" si="390"/>
        <v>28172.370032045394</v>
      </c>
      <c r="Q220" s="85">
        <f t="shared" si="391"/>
        <v>6547.3081999982805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x14ac:dyDescent="0.2">
      <c r="A221" s="52">
        <f t="shared" si="378"/>
        <v>26</v>
      </c>
      <c r="B221" s="26">
        <f t="shared" si="373"/>
        <v>902564.02910958906</v>
      </c>
      <c r="C221" s="100">
        <f t="shared" si="374"/>
        <v>30699.154618408938</v>
      </c>
      <c r="D221" s="84">
        <f t="shared" si="379"/>
        <v>150483.36349987512</v>
      </c>
      <c r="E221" s="84">
        <f t="shared" si="380"/>
        <v>40043.461460035542</v>
      </c>
      <c r="F221" s="101">
        <f t="shared" si="381"/>
        <v>18288.280524350557</v>
      </c>
      <c r="G221" s="92">
        <f t="shared" si="382"/>
        <v>0.17219549301143888</v>
      </c>
      <c r="H221" s="100">
        <f t="shared" si="383"/>
        <v>262480.21025635657</v>
      </c>
      <c r="I221" s="84">
        <f t="shared" si="384"/>
        <v>912332.31338576856</v>
      </c>
      <c r="J221" s="84">
        <f t="shared" si="385"/>
        <v>335204.36108497874</v>
      </c>
      <c r="K221" s="84">
        <f t="shared" si="386"/>
        <v>79448.760183564635</v>
      </c>
      <c r="L221" s="92">
        <f t="shared" si="387"/>
        <v>8.4561027886463649E-2</v>
      </c>
      <c r="M221" s="100">
        <f t="shared" si="375"/>
        <v>33570.728070926067</v>
      </c>
      <c r="N221" s="84">
        <f t="shared" si="388"/>
        <v>22195.59637913261</v>
      </c>
      <c r="O221" s="84">
        <f t="shared" si="389"/>
        <v>77147.758193935864</v>
      </c>
      <c r="P221" s="84">
        <f t="shared" si="390"/>
        <v>28345.225325371117</v>
      </c>
      <c r="Q221" s="85">
        <f t="shared" si="391"/>
        <v>6718.2688254273717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x14ac:dyDescent="0.2">
      <c r="A222" s="52">
        <f t="shared" si="378"/>
        <v>27</v>
      </c>
      <c r="B222" s="26">
        <f t="shared" si="373"/>
        <v>937958.69691780827</v>
      </c>
      <c r="C222" s="100">
        <f t="shared" si="374"/>
        <v>30699.154618408938</v>
      </c>
      <c r="D222" s="84">
        <f t="shared" si="379"/>
        <v>157346.41159197403</v>
      </c>
      <c r="E222" s="84">
        <f t="shared" si="380"/>
        <v>40942.058402109295</v>
      </c>
      <c r="F222" s="101">
        <f t="shared" si="381"/>
        <v>19615.9279838976</v>
      </c>
      <c r="G222" s="92">
        <f t="shared" si="382"/>
        <v>0.16093036730041013</v>
      </c>
      <c r="H222" s="100">
        <f t="shared" si="383"/>
        <v>267420.63648490922</v>
      </c>
      <c r="I222" s="84">
        <f t="shared" si="384"/>
        <v>937654.12919666641</v>
      </c>
      <c r="J222" s="84">
        <f t="shared" si="385"/>
        <v>341793.18158166501</v>
      </c>
      <c r="K222" s="84">
        <f t="shared" si="386"/>
        <v>82605.558678951667</v>
      </c>
      <c r="L222" s="92">
        <f t="shared" si="387"/>
        <v>8.3425734017789133E-2</v>
      </c>
      <c r="M222" s="100">
        <f t="shared" si="375"/>
        <v>33120.016405062284</v>
      </c>
      <c r="N222" s="84">
        <f t="shared" si="388"/>
        <v>22309.762890257913</v>
      </c>
      <c r="O222" s="84">
        <f t="shared" si="389"/>
        <v>78224.483983042781</v>
      </c>
      <c r="P222" s="84">
        <f t="shared" si="390"/>
        <v>28514.347055725888</v>
      </c>
      <c r="Q222" s="85">
        <f t="shared" si="391"/>
        <v>6891.4293667410948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x14ac:dyDescent="0.2">
      <c r="A223" s="52">
        <f t="shared" si="378"/>
        <v>28</v>
      </c>
      <c r="B223" s="26">
        <f t="shared" si="373"/>
        <v>973353.36472602747</v>
      </c>
      <c r="C223" s="100">
        <f t="shared" si="374"/>
        <v>30699.154618408938</v>
      </c>
      <c r="D223" s="84">
        <f t="shared" si="379"/>
        <v>164522.4605900801</v>
      </c>
      <c r="E223" s="84">
        <f t="shared" si="380"/>
        <v>41860.820345780376</v>
      </c>
      <c r="F223" s="101">
        <f t="shared" si="381"/>
        <v>21039.956717479388</v>
      </c>
      <c r="G223" s="92">
        <f t="shared" si="382"/>
        <v>0.15040221243028987</v>
      </c>
      <c r="H223" s="100">
        <f t="shared" si="383"/>
        <v>272037.85725925746</v>
      </c>
      <c r="I223" s="84">
        <f t="shared" si="384"/>
        <v>962398.67126388964</v>
      </c>
      <c r="J223" s="84">
        <f t="shared" si="385"/>
        <v>348089.14157581725</v>
      </c>
      <c r="K223" s="84">
        <f t="shared" si="386"/>
        <v>85770.014718698105</v>
      </c>
      <c r="L223" s="92">
        <f t="shared" si="387"/>
        <v>8.2391928303198941E-2</v>
      </c>
      <c r="M223" s="100">
        <f t="shared" si="375"/>
        <v>32709.59553636998</v>
      </c>
      <c r="N223" s="84">
        <f t="shared" si="388"/>
        <v>22413.723631060609</v>
      </c>
      <c r="O223" s="84">
        <f t="shared" si="389"/>
        <v>79293.882321868325</v>
      </c>
      <c r="P223" s="84">
        <f t="shared" si="390"/>
        <v>28679.735595836803</v>
      </c>
      <c r="Q223" s="85">
        <f t="shared" si="391"/>
        <v>7066.7569032672918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x14ac:dyDescent="0.2">
      <c r="A224" s="52">
        <f t="shared" si="378"/>
        <v>29</v>
      </c>
      <c r="B224" s="26">
        <f t="shared" si="373"/>
        <v>1008748.0325342466</v>
      </c>
      <c r="C224" s="100">
        <f t="shared" si="374"/>
        <v>30699.154618408938</v>
      </c>
      <c r="D224" s="84">
        <f t="shared" si="379"/>
        <v>172025.78542944754</v>
      </c>
      <c r="E224" s="84">
        <f t="shared" si="380"/>
        <v>42800.199804595606</v>
      </c>
      <c r="F224" s="101">
        <f t="shared" si="381"/>
        <v>22567.363574988372</v>
      </c>
      <c r="G224" s="92">
        <f t="shared" si="382"/>
        <v>0.1405628153554111</v>
      </c>
      <c r="H224" s="100">
        <f t="shared" si="383"/>
        <v>276353.01686145208</v>
      </c>
      <c r="I224" s="84">
        <f t="shared" si="384"/>
        <v>986579.09997757862</v>
      </c>
      <c r="J224" s="84">
        <f t="shared" si="385"/>
        <v>354105.25815812533</v>
      </c>
      <c r="K224" s="84">
        <f t="shared" si="386"/>
        <v>88942.146877947627</v>
      </c>
      <c r="L224" s="92">
        <f t="shared" si="387"/>
        <v>8.144865180455016E-2</v>
      </c>
      <c r="M224" s="100">
        <f t="shared" si="375"/>
        <v>32335.114766406412</v>
      </c>
      <c r="N224" s="84">
        <f t="shared" si="388"/>
        <v>22508.580645485388</v>
      </c>
      <c r="O224" s="84">
        <f t="shared" si="389"/>
        <v>80355.537591720276</v>
      </c>
      <c r="P224" s="84">
        <f t="shared" si="390"/>
        <v>28841.395873881494</v>
      </c>
      <c r="Q224" s="85">
        <f t="shared" si="391"/>
        <v>7244.2179518111143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x14ac:dyDescent="0.2">
      <c r="A225" s="52">
        <f t="shared" si="378"/>
        <v>30</v>
      </c>
      <c r="B225" s="26">
        <f t="shared" si="373"/>
        <v>1044142.7003424658</v>
      </c>
      <c r="C225" s="100">
        <f t="shared" si="374"/>
        <v>30699.154618408938</v>
      </c>
      <c r="D225" s="84">
        <f t="shared" si="379"/>
        <v>179871.31207787577</v>
      </c>
      <c r="E225" s="84">
        <f t="shared" si="380"/>
        <v>43760.659446750651</v>
      </c>
      <c r="F225" s="101">
        <f t="shared" si="381"/>
        <v>24205.653346359413</v>
      </c>
      <c r="G225" s="92">
        <f t="shared" si="382"/>
        <v>0.13136711715458982</v>
      </c>
      <c r="H225" s="100">
        <f t="shared" si="383"/>
        <v>280385.8763027555</v>
      </c>
      <c r="I225" s="84">
        <f t="shared" si="384"/>
        <v>1010208.2757040627</v>
      </c>
      <c r="J225" s="84">
        <f t="shared" si="385"/>
        <v>359853.96983442875</v>
      </c>
      <c r="K225" s="84">
        <f t="shared" si="386"/>
        <v>92121.973776902218</v>
      </c>
      <c r="L225" s="92">
        <f t="shared" si="387"/>
        <v>8.0586403511111196E-2</v>
      </c>
      <c r="M225" s="100">
        <f t="shared" si="375"/>
        <v>31992.802193911146</v>
      </c>
      <c r="N225" s="84">
        <f t="shared" si="388"/>
        <v>22595.289366550365</v>
      </c>
      <c r="O225" s="84">
        <f t="shared" si="389"/>
        <v>81409.051736151465</v>
      </c>
      <c r="P225" s="84">
        <f t="shared" si="390"/>
        <v>28999.337218152512</v>
      </c>
      <c r="Q225" s="85">
        <f t="shared" si="391"/>
        <v>7423.7785510254462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x14ac:dyDescent="0.2">
      <c r="A226" s="52">
        <f t="shared" si="378"/>
        <v>31</v>
      </c>
      <c r="B226" s="26">
        <f t="shared" si="373"/>
        <v>1079537.368150685</v>
      </c>
      <c r="C226" s="100">
        <f t="shared" si="374"/>
        <v>30699.154618408938</v>
      </c>
      <c r="D226" s="84">
        <f t="shared" si="379"/>
        <v>188074.64722714905</v>
      </c>
      <c r="E226" s="84">
        <f t="shared" si="380"/>
        <v>44742.672322965831</v>
      </c>
      <c r="F226" s="101">
        <f t="shared" si="381"/>
        <v>25962.875635747485</v>
      </c>
      <c r="G226" s="92">
        <f t="shared" si="382"/>
        <v>0.1227730066865325</v>
      </c>
      <c r="H226" s="100">
        <f t="shared" si="383"/>
        <v>284154.90381799231</v>
      </c>
      <c r="I226" s="84">
        <f t="shared" si="384"/>
        <v>1033298.7656256487</v>
      </c>
      <c r="J226" s="84">
        <f t="shared" si="385"/>
        <v>365347.16224270954</v>
      </c>
      <c r="K226" s="84">
        <f t="shared" si="386"/>
        <v>95309.514080931462</v>
      </c>
      <c r="L226" s="92">
        <f t="shared" si="387"/>
        <v>7.9796906084245708E-2</v>
      </c>
      <c r="M226" s="100">
        <f t="shared" si="375"/>
        <v>31679.371715445548</v>
      </c>
      <c r="N226" s="84">
        <f t="shared" si="388"/>
        <v>22674.682173342204</v>
      </c>
      <c r="O226" s="84">
        <f t="shared" si="389"/>
        <v>82454.044557596906</v>
      </c>
      <c r="P226" s="84">
        <f t="shared" si="390"/>
        <v>29153.573193627173</v>
      </c>
      <c r="Q226" s="85">
        <f t="shared" si="391"/>
        <v>7605.4043440511814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x14ac:dyDescent="0.2">
      <c r="A227" s="52">
        <f t="shared" si="378"/>
        <v>32</v>
      </c>
      <c r="B227" s="26">
        <f t="shared" si="373"/>
        <v>1114932.0359589041</v>
      </c>
      <c r="C227" s="100">
        <f t="shared" si="374"/>
        <v>30699.154618408938</v>
      </c>
      <c r="D227" s="84">
        <f t="shared" si="379"/>
        <v>196652.10933860388</v>
      </c>
      <c r="E227" s="84">
        <f t="shared" si="380"/>
        <v>45746.722099475563</v>
      </c>
      <c r="F227" s="101">
        <f t="shared" si="381"/>
        <v>27847.664412605984</v>
      </c>
      <c r="G227" s="92">
        <f t="shared" si="382"/>
        <v>0.11474112774442291</v>
      </c>
      <c r="H227" s="100">
        <f t="shared" si="383"/>
        <v>287677.35943970893</v>
      </c>
      <c r="I227" s="84">
        <f t="shared" si="384"/>
        <v>1055862.8504244797</v>
      </c>
      <c r="J227" s="84">
        <f t="shared" si="385"/>
        <v>370596.19272701407</v>
      </c>
      <c r="K227" s="84">
        <f t="shared" si="386"/>
        <v>98504.786500682108</v>
      </c>
      <c r="L227" s="92">
        <f t="shared" si="387"/>
        <v>7.9072915498316271E-2</v>
      </c>
      <c r="M227" s="100">
        <f t="shared" si="375"/>
        <v>31391.947452831559</v>
      </c>
      <c r="N227" s="84">
        <f t="shared" si="388"/>
        <v>22747.487533754862</v>
      </c>
      <c r="O227" s="84">
        <f t="shared" si="389"/>
        <v>83490.15394942624</v>
      </c>
      <c r="P227" s="84">
        <f t="shared" si="390"/>
        <v>29304.121431500917</v>
      </c>
      <c r="Q227" s="85">
        <f t="shared" si="391"/>
        <v>7789.0606591481219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x14ac:dyDescent="0.2">
      <c r="A228" s="52">
        <f t="shared" si="378"/>
        <v>33</v>
      </c>
      <c r="B228" s="26">
        <f t="shared" si="373"/>
        <v>1150326.7037671234</v>
      </c>
      <c r="C228" s="100">
        <f t="shared" si="374"/>
        <v>30699.154618408938</v>
      </c>
      <c r="D228" s="84">
        <f t="shared" si="379"/>
        <v>205620.76110458237</v>
      </c>
      <c r="E228" s="84">
        <f t="shared" si="380"/>
        <v>46773.303296246311</v>
      </c>
      <c r="F228" s="101">
        <f t="shared" si="381"/>
        <v>29869.280433996704</v>
      </c>
      <c r="G228" s="92">
        <f t="shared" si="382"/>
        <v>0.10723469882656347</v>
      </c>
      <c r="H228" s="100">
        <f t="shared" si="383"/>
        <v>290969.37403944414</v>
      </c>
      <c r="I228" s="84">
        <f t="shared" si="384"/>
        <v>1077912.5308140183</v>
      </c>
      <c r="J228" s="84">
        <f t="shared" si="385"/>
        <v>375611.91381911054</v>
      </c>
      <c r="K228" s="84">
        <f t="shared" si="386"/>
        <v>101707.80979218791</v>
      </c>
      <c r="L228" s="92">
        <f t="shared" si="387"/>
        <v>7.8408065264177623E-2</v>
      </c>
      <c r="M228" s="100">
        <f t="shared" si="375"/>
        <v>31128.001909878516</v>
      </c>
      <c r="N228" s="84">
        <f t="shared" si="388"/>
        <v>22814.345669561648</v>
      </c>
      <c r="O228" s="84">
        <f t="shared" si="389"/>
        <v>84517.036065140419</v>
      </c>
      <c r="P228" s="84">
        <f t="shared" si="390"/>
        <v>29451.003452731482</v>
      </c>
      <c r="Q228" s="85">
        <f t="shared" si="391"/>
        <v>7974.7125880624335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x14ac:dyDescent="0.2">
      <c r="A229" s="52">
        <f t="shared" si="378"/>
        <v>34</v>
      </c>
      <c r="B229" s="26">
        <f t="shared" si="373"/>
        <v>1185721.3715753425</v>
      </c>
      <c r="C229" s="100">
        <f t="shared" si="374"/>
        <v>30699.154618408938</v>
      </c>
      <c r="D229" s="84">
        <f t="shared" si="379"/>
        <v>214998.44339034482</v>
      </c>
      <c r="E229" s="84">
        <f t="shared" si="380"/>
        <v>47822.921530540123</v>
      </c>
      <c r="F229" s="101">
        <f t="shared" si="381"/>
        <v>32037.656746569806</v>
      </c>
      <c r="G229" s="92">
        <f t="shared" si="382"/>
        <v>0.10021934469772288</v>
      </c>
      <c r="H229" s="100">
        <f t="shared" si="383"/>
        <v>294046.02319807519</v>
      </c>
      <c r="I229" s="84">
        <f t="shared" si="384"/>
        <v>1099459.5339216292</v>
      </c>
      <c r="J229" s="84">
        <f t="shared" si="385"/>
        <v>380404.69567643187</v>
      </c>
      <c r="K229" s="84">
        <f t="shared" si="386"/>
        <v>104918.60275697972</v>
      </c>
      <c r="L229" s="92">
        <f t="shared" si="387"/>
        <v>7.7796738113339231E-2</v>
      </c>
      <c r="M229" s="100">
        <f t="shared" si="375"/>
        <v>30885.305030995674</v>
      </c>
      <c r="N229" s="84">
        <f t="shared" si="388"/>
        <v>22875.821460009527</v>
      </c>
      <c r="O229" s="84">
        <f t="shared" si="389"/>
        <v>85534.365426714998</v>
      </c>
      <c r="P229" s="84">
        <f t="shared" si="390"/>
        <v>29594.24448662388</v>
      </c>
      <c r="Q229" s="85">
        <f t="shared" si="391"/>
        <v>8162.3250619022219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x14ac:dyDescent="0.2">
      <c r="A230" s="52">
        <f t="shared" si="378"/>
        <v>35</v>
      </c>
      <c r="B230" s="26">
        <f t="shared" si="373"/>
        <v>1221116.0393835616</v>
      </c>
      <c r="C230" s="100">
        <f t="shared" si="374"/>
        <v>30699.154618408938</v>
      </c>
      <c r="D230" s="84">
        <f t="shared" si="379"/>
        <v>224803.81072396081</v>
      </c>
      <c r="E230" s="84">
        <f t="shared" si="380"/>
        <v>48896.09376594401</v>
      </c>
      <c r="F230" s="101">
        <f t="shared" si="381"/>
        <v>34363.447491784427</v>
      </c>
      <c r="G230" s="92">
        <f t="shared" si="382"/>
        <v>9.366293896983445E-2</v>
      </c>
      <c r="H230" s="100">
        <f t="shared" si="383"/>
        <v>296921.39624352474</v>
      </c>
      <c r="I230" s="84">
        <f t="shared" si="384"/>
        <v>1120515.3195256537</v>
      </c>
      <c r="J230" s="84">
        <f t="shared" si="385"/>
        <v>384984.44752269477</v>
      </c>
      <c r="K230" s="84">
        <f t="shared" si="386"/>
        <v>108137.18424219583</v>
      </c>
      <c r="L230" s="92">
        <f t="shared" si="387"/>
        <v>7.7233959649003259E-2</v>
      </c>
      <c r="M230" s="100">
        <f t="shared" si="375"/>
        <v>30661.881980654292</v>
      </c>
      <c r="N230" s="84">
        <f t="shared" si="388"/>
        <v>22932.415136398096</v>
      </c>
      <c r="O230" s="84">
        <f t="shared" si="389"/>
        <v>86541.834974334328</v>
      </c>
      <c r="P230" s="84">
        <f t="shared" si="390"/>
        <v>29733.873285461621</v>
      </c>
      <c r="Q230" s="85">
        <f t="shared" si="391"/>
        <v>8351.8629243185842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x14ac:dyDescent="0.2">
      <c r="A231" s="52">
        <f t="shared" si="378"/>
        <v>36</v>
      </c>
      <c r="B231" s="26">
        <f t="shared" si="373"/>
        <v>1256510.7071917809</v>
      </c>
      <c r="C231" s="100">
        <f t="shared" si="374"/>
        <v>30699.154618408938</v>
      </c>
      <c r="D231" s="84">
        <f t="shared" si="379"/>
        <v>235056.3684047767</v>
      </c>
      <c r="E231" s="84">
        <f t="shared" si="380"/>
        <v>49993.348566987625</v>
      </c>
      <c r="F231" s="101">
        <f t="shared" si="381"/>
        <v>36858.080254170171</v>
      </c>
      <c r="G231" s="92">
        <f t="shared" si="382"/>
        <v>8.7535456981153698E-2</v>
      </c>
      <c r="H231" s="100">
        <f t="shared" si="383"/>
        <v>299608.66077198228</v>
      </c>
      <c r="I231" s="84">
        <f t="shared" si="384"/>
        <v>1141091.0861502963</v>
      </c>
      <c r="J231" s="84">
        <f t="shared" si="385"/>
        <v>389360.63813552412</v>
      </c>
      <c r="K231" s="84">
        <f t="shared" si="386"/>
        <v>111363.57314069265</v>
      </c>
      <c r="L231" s="92">
        <f t="shared" si="387"/>
        <v>7.6715309691276642E-2</v>
      </c>
      <c r="M231" s="100">
        <f t="shared" si="375"/>
        <v>30455.977947436826</v>
      </c>
      <c r="N231" s="84">
        <f t="shared" si="388"/>
        <v>22984.571197311267</v>
      </c>
      <c r="O231" s="84">
        <f t="shared" si="389"/>
        <v>87539.156059975212</v>
      </c>
      <c r="P231" s="84">
        <f t="shared" si="390"/>
        <v>29869.92193615983</v>
      </c>
      <c r="Q231" s="85">
        <f t="shared" si="391"/>
        <v>8543.2910018153743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x14ac:dyDescent="0.2">
      <c r="A232" s="52">
        <f t="shared" si="378"/>
        <v>37</v>
      </c>
      <c r="B232" s="26">
        <f t="shared" si="373"/>
        <v>1291905.375</v>
      </c>
      <c r="C232" s="100">
        <f t="shared" si="374"/>
        <v>30699.154618408938</v>
      </c>
      <c r="D232" s="84">
        <f t="shared" si="379"/>
        <v>245776.51130427694</v>
      </c>
      <c r="E232" s="84">
        <f t="shared" si="380"/>
        <v>51115.226359474611</v>
      </c>
      <c r="F232" s="101">
        <f t="shared" si="381"/>
        <v>39533.812209838405</v>
      </c>
      <c r="G232" s="92">
        <f t="shared" si="382"/>
        <v>8.1808838300143641E-2</v>
      </c>
      <c r="H232" s="100">
        <f t="shared" si="383"/>
        <v>302120.1229481108</v>
      </c>
      <c r="I232" s="84">
        <f t="shared" si="384"/>
        <v>1161197.7770215613</v>
      </c>
      <c r="J232" s="84">
        <f t="shared" si="385"/>
        <v>393542.31542344164</v>
      </c>
      <c r="K232" s="84">
        <f t="shared" si="386"/>
        <v>114597.78839115557</v>
      </c>
      <c r="L232" s="92">
        <f t="shared" si="387"/>
        <v>7.6236847967920227E-2</v>
      </c>
      <c r="M232" s="100">
        <f t="shared" si="375"/>
        <v>30266.02864326433</v>
      </c>
      <c r="N232" s="84">
        <f t="shared" si="388"/>
        <v>23032.685881244492</v>
      </c>
      <c r="O232" s="84">
        <f t="shared" si="389"/>
        <v>88526.058387479701</v>
      </c>
      <c r="P232" s="84">
        <f t="shared" si="390"/>
        <v>30002.425669880227</v>
      </c>
      <c r="Q232" s="85">
        <f t="shared" si="391"/>
        <v>8736.57417103642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x14ac:dyDescent="0.2">
      <c r="A233" s="52">
        <f t="shared" si="378"/>
        <v>38</v>
      </c>
      <c r="B233" s="26">
        <f t="shared" si="373"/>
        <v>1327300.0428082193</v>
      </c>
      <c r="C233" s="100">
        <f t="shared" si="374"/>
        <v>30699.154618408938</v>
      </c>
      <c r="D233" s="84">
        <f t="shared" si="379"/>
        <v>256985.56443652534</v>
      </c>
      <c r="E233" s="84">
        <f t="shared" si="380"/>
        <v>52262.279696656085</v>
      </c>
      <c r="F233" s="101">
        <f t="shared" si="381"/>
        <v>42403.790351124917</v>
      </c>
      <c r="G233" s="92">
        <f t="shared" si="382"/>
        <v>7.6456858224433308E-2</v>
      </c>
      <c r="H233" s="100">
        <f t="shared" si="383"/>
        <v>304467.28386038047</v>
      </c>
      <c r="I233" s="84">
        <f t="shared" si="384"/>
        <v>1180846.0858874107</v>
      </c>
      <c r="J233" s="84">
        <f t="shared" si="385"/>
        <v>397538.12513269455</v>
      </c>
      <c r="K233" s="84">
        <f t="shared" si="386"/>
        <v>117839.84897821012</v>
      </c>
      <c r="L233" s="92">
        <f t="shared" si="387"/>
        <v>7.5795051507199576E-2</v>
      </c>
      <c r="M233" s="100">
        <f t="shared" si="375"/>
        <v>30090.635448358233</v>
      </c>
      <c r="N233" s="84">
        <f t="shared" si="388"/>
        <v>23077.11346245469</v>
      </c>
      <c r="O233" s="84">
        <f t="shared" si="389"/>
        <v>89502.28990191131</v>
      </c>
      <c r="P233" s="84">
        <f t="shared" si="390"/>
        <v>30131.422670508135</v>
      </c>
      <c r="Q233" s="85">
        <f t="shared" si="391"/>
        <v>8931.6774229040566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x14ac:dyDescent="0.2">
      <c r="A234" s="52">
        <f t="shared" si="378"/>
        <v>39</v>
      </c>
      <c r="B234" s="26">
        <f t="shared" si="373"/>
        <v>1362694.7106164384</v>
      </c>
      <c r="C234" s="100">
        <f t="shared" si="374"/>
        <v>30699.154618408938</v>
      </c>
      <c r="D234" s="84">
        <f t="shared" si="379"/>
        <v>268705.82537888875</v>
      </c>
      <c r="E234" s="84">
        <f t="shared" si="380"/>
        <v>53435.073531377086</v>
      </c>
      <c r="F234" s="101">
        <f t="shared" si="381"/>
        <v>45482.116083272187</v>
      </c>
      <c r="G234" s="92">
        <f t="shared" si="382"/>
        <v>7.1455007686386268E-2</v>
      </c>
      <c r="H234" s="100">
        <f t="shared" si="383"/>
        <v>306660.89218960446</v>
      </c>
      <c r="I234" s="84">
        <f t="shared" si="384"/>
        <v>1200046.4627052359</v>
      </c>
      <c r="J234" s="84">
        <f t="shared" si="385"/>
        <v>401356.3287226017</v>
      </c>
      <c r="K234" s="84">
        <f t="shared" si="386"/>
        <v>121089.77393253346</v>
      </c>
      <c r="L234" s="92">
        <f t="shared" si="387"/>
        <v>7.538676163185605E-2</v>
      </c>
      <c r="M234" s="100">
        <f t="shared" si="375"/>
        <v>29928.544367846851</v>
      </c>
      <c r="N234" s="84">
        <f t="shared" si="388"/>
        <v>23118.17158131002</v>
      </c>
      <c r="O234" s="84">
        <f t="shared" si="389"/>
        <v>90467.616631111654</v>
      </c>
      <c r="P234" s="84">
        <f t="shared" si="390"/>
        <v>30256.953882847632</v>
      </c>
      <c r="Q234" s="85">
        <f t="shared" si="391"/>
        <v>9128.5659235072362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x14ac:dyDescent="0.2">
      <c r="A235" s="52">
        <f t="shared" si="378"/>
        <v>40</v>
      </c>
      <c r="B235" s="26">
        <f t="shared" si="373"/>
        <v>1398089.3784246575</v>
      </c>
      <c r="C235" s="100">
        <f t="shared" si="374"/>
        <v>30699.154618408938</v>
      </c>
      <c r="D235" s="84">
        <f t="shared" si="379"/>
        <v>280960.60862743011</v>
      </c>
      <c r="E235" s="84">
        <f t="shared" si="380"/>
        <v>54634.185494330224</v>
      </c>
      <c r="F235" s="101">
        <f t="shared" si="381"/>
        <v>48783.914510542549</v>
      </c>
      <c r="G235" s="92">
        <f t="shared" si="382"/>
        <v>6.6780381015314264E-2</v>
      </c>
      <c r="H235" s="100">
        <f t="shared" si="383"/>
        <v>308710.99343186984</v>
      </c>
      <c r="I235" s="84">
        <f t="shared" si="384"/>
        <v>1218809.1191996704</v>
      </c>
      <c r="J235" s="84">
        <f t="shared" si="385"/>
        <v>405004.82044637442</v>
      </c>
      <c r="K235" s="84">
        <f t="shared" si="386"/>
        <v>124347.582330966</v>
      </c>
      <c r="L235" s="92">
        <f t="shared" si="387"/>
        <v>7.5009138873610326E-2</v>
      </c>
      <c r="M235" s="100">
        <f t="shared" si="375"/>
        <v>29778.628132823298</v>
      </c>
      <c r="N235" s="84">
        <f t="shared" si="388"/>
        <v>23156.14577814133</v>
      </c>
      <c r="O235" s="84">
        <f t="shared" si="389"/>
        <v>91421.822482470758</v>
      </c>
      <c r="P235" s="84">
        <f t="shared" si="390"/>
        <v>30379.062821343712</v>
      </c>
      <c r="Q235" s="85">
        <f t="shared" si="391"/>
        <v>9327.2050716611229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x14ac:dyDescent="0.2">
      <c r="A236" s="52">
        <f t="shared" si="378"/>
        <v>41</v>
      </c>
      <c r="B236" s="26">
        <f t="shared" si="373"/>
        <v>1433484.0462328768</v>
      </c>
      <c r="C236" s="100">
        <f t="shared" si="374"/>
        <v>30699.154618408938</v>
      </c>
      <c r="D236" s="84">
        <f t="shared" si="379"/>
        <v>293774.2919752046</v>
      </c>
      <c r="E236" s="84">
        <f t="shared" si="380"/>
        <v>55860.206178553351</v>
      </c>
      <c r="F236" s="101">
        <f t="shared" si="381"/>
        <v>52325.408752193347</v>
      </c>
      <c r="G236" s="92">
        <f t="shared" si="382"/>
        <v>6.2411571042349782E-2</v>
      </c>
      <c r="H236" s="100">
        <f t="shared" si="383"/>
        <v>310626.97590127675</v>
      </c>
      <c r="I236" s="84">
        <f t="shared" si="384"/>
        <v>1237144.034293697</v>
      </c>
      <c r="J236" s="84">
        <f t="shared" si="385"/>
        <v>408491.14367272751</v>
      </c>
      <c r="K236" s="84">
        <f t="shared" si="386"/>
        <v>127613.29329662351</v>
      </c>
      <c r="L236" s="92">
        <f t="shared" si="387"/>
        <v>7.4659624455712878E-2</v>
      </c>
      <c r="M236" s="100">
        <f t="shared" si="375"/>
        <v>29639.870908918012</v>
      </c>
      <c r="N236" s="84">
        <f t="shared" si="388"/>
        <v>23191.293366603095</v>
      </c>
      <c r="O236" s="84">
        <f t="shared" si="389"/>
        <v>92364.708997992988</v>
      </c>
      <c r="P236" s="84">
        <f t="shared" si="390"/>
        <v>30497.795380090491</v>
      </c>
      <c r="Q236" s="85">
        <f t="shared" si="391"/>
        <v>9527.5605530826524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x14ac:dyDescent="0.2">
      <c r="A237" s="52">
        <f t="shared" si="378"/>
        <v>42</v>
      </c>
      <c r="B237" s="26">
        <f t="shared" si="373"/>
        <v>1468878.7140410959</v>
      </c>
      <c r="C237" s="100">
        <f t="shared" si="374"/>
        <v>30699.154618408938</v>
      </c>
      <c r="D237" s="84">
        <f t="shared" si="379"/>
        <v>307172.36500571482</v>
      </c>
      <c r="E237" s="84">
        <f t="shared" si="380"/>
        <v>57113.739430311674</v>
      </c>
      <c r="F237" s="101">
        <f t="shared" si="381"/>
        <v>56123.999653459992</v>
      </c>
      <c r="G237" s="92">
        <f t="shared" si="382"/>
        <v>5.8328571067616623E-2</v>
      </c>
      <c r="H237" s="100">
        <f t="shared" si="383"/>
        <v>312417.61372315238</v>
      </c>
      <c r="I237" s="84">
        <f t="shared" si="384"/>
        <v>1255060.9594159408</v>
      </c>
      <c r="J237" s="84">
        <f t="shared" si="385"/>
        <v>411822.50648202578</v>
      </c>
      <c r="K237" s="84">
        <f t="shared" si="386"/>
        <v>130886.92599900924</v>
      </c>
      <c r="L237" s="92">
        <f t="shared" si="387"/>
        <v>7.4335907248839705E-2</v>
      </c>
      <c r="M237" s="100">
        <f t="shared" si="375"/>
        <v>29511.355177789363</v>
      </c>
      <c r="N237" s="84">
        <f t="shared" si="388"/>
        <v>23223.846756628085</v>
      </c>
      <c r="O237" s="84">
        <f t="shared" si="389"/>
        <v>93296.095070783151</v>
      </c>
      <c r="P237" s="84">
        <f t="shared" si="390"/>
        <v>30613.199644832555</v>
      </c>
      <c r="Q237" s="85">
        <f t="shared" si="391"/>
        <v>9729.5983911480962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x14ac:dyDescent="0.2">
      <c r="A238" s="52">
        <f t="shared" si="378"/>
        <v>43</v>
      </c>
      <c r="B238" s="26">
        <f t="shared" si="373"/>
        <v>1504273.381849315</v>
      </c>
      <c r="C238" s="100">
        <f t="shared" si="374"/>
        <v>30699.154618408938</v>
      </c>
      <c r="D238" s="84">
        <f t="shared" si="379"/>
        <v>321181.47979799367</v>
      </c>
      <c r="E238" s="84">
        <f t="shared" si="380"/>
        <v>58395.402646507297</v>
      </c>
      <c r="F238" s="101">
        <f t="shared" si="381"/>
        <v>60198.35128320026</v>
      </c>
      <c r="G238" s="92">
        <f t="shared" si="382"/>
        <v>5.4512683240763193E-2</v>
      </c>
      <c r="H238" s="100">
        <f t="shared" si="383"/>
        <v>314091.10701462493</v>
      </c>
      <c r="I238" s="84">
        <f t="shared" si="384"/>
        <v>1272569.4236869684</v>
      </c>
      <c r="J238" s="84">
        <f t="shared" si="385"/>
        <v>415005.79656921164</v>
      </c>
      <c r="K238" s="84">
        <f t="shared" si="386"/>
        <v>134168.49965412653</v>
      </c>
      <c r="L238" s="92">
        <f t="shared" si="387"/>
        <v>7.4035895309450386E-2</v>
      </c>
      <c r="M238" s="100">
        <f t="shared" si="375"/>
        <v>29392.250437851802</v>
      </c>
      <c r="N238" s="84">
        <f t="shared" si="388"/>
        <v>23254.01631656415</v>
      </c>
      <c r="O238" s="84">
        <f t="shared" si="389"/>
        <v>94215.816626095999</v>
      </c>
      <c r="P238" s="84">
        <f t="shared" si="390"/>
        <v>30725.325707613218</v>
      </c>
      <c r="Q238" s="85">
        <f t="shared" si="391"/>
        <v>9933.2849942189423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x14ac:dyDescent="0.2">
      <c r="A239" s="52">
        <f t="shared" si="378"/>
        <v>44</v>
      </c>
      <c r="B239" s="26">
        <f t="shared" si="373"/>
        <v>1539668.0496575343</v>
      </c>
      <c r="C239" s="100">
        <f t="shared" si="374"/>
        <v>30699.154618408938</v>
      </c>
      <c r="D239" s="84">
        <f t="shared" si="379"/>
        <v>335829.50394417759</v>
      </c>
      <c r="E239" s="84">
        <f t="shared" si="380"/>
        <v>59705.827078762923</v>
      </c>
      <c r="F239" s="101">
        <f t="shared" si="381"/>
        <v>64568.482638285634</v>
      </c>
      <c r="G239" s="92">
        <f t="shared" si="382"/>
        <v>5.0946432935292711E-2</v>
      </c>
      <c r="H239" s="100">
        <f t="shared" si="383"/>
        <v>315655.11943656189</v>
      </c>
      <c r="I239" s="84">
        <f t="shared" si="384"/>
        <v>1289678.7389873532</v>
      </c>
      <c r="J239" s="84">
        <f t="shared" si="385"/>
        <v>418047.59548432601</v>
      </c>
      <c r="K239" s="84">
        <f t="shared" si="386"/>
        <v>137458.03352459156</v>
      </c>
      <c r="L239" s="92">
        <f t="shared" si="387"/>
        <v>7.3757691271842979E-2</v>
      </c>
      <c r="M239" s="100">
        <f t="shared" si="375"/>
        <v>29281.803434921661</v>
      </c>
      <c r="N239" s="84">
        <f t="shared" si="388"/>
        <v>23281.992847778653</v>
      </c>
      <c r="O239" s="84">
        <f t="shared" si="389"/>
        <v>95123.726270088955</v>
      </c>
      <c r="P239" s="84">
        <f t="shared" si="390"/>
        <v>30834.225484669216</v>
      </c>
      <c r="Q239" s="85">
        <f t="shared" si="391"/>
        <v>10138.587199541467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x14ac:dyDescent="0.2">
      <c r="A240" s="52">
        <f t="shared" si="378"/>
        <v>45</v>
      </c>
      <c r="B240" s="26">
        <f t="shared" si="373"/>
        <v>1575062.7174657534</v>
      </c>
      <c r="C240" s="100">
        <f t="shared" si="374"/>
        <v>30699.154618408938</v>
      </c>
      <c r="D240" s="84">
        <f t="shared" si="379"/>
        <v>351145.57598503487</v>
      </c>
      <c r="E240" s="84">
        <f t="shared" si="380"/>
        <v>61045.658144329173</v>
      </c>
      <c r="F240" s="101">
        <f t="shared" si="381"/>
        <v>69255.866005321499</v>
      </c>
      <c r="G240" s="92">
        <f t="shared" si="382"/>
        <v>4.761348872457262E-2</v>
      </c>
      <c r="H240" s="100">
        <f t="shared" si="383"/>
        <v>317116.81328883942</v>
      </c>
      <c r="I240" s="84">
        <f t="shared" si="384"/>
        <v>1306398.0049102001</v>
      </c>
      <c r="J240" s="84">
        <f t="shared" si="385"/>
        <v>420954.19224006514</v>
      </c>
      <c r="K240" s="84">
        <f t="shared" si="386"/>
        <v>140755.54691974644</v>
      </c>
      <c r="L240" s="92">
        <f t="shared" si="387"/>
        <v>7.3499570994822933E-2</v>
      </c>
      <c r="M240" s="100">
        <f t="shared" si="375"/>
        <v>29179.329684944703</v>
      </c>
      <c r="N240" s="84">
        <f t="shared" si="388"/>
        <v>23307.949731975063</v>
      </c>
      <c r="O240" s="84">
        <f t="shared" si="389"/>
        <v>96019.692909392295</v>
      </c>
      <c r="P240" s="84">
        <f t="shared" si="390"/>
        <v>30939.95253811701</v>
      </c>
      <c r="Q240" s="85">
        <f t="shared" si="391"/>
        <v>10345.472313743034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x14ac:dyDescent="0.2">
      <c r="A241" s="52">
        <f t="shared" si="378"/>
        <v>46</v>
      </c>
      <c r="B241" s="26">
        <f t="shared" si="373"/>
        <v>1610457.3852739728</v>
      </c>
      <c r="C241" s="100">
        <f t="shared" si="374"/>
        <v>30699.154618408938</v>
      </c>
      <c r="D241" s="84">
        <f t="shared" si="379"/>
        <v>367160.16337372706</v>
      </c>
      <c r="E241" s="84">
        <f t="shared" si="380"/>
        <v>62415.555743969024</v>
      </c>
      <c r="F241" s="101">
        <f t="shared" si="381"/>
        <v>74283.532462989242</v>
      </c>
      <c r="G241" s="92">
        <f t="shared" si="382"/>
        <v>4.4498587593058525E-2</v>
      </c>
      <c r="H241" s="100">
        <f t="shared" si="383"/>
        <v>318482.88230965956</v>
      </c>
      <c r="I241" s="84">
        <f t="shared" si="384"/>
        <v>1322736.1136007677</v>
      </c>
      <c r="J241" s="84">
        <f t="shared" si="385"/>
        <v>423731.59631450759</v>
      </c>
      <c r="K241" s="84">
        <f t="shared" si="386"/>
        <v>144061.05919577257</v>
      </c>
      <c r="L241" s="92">
        <f t="shared" si="387"/>
        <v>7.3259964968201946E-2</v>
      </c>
      <c r="M241" s="100">
        <f t="shared" si="375"/>
        <v>29084.206092376171</v>
      </c>
      <c r="N241" s="84">
        <f t="shared" si="388"/>
        <v>23332.044800977641</v>
      </c>
      <c r="O241" s="84">
        <f t="shared" si="389"/>
        <v>96903.601344567825</v>
      </c>
      <c r="P241" s="84">
        <f t="shared" si="390"/>
        <v>31042.561901921115</v>
      </c>
      <c r="Q241" s="85">
        <f t="shared" si="391"/>
        <v>10553.908149964365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x14ac:dyDescent="0.2">
      <c r="A242" s="52">
        <f t="shared" si="378"/>
        <v>47</v>
      </c>
      <c r="B242" s="26">
        <f t="shared" si="373"/>
        <v>1645852.0530821919</v>
      </c>
      <c r="C242" s="100">
        <f t="shared" si="374"/>
        <v>30699.154618408938</v>
      </c>
      <c r="D242" s="84">
        <f t="shared" si="379"/>
        <v>383905.12308310298</v>
      </c>
      <c r="E242" s="84">
        <f t="shared" si="380"/>
        <v>63816.194586975638</v>
      </c>
      <c r="F242" s="101">
        <f t="shared" si="381"/>
        <v>79676.185043386475</v>
      </c>
      <c r="G242" s="92">
        <f t="shared" si="382"/>
        <v>4.1587465040241613E-2</v>
      </c>
      <c r="H242" s="100">
        <f t="shared" si="383"/>
        <v>319759.58232911763</v>
      </c>
      <c r="I242" s="84">
        <f t="shared" si="384"/>
        <v>1338701.7544857559</v>
      </c>
      <c r="J242" s="84">
        <f t="shared" si="385"/>
        <v>426385.55007589469</v>
      </c>
      <c r="K242" s="84">
        <f t="shared" si="386"/>
        <v>147374.58975580422</v>
      </c>
      <c r="L242" s="92">
        <f t="shared" si="387"/>
        <v>7.3037442068659031E-2</v>
      </c>
      <c r="M242" s="100">
        <f t="shared" si="375"/>
        <v>28995.864501257634</v>
      </c>
      <c r="N242" s="84">
        <f t="shared" si="388"/>
        <v>23354.421970261537</v>
      </c>
      <c r="O242" s="84">
        <f t="shared" si="389"/>
        <v>97775.351840465606</v>
      </c>
      <c r="P242" s="84">
        <f t="shared" si="390"/>
        <v>31142.109912581473</v>
      </c>
      <c r="Q242" s="85">
        <f t="shared" si="391"/>
        <v>10763.863061681941</v>
      </c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x14ac:dyDescent="0.2">
      <c r="A243" s="52">
        <f t="shared" si="378"/>
        <v>48</v>
      </c>
      <c r="B243" s="26">
        <f t="shared" si="373"/>
        <v>1681246.7208904109</v>
      </c>
      <c r="C243" s="100">
        <f t="shared" si="374"/>
        <v>30699.154618408938</v>
      </c>
      <c r="D243" s="84">
        <f t="shared" si="379"/>
        <v>401413.76497709338</v>
      </c>
      <c r="E243" s="84">
        <f t="shared" si="380"/>
        <v>65248.264523483791</v>
      </c>
      <c r="F243" s="101">
        <f t="shared" si="381"/>
        <v>85460.320108375498</v>
      </c>
      <c r="G243" s="92">
        <f t="shared" si="382"/>
        <v>3.8866789757235155E-2</v>
      </c>
      <c r="H243" s="100">
        <f t="shared" si="383"/>
        <v>320952.75991739618</v>
      </c>
      <c r="I243" s="84">
        <f t="shared" si="384"/>
        <v>1354303.4188947808</v>
      </c>
      <c r="J243" s="84">
        <f t="shared" si="385"/>
        <v>428921.5406551534</v>
      </c>
      <c r="K243" s="84">
        <f t="shared" si="386"/>
        <v>150696.15805004246</v>
      </c>
      <c r="L243" s="92">
        <f t="shared" si="387"/>
        <v>7.2830695322991981E-2</v>
      </c>
      <c r="M243" s="100">
        <f t="shared" si="375"/>
        <v>28913.786043227818</v>
      </c>
      <c r="N243" s="84">
        <f t="shared" si="388"/>
        <v>23375.212670617275</v>
      </c>
      <c r="O243" s="84">
        <f t="shared" si="389"/>
        <v>98634.859676412161</v>
      </c>
      <c r="P243" s="84">
        <f t="shared" si="390"/>
        <v>31238.654044923795</v>
      </c>
      <c r="Q243" s="85">
        <f t="shared" si="391"/>
        <v>10975.305973288088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x14ac:dyDescent="0.2">
      <c r="A244" s="52">
        <f t="shared" si="378"/>
        <v>49</v>
      </c>
      <c r="B244" s="26">
        <f t="shared" si="373"/>
        <v>1716641.3886986303</v>
      </c>
      <c r="C244" s="100">
        <f t="shared" si="374"/>
        <v>30699.154618408938</v>
      </c>
      <c r="D244" s="84">
        <f t="shared" si="379"/>
        <v>419720.91807226301</v>
      </c>
      <c r="E244" s="84">
        <f t="shared" si="380"/>
        <v>66712.470884238544</v>
      </c>
      <c r="F244" s="101">
        <f t="shared" si="381"/>
        <v>91664.35753731204</v>
      </c>
      <c r="G244" s="92">
        <f t="shared" si="382"/>
        <v>3.6324102576855283E-2</v>
      </c>
      <c r="H244" s="100">
        <f t="shared" si="383"/>
        <v>322067.879158778</v>
      </c>
      <c r="I244" s="84">
        <f t="shared" si="384"/>
        <v>1369549.4045764895</v>
      </c>
      <c r="J244" s="84">
        <f t="shared" si="385"/>
        <v>431344.81129070796</v>
      </c>
      <c r="K244" s="84">
        <f t="shared" si="386"/>
        <v>154025.78357586931</v>
      </c>
      <c r="L244" s="92">
        <f t="shared" si="387"/>
        <v>7.2638529392692067E-2</v>
      </c>
      <c r="M244" s="100">
        <f t="shared" si="375"/>
        <v>28837.49616889875</v>
      </c>
      <c r="N244" s="84">
        <f t="shared" si="388"/>
        <v>23394.537106716893</v>
      </c>
      <c r="O244" s="84">
        <f t="shared" si="389"/>
        <v>99482.054679073248</v>
      </c>
      <c r="P244" s="84">
        <f t="shared" si="390"/>
        <v>31332.252753325301</v>
      </c>
      <c r="Q244" s="85">
        <f t="shared" si="391"/>
        <v>11188.206407508211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x14ac:dyDescent="0.2">
      <c r="A245" s="52">
        <f t="shared" si="378"/>
        <v>50</v>
      </c>
      <c r="B245" s="26">
        <f t="shared" si="373"/>
        <v>1752036.0565068494</v>
      </c>
      <c r="C245" s="100">
        <f t="shared" si="374"/>
        <v>30699.154618408938</v>
      </c>
      <c r="D245" s="84">
        <f t="shared" si="379"/>
        <v>438862.9998213345</v>
      </c>
      <c r="E245" s="84">
        <f t="shared" si="380"/>
        <v>68209.534827988522</v>
      </c>
      <c r="F245" s="101">
        <f t="shared" si="381"/>
        <v>98318.780365821498</v>
      </c>
      <c r="G245" s="92">
        <f t="shared" si="382"/>
        <v>3.3947759417621758E-2</v>
      </c>
      <c r="H245" s="100">
        <f t="shared" si="383"/>
        <v>323110.04667408811</v>
      </c>
      <c r="I245" s="84">
        <f t="shared" si="384"/>
        <v>1384447.8201117199</v>
      </c>
      <c r="J245" s="84">
        <f t="shared" si="385"/>
        <v>433660.37216903642</v>
      </c>
      <c r="K245" s="84">
        <f t="shared" si="386"/>
        <v>157363.4858779622</v>
      </c>
      <c r="L245" s="92">
        <f t="shared" si="387"/>
        <v>7.2459849539607671E-2</v>
      </c>
      <c r="M245" s="100">
        <f t="shared" si="375"/>
        <v>28766.560267224246</v>
      </c>
      <c r="N245" s="84">
        <f t="shared" si="388"/>
        <v>23412.505366740035</v>
      </c>
      <c r="O245" s="84">
        <f t="shared" si="389"/>
        <v>100316.88074073305</v>
      </c>
      <c r="P245" s="84">
        <f t="shared" si="390"/>
        <v>31422.965318658644</v>
      </c>
      <c r="Q245" s="85">
        <f t="shared" si="391"/>
        <v>11402.534509745317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x14ac:dyDescent="0.2">
      <c r="A246" s="52">
        <f t="shared" si="378"/>
        <v>51</v>
      </c>
      <c r="B246" s="26">
        <f t="shared" si="373"/>
        <v>1787430.7243150685</v>
      </c>
      <c r="C246" s="100">
        <f t="shared" si="374"/>
        <v>30699.154618408938</v>
      </c>
      <c r="D246" s="84">
        <f t="shared" si="379"/>
        <v>458878.08855650283</v>
      </c>
      <c r="E246" s="84">
        <f t="shared" si="380"/>
        <v>69740.193696674862</v>
      </c>
      <c r="F246" s="101">
        <f t="shared" si="381"/>
        <v>105456.28456172685</v>
      </c>
      <c r="G246" s="92">
        <f t="shared" si="382"/>
        <v>3.1726877960394168E-2</v>
      </c>
      <c r="H246" s="100">
        <f t="shared" si="383"/>
        <v>324084.03500615363</v>
      </c>
      <c r="I246" s="84">
        <f t="shared" si="384"/>
        <v>1399006.589226051</v>
      </c>
      <c r="J246" s="84">
        <f t="shared" si="385"/>
        <v>435873.01078338508</v>
      </c>
      <c r="K246" s="84">
        <f t="shared" si="386"/>
        <v>160709.2845484087</v>
      </c>
      <c r="L246" s="92">
        <f t="shared" si="387"/>
        <v>7.229365187019697E-2</v>
      </c>
      <c r="M246" s="100">
        <f t="shared" si="375"/>
        <v>28700.579792468197</v>
      </c>
      <c r="N246" s="84">
        <f t="shared" si="388"/>
        <v>23429.218403423598</v>
      </c>
      <c r="O246" s="84">
        <f t="shared" si="389"/>
        <v>101139.29532561978</v>
      </c>
      <c r="P246" s="84">
        <f t="shared" si="390"/>
        <v>31510.851701188651</v>
      </c>
      <c r="Q246" s="85">
        <f t="shared" si="391"/>
        <v>11618.261069451084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x14ac:dyDescent="0.2">
      <c r="A247" s="52">
        <f t="shared" si="378"/>
        <v>52</v>
      </c>
      <c r="B247" s="26">
        <f t="shared" si="373"/>
        <v>1822825.3921232878</v>
      </c>
      <c r="C247" s="100">
        <f t="shared" si="374"/>
        <v>30699.154618408938</v>
      </c>
      <c r="D247" s="84">
        <f t="shared" si="379"/>
        <v>479805.99923665158</v>
      </c>
      <c r="E247" s="84">
        <f t="shared" si="380"/>
        <v>71305.201378590864</v>
      </c>
      <c r="F247" s="101">
        <f t="shared" si="381"/>
        <v>113111.93967403921</v>
      </c>
      <c r="G247" s="92">
        <f t="shared" si="382"/>
        <v>2.9651287813452491E-2</v>
      </c>
      <c r="H247" s="100">
        <f t="shared" si="383"/>
        <v>324994.30447537376</v>
      </c>
      <c r="I247" s="84">
        <f t="shared" si="384"/>
        <v>1413233.4550040381</v>
      </c>
      <c r="J247" s="84">
        <f t="shared" si="385"/>
        <v>437987.30183205788</v>
      </c>
      <c r="K247" s="84">
        <f t="shared" si="386"/>
        <v>164063.19922682151</v>
      </c>
      <c r="L247" s="92">
        <f t="shared" si="387"/>
        <v>7.2139014687065045E-2</v>
      </c>
      <c r="M247" s="100">
        <f t="shared" si="375"/>
        <v>28639.188830764822</v>
      </c>
      <c r="N247" s="84">
        <f t="shared" si="388"/>
        <v>23444.768903761476</v>
      </c>
      <c r="O247" s="84">
        <f t="shared" si="389"/>
        <v>101949.26896678797</v>
      </c>
      <c r="P247" s="84">
        <f t="shared" si="390"/>
        <v>31595.972399610815</v>
      </c>
      <c r="Q247" s="85">
        <f t="shared" si="391"/>
        <v>11835.357538630555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x14ac:dyDescent="0.2">
      <c r="A248" s="52">
        <f t="shared" si="378"/>
        <v>53</v>
      </c>
      <c r="B248" s="26">
        <f t="shared" si="373"/>
        <v>1858220.0599315069</v>
      </c>
      <c r="C248" s="100">
        <f t="shared" si="374"/>
        <v>30699.154618408938</v>
      </c>
      <c r="D248" s="84">
        <f t="shared" si="379"/>
        <v>501688.36264914571</v>
      </c>
      <c r="E248" s="84">
        <f t="shared" si="380"/>
        <v>72905.328679691025</v>
      </c>
      <c r="F248" s="101">
        <f t="shared" si="381"/>
        <v>121323.36114434764</v>
      </c>
      <c r="G248" s="92">
        <f t="shared" si="382"/>
        <v>2.7711483937806064E-2</v>
      </c>
      <c r="H248" s="100">
        <f t="shared" si="383"/>
        <v>325845.02360548603</v>
      </c>
      <c r="I248" s="84">
        <f t="shared" si="384"/>
        <v>1427135.9840073742</v>
      </c>
      <c r="J248" s="84">
        <f t="shared" si="385"/>
        <v>440007.61667674559</v>
      </c>
      <c r="K248" s="84">
        <f t="shared" si="386"/>
        <v>167425.24960045374</v>
      </c>
      <c r="L248" s="92">
        <f t="shared" si="387"/>
        <v>7.1995090802370793E-2</v>
      </c>
      <c r="M248" s="100">
        <f t="shared" si="375"/>
        <v>28582.051048541205</v>
      </c>
      <c r="N248" s="84">
        <f t="shared" si="388"/>
        <v>23459.24206197762</v>
      </c>
      <c r="O248" s="84">
        <f t="shared" si="389"/>
        <v>102746.7847559417</v>
      </c>
      <c r="P248" s="84">
        <f t="shared" si="390"/>
        <v>31678.388316377059</v>
      </c>
      <c r="Q248" s="85">
        <f t="shared" si="391"/>
        <v>12053.796047594262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x14ac:dyDescent="0.2">
      <c r="A249" s="52">
        <f t="shared" si="378"/>
        <v>54</v>
      </c>
      <c r="B249" s="26">
        <f t="shared" si="373"/>
        <v>1893614.7277397262</v>
      </c>
      <c r="C249" s="100">
        <f t="shared" si="374"/>
        <v>30699.154618408938</v>
      </c>
      <c r="D249" s="84">
        <f t="shared" si="379"/>
        <v>524568.70822376001</v>
      </c>
      <c r="E249" s="84">
        <f t="shared" si="380"/>
        <v>74541.36370323252</v>
      </c>
      <c r="F249" s="101">
        <f t="shared" si="381"/>
        <v>130130.89512724635</v>
      </c>
      <c r="G249" s="92">
        <f t="shared" si="382"/>
        <v>2.5898583119444922E-2</v>
      </c>
      <c r="H249" s="100">
        <f t="shared" si="383"/>
        <v>326640.08821306756</v>
      </c>
      <c r="I249" s="84">
        <f t="shared" si="384"/>
        <v>1440721.570299167</v>
      </c>
      <c r="J249" s="84">
        <f t="shared" si="385"/>
        <v>441938.13238045055</v>
      </c>
      <c r="K249" s="84">
        <f t="shared" si="386"/>
        <v>170795.4554043145</v>
      </c>
      <c r="L249" s="92">
        <f t="shared" si="387"/>
        <v>7.1861100689255497E-2</v>
      </c>
      <c r="M249" s="100">
        <f t="shared" si="375"/>
        <v>28528.856973634433</v>
      </c>
      <c r="N249" s="84">
        <f t="shared" si="388"/>
        <v>23472.716268226544</v>
      </c>
      <c r="O249" s="84">
        <f t="shared" si="389"/>
        <v>103531.83782845073</v>
      </c>
      <c r="P249" s="84">
        <f t="shared" si="390"/>
        <v>31758.160629413083</v>
      </c>
      <c r="Q249" s="85">
        <f t="shared" si="391"/>
        <v>12273.549418076691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x14ac:dyDescent="0.2">
      <c r="A250" s="52">
        <f t="shared" si="378"/>
        <v>55</v>
      </c>
      <c r="B250" s="26">
        <f t="shared" si="373"/>
        <v>1929009.3955479453</v>
      </c>
      <c r="C250" s="100">
        <f t="shared" si="374"/>
        <v>30699.154618408938</v>
      </c>
      <c r="D250" s="84">
        <f t="shared" si="379"/>
        <v>548492.55062347394</v>
      </c>
      <c r="E250" s="84">
        <f t="shared" si="380"/>
        <v>76214.112237936046</v>
      </c>
      <c r="F250" s="101">
        <f t="shared" si="381"/>
        <v>139577.81672789835</v>
      </c>
      <c r="G250" s="92">
        <f t="shared" si="382"/>
        <v>2.4204283289200861E-2</v>
      </c>
      <c r="H250" s="100">
        <f t="shared" si="383"/>
        <v>327383.13924819051</v>
      </c>
      <c r="I250" s="84">
        <f t="shared" si="384"/>
        <v>1453997.4393764739</v>
      </c>
      <c r="J250" s="84">
        <f t="shared" si="385"/>
        <v>443782.84034369251</v>
      </c>
      <c r="K250" s="84">
        <f t="shared" si="386"/>
        <v>174173.83642128471</v>
      </c>
      <c r="L250" s="92">
        <f t="shared" si="387"/>
        <v>7.1736326365476569E-2</v>
      </c>
      <c r="M250" s="100">
        <f t="shared" si="375"/>
        <v>28479.321567094197</v>
      </c>
      <c r="N250" s="84">
        <f t="shared" si="388"/>
        <v>23485.263723662454</v>
      </c>
      <c r="O250" s="84">
        <f t="shared" si="389"/>
        <v>104304.43484567797</v>
      </c>
      <c r="P250" s="84">
        <f t="shared" si="390"/>
        <v>31835.350670293308</v>
      </c>
      <c r="Q250" s="85">
        <f t="shared" si="391"/>
        <v>12494.59117384441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x14ac:dyDescent="0.2">
      <c r="A251" s="52">
        <f t="shared" si="378"/>
        <v>56</v>
      </c>
      <c r="B251" s="26">
        <f t="shared" si="373"/>
        <v>1964404.0633561644</v>
      </c>
      <c r="C251" s="100">
        <f t="shared" si="374"/>
        <v>30699.154618408938</v>
      </c>
      <c r="D251" s="84">
        <f t="shared" si="379"/>
        <v>573507.48028438608</v>
      </c>
      <c r="E251" s="84">
        <f t="shared" si="380"/>
        <v>77924.398154857234</v>
      </c>
      <c r="F251" s="101">
        <f t="shared" si="381"/>
        <v>149710.54263076157</v>
      </c>
      <c r="G251" s="92">
        <f t="shared" si="382"/>
        <v>2.262082550392604E-2</v>
      </c>
      <c r="H251" s="100">
        <f t="shared" si="383"/>
        <v>328077.57946793159</v>
      </c>
      <c r="I251" s="84">
        <f t="shared" si="384"/>
        <v>1466970.6520131833</v>
      </c>
      <c r="J251" s="84">
        <f t="shared" si="385"/>
        <v>445545.55455685197</v>
      </c>
      <c r="K251" s="84">
        <f t="shared" si="386"/>
        <v>177560.41248223325</v>
      </c>
      <c r="L251" s="92">
        <f t="shared" si="387"/>
        <v>7.1620105918556373E-2</v>
      </c>
      <c r="M251" s="100">
        <f t="shared" si="375"/>
        <v>28433.182049666881</v>
      </c>
      <c r="N251" s="84">
        <f t="shared" si="388"/>
        <v>23496.950990996855</v>
      </c>
      <c r="O251" s="84">
        <f t="shared" si="389"/>
        <v>105064.59347659789</v>
      </c>
      <c r="P251" s="84">
        <f t="shared" si="390"/>
        <v>31910.019808903675</v>
      </c>
      <c r="Q251" s="85">
        <f t="shared" si="391"/>
        <v>12716.895548920105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x14ac:dyDescent="0.2">
      <c r="A252" s="52">
        <f t="shared" si="378"/>
        <v>57</v>
      </c>
      <c r="B252" s="26">
        <f t="shared" si="373"/>
        <v>1999798.7311643837</v>
      </c>
      <c r="C252" s="100">
        <f t="shared" si="374"/>
        <v>30699.154618408938</v>
      </c>
      <c r="D252" s="84">
        <f t="shared" si="379"/>
        <v>599663.25808485714</v>
      </c>
      <c r="E252" s="84">
        <f t="shared" si="380"/>
        <v>79673.063813163928</v>
      </c>
      <c r="F252" s="101">
        <f t="shared" si="381"/>
        <v>160578.85916421001</v>
      </c>
      <c r="G252" s="92">
        <f t="shared" si="382"/>
        <v>2.1140958414884149E-2</v>
      </c>
      <c r="H252" s="100">
        <f t="shared" si="383"/>
        <v>328726.58901909145</v>
      </c>
      <c r="I252" s="84">
        <f t="shared" si="384"/>
        <v>1479648.1080152893</v>
      </c>
      <c r="J252" s="84">
        <f t="shared" si="385"/>
        <v>447229.91948571248</v>
      </c>
      <c r="K252" s="84">
        <f t="shared" si="386"/>
        <v>180955.20346613336</v>
      </c>
      <c r="L252" s="92">
        <f t="shared" si="387"/>
        <v>7.1511828594488416E-2</v>
      </c>
      <c r="M252" s="100">
        <f t="shared" si="375"/>
        <v>28390.195952011902</v>
      </c>
      <c r="N252" s="84">
        <f t="shared" si="388"/>
        <v>23507.839488384107</v>
      </c>
      <c r="O252" s="84">
        <f t="shared" si="389"/>
        <v>105812.34188054845</v>
      </c>
      <c r="P252" s="84">
        <f t="shared" si="390"/>
        <v>31982.229344589126</v>
      </c>
      <c r="Q252" s="85">
        <f t="shared" si="391"/>
        <v>12940.437493550906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x14ac:dyDescent="0.2">
      <c r="A253" s="52">
        <f t="shared" si="378"/>
        <v>58</v>
      </c>
      <c r="B253" s="26">
        <f t="shared" si="373"/>
        <v>2035193.3989726028</v>
      </c>
      <c r="C253" s="100">
        <f t="shared" si="374"/>
        <v>30699.154618408938</v>
      </c>
      <c r="D253" s="84">
        <f t="shared" si="379"/>
        <v>627011.91433219402</v>
      </c>
      <c r="E253" s="84">
        <f t="shared" si="380"/>
        <v>81460.970475019538</v>
      </c>
      <c r="F253" s="101">
        <f t="shared" si="381"/>
        <v>172236.16692162663</v>
      </c>
      <c r="G253" s="92">
        <f t="shared" si="382"/>
        <v>1.9757905060639392E-2</v>
      </c>
      <c r="H253" s="100">
        <f t="shared" si="383"/>
        <v>329333.14000148384</v>
      </c>
      <c r="I253" s="84">
        <f t="shared" si="384"/>
        <v>1492036.5498905545</v>
      </c>
      <c r="J253" s="84">
        <f t="shared" si="385"/>
        <v>448839.41760650545</v>
      </c>
      <c r="K253" s="84">
        <f t="shared" si="386"/>
        <v>184358.22930017929</v>
      </c>
      <c r="L253" s="92">
        <f t="shared" si="387"/>
        <v>7.1410930382795196E-2</v>
      </c>
      <c r="M253" s="100">
        <f t="shared" si="375"/>
        <v>28350.139361969694</v>
      </c>
      <c r="N253" s="84">
        <f t="shared" si="388"/>
        <v>23517.985933393305</v>
      </c>
      <c r="O253" s="84">
        <f t="shared" si="389"/>
        <v>106547.71819282032</v>
      </c>
      <c r="P253" s="84">
        <f t="shared" si="390"/>
        <v>32052.0404037525</v>
      </c>
      <c r="Q253" s="85">
        <f t="shared" si="391"/>
        <v>13165.192678050496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x14ac:dyDescent="0.2">
      <c r="A254" s="52">
        <f t="shared" si="378"/>
        <v>59</v>
      </c>
      <c r="B254" s="26">
        <f t="shared" si="373"/>
        <v>2070588.0667808219</v>
      </c>
      <c r="C254" s="100">
        <f t="shared" si="374"/>
        <v>30699.154618408938</v>
      </c>
      <c r="D254" s="84">
        <f t="shared" si="379"/>
        <v>655607.85226379381</v>
      </c>
      <c r="E254" s="84">
        <f t="shared" si="380"/>
        <v>83288.998729776387</v>
      </c>
      <c r="F254" s="101">
        <f t="shared" si="381"/>
        <v>184739.74314089707</v>
      </c>
      <c r="G254" s="92">
        <f t="shared" si="382"/>
        <v>1.8465331832373259E-2</v>
      </c>
      <c r="H254" s="100">
        <f t="shared" si="383"/>
        <v>329900.01007848611</v>
      </c>
      <c r="I254" s="84">
        <f t="shared" si="384"/>
        <v>1504142.5664345149</v>
      </c>
      <c r="J254" s="84">
        <f t="shared" si="385"/>
        <v>450377.37660603691</v>
      </c>
      <c r="K254" s="84">
        <f t="shared" si="386"/>
        <v>187769.50995990334</v>
      </c>
      <c r="L254" s="92">
        <f t="shared" si="387"/>
        <v>7.1316890039838501E-2</v>
      </c>
      <c r="M254" s="100">
        <f t="shared" si="375"/>
        <v>28312.805345815887</v>
      </c>
      <c r="N254" s="84">
        <f t="shared" si="388"/>
        <v>23527.442742909006</v>
      </c>
      <c r="O254" s="84">
        <f t="shared" si="389"/>
        <v>107270.77001465079</v>
      </c>
      <c r="P254" s="84">
        <f t="shared" si="390"/>
        <v>32119.513843843666</v>
      </c>
      <c r="Q254" s="85">
        <f t="shared" si="391"/>
        <v>13391.137494644787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ht="13.5" thickBot="1" x14ac:dyDescent="0.25">
      <c r="A255" s="60">
        <f t="shared" si="378"/>
        <v>60</v>
      </c>
      <c r="B255" s="27">
        <f t="shared" si="373"/>
        <v>2105982.7345890412</v>
      </c>
      <c r="C255" s="102">
        <f t="shared" si="374"/>
        <v>30699.154618408938</v>
      </c>
      <c r="D255" s="103">
        <f t="shared" si="379"/>
        <v>685507.95626863209</v>
      </c>
      <c r="E255" s="103">
        <f t="shared" si="380"/>
        <v>85158.048927688418</v>
      </c>
      <c r="F255" s="104">
        <f t="shared" si="381"/>
        <v>198151.02313147989</v>
      </c>
      <c r="G255" s="93">
        <f t="shared" si="382"/>
        <v>1.7257319469507721E-2</v>
      </c>
      <c r="H255" s="102">
        <f t="shared" si="383"/>
        <v>330429.79519717983</v>
      </c>
      <c r="I255" s="103">
        <f t="shared" si="384"/>
        <v>1515972.5962347321</v>
      </c>
      <c r="J255" s="103">
        <f t="shared" si="385"/>
        <v>451846.97626178199</v>
      </c>
      <c r="K255" s="103">
        <f t="shared" si="386"/>
        <v>191189.0654692931</v>
      </c>
      <c r="L255" s="93">
        <f t="shared" si="387"/>
        <v>7.122922550001945E-2</v>
      </c>
      <c r="M255" s="102">
        <f t="shared" si="375"/>
        <v>28278.002523507723</v>
      </c>
      <c r="N255" s="103">
        <f t="shared" si="388"/>
        <v>23536.258394025164</v>
      </c>
      <c r="O255" s="103">
        <f t="shared" si="389"/>
        <v>107981.55390905366</v>
      </c>
      <c r="P255" s="103">
        <f t="shared" si="390"/>
        <v>32184.710163652406</v>
      </c>
      <c r="Q255" s="105">
        <f t="shared" si="391"/>
        <v>13618.249057450261</v>
      </c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x14ac:dyDescent="0.2">
      <c r="A256" s="7"/>
      <c r="B256" s="13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x14ac:dyDescent="0.2">
      <c r="A258" s="110" t="s">
        <v>94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x14ac:dyDescent="0.2">
      <c r="A259" s="7"/>
      <c r="B259" s="4" t="s">
        <v>92</v>
      </c>
      <c r="C259" s="4" t="s">
        <v>93</v>
      </c>
      <c r="D259" s="4" t="s">
        <v>91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x14ac:dyDescent="0.2">
      <c r="A260" s="7"/>
      <c r="B260" s="111">
        <f t="array" ref="B260:D260">LINEST(C264:C284,A264:B284)</f>
        <v>3.5862697557531716E-4</v>
      </c>
      <c r="C260" s="111">
        <v>4.0841052522870092E-3</v>
      </c>
      <c r="D260" s="111">
        <v>-0.14976488233589708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x14ac:dyDescent="0.2">
      <c r="A262" s="309" t="s">
        <v>28</v>
      </c>
      <c r="B262" s="309" t="s">
        <v>90</v>
      </c>
      <c r="C262" s="309" t="s">
        <v>73</v>
      </c>
      <c r="D262" s="309" t="s">
        <v>95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x14ac:dyDescent="0.2">
      <c r="A263" s="309"/>
      <c r="B263" s="309"/>
      <c r="C263" s="309"/>
      <c r="D263" s="309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x14ac:dyDescent="0.2">
      <c r="A264" s="7">
        <f>+Inputs_Results!A171</f>
        <v>5</v>
      </c>
      <c r="B264" s="7">
        <f>+A264*A264</f>
        <v>25</v>
      </c>
      <c r="C264" s="112">
        <f>+Inputs_Results!B171</f>
        <v>-0.12337768941853297</v>
      </c>
      <c r="D264" s="112">
        <f>+$D$260+$C$260*A264+$B$260*B264</f>
        <v>-0.12037868168507912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x14ac:dyDescent="0.2">
      <c r="A265" s="7">
        <f>+Inputs_Results!A172</f>
        <v>6</v>
      </c>
      <c r="B265" s="7">
        <f t="shared" ref="B265:B284" si="392">+A265*A265</f>
        <v>36</v>
      </c>
      <c r="C265" s="112">
        <f>+Inputs_Results!B172</f>
        <v>-0.11311212713424758</v>
      </c>
      <c r="D265" s="112">
        <f t="shared" ref="D265:D284" si="393">+$D$260+$C$260*A265+$B$260*B265</f>
        <v>-0.11234967970146359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x14ac:dyDescent="0.2">
      <c r="A266" s="7">
        <f>+Inputs_Results!A173</f>
        <v>7</v>
      </c>
      <c r="B266" s="7">
        <f t="shared" si="392"/>
        <v>49</v>
      </c>
      <c r="C266" s="112">
        <f>+Inputs_Results!B173</f>
        <v>-0.10312956112715779</v>
      </c>
      <c r="D266" s="112">
        <f t="shared" si="393"/>
        <v>-0.10360342376669747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x14ac:dyDescent="0.2">
      <c r="A267" s="7">
        <f>+Inputs_Results!A174</f>
        <v>8</v>
      </c>
      <c r="B267" s="7">
        <f t="shared" si="392"/>
        <v>64</v>
      </c>
      <c r="C267" s="112">
        <f>+Inputs_Results!B174</f>
        <v>-9.2960446556879059E-2</v>
      </c>
      <c r="D267" s="112">
        <f t="shared" si="393"/>
        <v>-9.4139913880780718E-2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x14ac:dyDescent="0.2">
      <c r="A268" s="7">
        <f>+Inputs_Results!A175</f>
        <v>9</v>
      </c>
      <c r="B268" s="7">
        <f t="shared" si="392"/>
        <v>81</v>
      </c>
      <c r="C268" s="112">
        <f>+Inputs_Results!B175</f>
        <v>-8.2422262720791756E-2</v>
      </c>
      <c r="D268" s="112">
        <f t="shared" si="393"/>
        <v>-8.3959150043713307E-2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x14ac:dyDescent="0.2">
      <c r="A269" s="7">
        <f>+Inputs_Results!A176</f>
        <v>10</v>
      </c>
      <c r="B269" s="7">
        <f t="shared" si="392"/>
        <v>100</v>
      </c>
      <c r="C269" s="112">
        <f>+Inputs_Results!B176</f>
        <v>-7.1448262640818577E-2</v>
      </c>
      <c r="D269" s="112">
        <f t="shared" si="393"/>
        <v>-7.3061132255495265E-2</v>
      </c>
    </row>
    <row r="270" spans="1:56" x14ac:dyDescent="0.2">
      <c r="A270" s="7">
        <f>+Inputs_Results!A177</f>
        <v>11</v>
      </c>
      <c r="B270" s="7">
        <f t="shared" si="392"/>
        <v>121</v>
      </c>
      <c r="C270" s="112">
        <f>+Inputs_Results!B177</f>
        <v>-5.999775208579413E-2</v>
      </c>
      <c r="D270" s="112">
        <f t="shared" si="393"/>
        <v>-6.1445860516126598E-2</v>
      </c>
    </row>
    <row r="271" spans="1:56" x14ac:dyDescent="0.2">
      <c r="A271" s="7">
        <f>+Inputs_Results!A178</f>
        <v>12</v>
      </c>
      <c r="B271" s="7">
        <f t="shared" si="392"/>
        <v>144</v>
      </c>
      <c r="C271" s="112">
        <f>+Inputs_Results!B178</f>
        <v>-4.8020738401660025E-2</v>
      </c>
      <c r="D271" s="112">
        <f t="shared" si="393"/>
        <v>-4.9113334825607292E-2</v>
      </c>
    </row>
    <row r="272" spans="1:56" x14ac:dyDescent="0.2">
      <c r="A272" s="7">
        <f>+Inputs_Results!A179</f>
        <v>13</v>
      </c>
      <c r="B272" s="7">
        <f t="shared" si="392"/>
        <v>169</v>
      </c>
      <c r="C272" s="112">
        <f>+Inputs_Results!B179</f>
        <v>-3.5453105800433531E-2</v>
      </c>
      <c r="D272" s="112">
        <f t="shared" si="393"/>
        <v>-3.6063555183937349E-2</v>
      </c>
    </row>
    <row r="273" spans="1:4" x14ac:dyDescent="0.2">
      <c r="A273" s="7">
        <f>+Inputs_Results!A180</f>
        <v>14</v>
      </c>
      <c r="B273" s="7">
        <f t="shared" si="392"/>
        <v>196</v>
      </c>
      <c r="C273" s="112">
        <f>+Inputs_Results!B180</f>
        <v>-2.2223563826288921E-2</v>
      </c>
      <c r="D273" s="112">
        <f t="shared" si="393"/>
        <v>-2.229652159111678E-2</v>
      </c>
    </row>
    <row r="274" spans="1:4" x14ac:dyDescent="0.2">
      <c r="A274" s="7">
        <f>+Inputs_Results!A181</f>
        <v>15</v>
      </c>
      <c r="B274" s="7">
        <f t="shared" si="392"/>
        <v>225</v>
      </c>
      <c r="C274" s="112">
        <f>+Inputs_Results!B181</f>
        <v>-8.261701915040583E-3</v>
      </c>
      <c r="D274" s="112">
        <f t="shared" si="393"/>
        <v>-7.8122340471455803E-3</v>
      </c>
    </row>
    <row r="275" spans="1:4" x14ac:dyDescent="0.2">
      <c r="A275" s="7">
        <f>+Inputs_Results!A182</f>
        <v>16</v>
      </c>
      <c r="B275" s="7">
        <f t="shared" si="392"/>
        <v>256</v>
      </c>
      <c r="C275" s="112">
        <f>+Inputs_Results!B182</f>
        <v>6.4962641766586754E-3</v>
      </c>
      <c r="D275" s="112">
        <f t="shared" si="393"/>
        <v>7.3893074479762649E-3</v>
      </c>
    </row>
    <row r="276" spans="1:4" x14ac:dyDescent="0.2">
      <c r="A276" s="7">
        <f>+Inputs_Results!A183</f>
        <v>17</v>
      </c>
      <c r="B276" s="7">
        <f t="shared" si="392"/>
        <v>289</v>
      </c>
      <c r="C276" s="112">
        <f>+Inputs_Results!B183</f>
        <v>2.2103581337260054E-2</v>
      </c>
      <c r="D276" s="112">
        <f t="shared" si="393"/>
        <v>2.3308102894248742E-2</v>
      </c>
    </row>
    <row r="277" spans="1:4" x14ac:dyDescent="0.2">
      <c r="A277" s="7">
        <f>+Inputs_Results!A184</f>
        <v>18</v>
      </c>
      <c r="B277" s="7">
        <f t="shared" si="392"/>
        <v>324</v>
      </c>
      <c r="C277" s="112">
        <f>+Inputs_Results!B184</f>
        <v>3.8599547234495081E-2</v>
      </c>
      <c r="D277" s="112">
        <f t="shared" si="393"/>
        <v>3.994415229167185E-2</v>
      </c>
    </row>
    <row r="278" spans="1:4" x14ac:dyDescent="0.2">
      <c r="A278" s="7">
        <f>+Inputs_Results!A185</f>
        <v>19</v>
      </c>
      <c r="B278" s="7">
        <f t="shared" si="392"/>
        <v>361</v>
      </c>
      <c r="C278" s="112">
        <f>+Inputs_Results!B185</f>
        <v>5.6005826411980882E-2</v>
      </c>
      <c r="D278" s="112">
        <f t="shared" si="393"/>
        <v>5.729745564024559E-2</v>
      </c>
    </row>
    <row r="279" spans="1:4" x14ac:dyDescent="0.2">
      <c r="A279" s="7">
        <f>+Inputs_Results!A186</f>
        <v>20</v>
      </c>
      <c r="B279" s="7">
        <f t="shared" si="392"/>
        <v>400</v>
      </c>
      <c r="C279" s="112">
        <f>+Inputs_Results!B186</f>
        <v>7.4322504177703266E-2</v>
      </c>
      <c r="D279" s="112">
        <f t="shared" si="393"/>
        <v>7.5368012939969961E-2</v>
      </c>
    </row>
    <row r="280" spans="1:4" x14ac:dyDescent="0.2">
      <c r="A280" s="7">
        <f>+Inputs_Results!A187</f>
        <v>21</v>
      </c>
      <c r="B280" s="7">
        <f t="shared" si="392"/>
        <v>441</v>
      </c>
      <c r="C280" s="112">
        <f>+Inputs_Results!B187</f>
        <v>9.3524460996262604E-2</v>
      </c>
      <c r="D280" s="112">
        <f t="shared" si="393"/>
        <v>9.4155824190844978E-2</v>
      </c>
    </row>
    <row r="281" spans="1:4" x14ac:dyDescent="0.2">
      <c r="A281" s="7">
        <f>+Inputs_Results!A188</f>
        <v>22</v>
      </c>
      <c r="B281" s="7">
        <f t="shared" si="392"/>
        <v>484</v>
      </c>
      <c r="C281" s="112">
        <f>+Inputs_Results!B188</f>
        <v>0.11355904393662847</v>
      </c>
      <c r="D281" s="112">
        <f t="shared" si="393"/>
        <v>0.11366088939287064</v>
      </c>
    </row>
    <row r="282" spans="1:4" x14ac:dyDescent="0.2">
      <c r="A282" s="7">
        <f>+Inputs_Results!A189</f>
        <v>23</v>
      </c>
      <c r="B282" s="7">
        <f t="shared" si="392"/>
        <v>529</v>
      </c>
      <c r="C282" s="112">
        <f>+Inputs_Results!B189</f>
        <v>0.13434629931358472</v>
      </c>
      <c r="D282" s="112">
        <f t="shared" si="393"/>
        <v>0.13388320854604691</v>
      </c>
    </row>
    <row r="283" spans="1:4" x14ac:dyDescent="0.2">
      <c r="A283" s="7">
        <f>+Inputs_Results!A190</f>
        <v>24</v>
      </c>
      <c r="B283" s="7">
        <f t="shared" si="392"/>
        <v>576</v>
      </c>
      <c r="C283" s="112">
        <f>+Inputs_Results!B190</f>
        <v>0.15578312735614966</v>
      </c>
      <c r="D283" s="112">
        <f t="shared" si="393"/>
        <v>0.15482278165037383</v>
      </c>
    </row>
    <row r="284" spans="1:4" x14ac:dyDescent="0.2">
      <c r="A284" s="7">
        <f>+Inputs_Results!A191</f>
        <v>25</v>
      </c>
      <c r="B284" s="7">
        <f t="shared" si="392"/>
        <v>625</v>
      </c>
      <c r="C284" s="112">
        <f>+Inputs_Results!B191</f>
        <v>0.17775241288985888</v>
      </c>
      <c r="D284" s="112">
        <f t="shared" si="393"/>
        <v>0.17647960870585139</v>
      </c>
    </row>
    <row r="285" spans="1:4" x14ac:dyDescent="0.2">
      <c r="A285" s="7"/>
      <c r="B285" s="7"/>
      <c r="C285" s="112"/>
      <c r="D285" s="112"/>
    </row>
    <row r="286" spans="1:4" x14ac:dyDescent="0.2">
      <c r="A286" s="7"/>
      <c r="B286" s="7"/>
      <c r="C286" s="112"/>
      <c r="D286" s="112"/>
    </row>
    <row r="287" spans="1:4" x14ac:dyDescent="0.2">
      <c r="A287" s="7"/>
      <c r="B287" s="7"/>
      <c r="C287" s="112"/>
      <c r="D287" s="112"/>
    </row>
    <row r="288" spans="1:4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</sheetData>
  <mergeCells count="9">
    <mergeCell ref="L194:L195"/>
    <mergeCell ref="M194:Q194"/>
    <mergeCell ref="H194:K194"/>
    <mergeCell ref="D262:D263"/>
    <mergeCell ref="A262:A263"/>
    <mergeCell ref="B262:B263"/>
    <mergeCell ref="C262:C263"/>
    <mergeCell ref="C194:F194"/>
    <mergeCell ref="G194:G195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Inputs</vt:lpstr>
      <vt:lpstr>Detailed Inputs</vt:lpstr>
      <vt:lpstr>Results</vt:lpstr>
      <vt:lpstr>Inputs_Results</vt:lpstr>
      <vt:lpstr>Cost_by_Year</vt:lpstr>
      <vt:lpstr>Calculations</vt:lpstr>
      <vt:lpstr>AnnMiles</vt:lpstr>
      <vt:lpstr>AvgLifetimeMileage</vt:lpstr>
      <vt:lpstr>BaseYear</vt:lpstr>
      <vt:lpstr>BusMiles</vt:lpstr>
      <vt:lpstr>CarsPerTrain</vt:lpstr>
      <vt:lpstr>DelayC1</vt:lpstr>
      <vt:lpstr>DelayC2</vt:lpstr>
      <vt:lpstr>DelayUnitCost</vt:lpstr>
      <vt:lpstr>FuelC1</vt:lpstr>
      <vt:lpstr>FuelC2</vt:lpstr>
      <vt:lpstr>FuelCost</vt:lpstr>
      <vt:lpstr>Headway</vt:lpstr>
      <vt:lpstr>InterestRate</vt:lpstr>
      <vt:lpstr>MaintC1</vt:lpstr>
      <vt:lpstr>MaintC2</vt:lpstr>
      <vt:lpstr>MaintCost</vt:lpstr>
      <vt:lpstr>NewBusCost</vt:lpstr>
      <vt:lpstr>OtherBen</vt:lpstr>
      <vt:lpstr>PaxMiles</vt:lpstr>
      <vt:lpstr>PaxTrips</vt:lpstr>
      <vt:lpstr>RecoverTime</vt:lpstr>
      <vt:lpstr>RehabArray</vt:lpstr>
      <vt:lpstr>RevBusHours</vt:lpstr>
      <vt:lpstr>RevBusMiles</vt:lpstr>
      <vt:lpstr>RoadCalls</vt:lpstr>
      <vt:lpstr>TotalFleet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Manu Moritz</cp:lastModifiedBy>
  <cp:lastPrinted>2011-12-25T17:20:24Z</cp:lastPrinted>
  <dcterms:created xsi:type="dcterms:W3CDTF">2011-08-15T12:57:57Z</dcterms:created>
  <dcterms:modified xsi:type="dcterms:W3CDTF">2012-04-09T14:39:20Z</dcterms:modified>
</cp:coreProperties>
</file>